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Report485!$A$11:$F$29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 s="1"/>
  <c r="C96" i="22"/>
  <c r="C98" i="22"/>
  <c r="E92" i="22"/>
  <c r="E93" i="22" s="1"/>
  <c r="D92" i="22"/>
  <c r="C92" i="22"/>
  <c r="E91" i="22"/>
  <c r="D91" i="22"/>
  <c r="D93" i="22"/>
  <c r="C91" i="22"/>
  <c r="C93" i="22" s="1"/>
  <c r="E87" i="22"/>
  <c r="D87" i="22"/>
  <c r="C87" i="22"/>
  <c r="E86" i="22"/>
  <c r="E88" i="22" s="1"/>
  <c r="D86" i="22"/>
  <c r="D88" i="22"/>
  <c r="C86" i="22"/>
  <c r="C88" i="22" s="1"/>
  <c r="E83" i="22"/>
  <c r="E101" i="22" s="1"/>
  <c r="D83" i="22"/>
  <c r="D102" i="22" s="1"/>
  <c r="C83" i="22"/>
  <c r="C101" i="22"/>
  <c r="E76" i="22"/>
  <c r="E77" i="22" s="1"/>
  <c r="D76" i="22"/>
  <c r="C76" i="22"/>
  <c r="E75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34" i="22"/>
  <c r="E28" i="22"/>
  <c r="D28" i="22"/>
  <c r="C28" i="22"/>
  <c r="E27" i="22"/>
  <c r="D27" i="22"/>
  <c r="C27" i="22"/>
  <c r="E23" i="22"/>
  <c r="C23" i="22"/>
  <c r="E21" i="22"/>
  <c r="D21" i="22"/>
  <c r="C21" i="22"/>
  <c r="E12" i="22"/>
  <c r="E33" i="22" s="1"/>
  <c r="D12" i="22"/>
  <c r="D34" i="22"/>
  <c r="C12" i="22"/>
  <c r="C33" i="22" s="1"/>
  <c r="D21" i="21"/>
  <c r="E21" i="21" s="1"/>
  <c r="C21" i="21"/>
  <c r="D19" i="21"/>
  <c r="E19" i="21"/>
  <c r="F19" i="21"/>
  <c r="C19" i="21"/>
  <c r="F17" i="21"/>
  <c r="E17" i="21"/>
  <c r="E15" i="21"/>
  <c r="F15" i="21" s="1"/>
  <c r="D45" i="20"/>
  <c r="C45" i="20"/>
  <c r="E45" i="20" s="1"/>
  <c r="D44" i="20"/>
  <c r="C44" i="20"/>
  <c r="D43" i="20"/>
  <c r="C43" i="20"/>
  <c r="D36" i="20"/>
  <c r="D40" i="20"/>
  <c r="C36" i="20"/>
  <c r="E35" i="20"/>
  <c r="F35" i="20" s="1"/>
  <c r="E34" i="20"/>
  <c r="F34" i="20" s="1"/>
  <c r="E33" i="20"/>
  <c r="F33" i="20" s="1"/>
  <c r="E36" i="20"/>
  <c r="F30" i="20"/>
  <c r="E30" i="20"/>
  <c r="F29" i="20"/>
  <c r="E29" i="20"/>
  <c r="F28" i="20"/>
  <c r="E28" i="20"/>
  <c r="E27" i="20"/>
  <c r="F27" i="20" s="1"/>
  <c r="D25" i="20"/>
  <c r="D39" i="20" s="1"/>
  <c r="C25" i="20"/>
  <c r="C39" i="20" s="1"/>
  <c r="F24" i="20"/>
  <c r="E24" i="20"/>
  <c r="F23" i="20"/>
  <c r="E23" i="20"/>
  <c r="E25" i="20" s="1"/>
  <c r="F22" i="20"/>
  <c r="E22" i="20"/>
  <c r="D19" i="20"/>
  <c r="D20" i="20" s="1"/>
  <c r="C19" i="20"/>
  <c r="C20" i="20" s="1"/>
  <c r="E18" i="20"/>
  <c r="F18" i="20" s="1"/>
  <c r="D16" i="20"/>
  <c r="C16" i="20"/>
  <c r="F15" i="20"/>
  <c r="E15" i="20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60" i="19"/>
  <c r="C59" i="19"/>
  <c r="C49" i="19"/>
  <c r="C48" i="19"/>
  <c r="C64" i="19"/>
  <c r="C36" i="19"/>
  <c r="C32" i="19"/>
  <c r="C33" i="19" s="1"/>
  <c r="C21" i="19"/>
  <c r="E328" i="18"/>
  <c r="E325" i="18"/>
  <c r="D324" i="18"/>
  <c r="E324" i="18"/>
  <c r="C324" i="18"/>
  <c r="C326" i="18" s="1"/>
  <c r="C330" i="18" s="1"/>
  <c r="E318" i="18"/>
  <c r="E315" i="18"/>
  <c r="D314" i="18"/>
  <c r="D316" i="18"/>
  <c r="D320" i="18" s="1"/>
  <c r="E320" i="18" s="1"/>
  <c r="C314" i="18"/>
  <c r="C316" i="18"/>
  <c r="C320" i="18" s="1"/>
  <c r="E308" i="18"/>
  <c r="E305" i="18"/>
  <c r="D301" i="18"/>
  <c r="C301" i="18"/>
  <c r="C303" i="18" s="1"/>
  <c r="C306" i="18" s="1"/>
  <c r="C310" i="18" s="1"/>
  <c r="D293" i="18"/>
  <c r="E293" i="18"/>
  <c r="C293" i="18"/>
  <c r="D292" i="18"/>
  <c r="E292" i="18" s="1"/>
  <c r="C292" i="18"/>
  <c r="D291" i="18"/>
  <c r="C291" i="18"/>
  <c r="E291" i="18" s="1"/>
  <c r="D290" i="18"/>
  <c r="E290" i="18" s="1"/>
  <c r="C290" i="18"/>
  <c r="D288" i="18"/>
  <c r="E288" i="18" s="1"/>
  <c r="C288" i="18"/>
  <c r="D287" i="18"/>
  <c r="E287" i="18" s="1"/>
  <c r="C287" i="18"/>
  <c r="D282" i="18"/>
  <c r="E282" i="18" s="1"/>
  <c r="C282" i="18"/>
  <c r="D281" i="18"/>
  <c r="E281" i="18" s="1"/>
  <c r="C281" i="18"/>
  <c r="D280" i="18"/>
  <c r="C280" i="18"/>
  <c r="D279" i="18"/>
  <c r="E279" i="18" s="1"/>
  <c r="C279" i="18"/>
  <c r="D278" i="18"/>
  <c r="C278" i="18"/>
  <c r="E278" i="18"/>
  <c r="D277" i="18"/>
  <c r="E277" i="18" s="1"/>
  <c r="C277" i="18"/>
  <c r="D276" i="18"/>
  <c r="C276" i="18"/>
  <c r="E276" i="18" s="1"/>
  <c r="E270" i="18"/>
  <c r="D265" i="18"/>
  <c r="C265" i="18"/>
  <c r="C302" i="18"/>
  <c r="D262" i="18"/>
  <c r="C262" i="18"/>
  <c r="E262" i="18" s="1"/>
  <c r="D251" i="18"/>
  <c r="C251" i="18"/>
  <c r="E251" i="18" s="1"/>
  <c r="D233" i="18"/>
  <c r="C233" i="18"/>
  <c r="D232" i="18"/>
  <c r="E232" i="18"/>
  <c r="C232" i="18"/>
  <c r="D231" i="18"/>
  <c r="C231" i="18"/>
  <c r="E231" i="18" s="1"/>
  <c r="D230" i="18"/>
  <c r="E230" i="18"/>
  <c r="C230" i="18"/>
  <c r="D228" i="18"/>
  <c r="C228" i="18"/>
  <c r="D227" i="18"/>
  <c r="C227" i="18"/>
  <c r="D221" i="18"/>
  <c r="D245" i="18" s="1"/>
  <c r="C221" i="18"/>
  <c r="C245" i="18" s="1"/>
  <c r="D220" i="18"/>
  <c r="D244" i="18" s="1"/>
  <c r="C220" i="18"/>
  <c r="C244" i="18" s="1"/>
  <c r="D219" i="18"/>
  <c r="D243" i="18" s="1"/>
  <c r="C219" i="18"/>
  <c r="C243" i="18" s="1"/>
  <c r="D218" i="18"/>
  <c r="D217" i="18" s="1"/>
  <c r="D242" i="18"/>
  <c r="C218" i="18"/>
  <c r="C242" i="18" s="1"/>
  <c r="D216" i="18"/>
  <c r="D240" i="18"/>
  <c r="C216" i="18"/>
  <c r="C240" i="18"/>
  <c r="D215" i="18"/>
  <c r="D239" i="18" s="1"/>
  <c r="E239" i="18" s="1"/>
  <c r="C215" i="18"/>
  <c r="C239" i="18"/>
  <c r="E209" i="18"/>
  <c r="E208" i="18"/>
  <c r="E207" i="18"/>
  <c r="E206" i="18"/>
  <c r="D205" i="18"/>
  <c r="D210" i="18"/>
  <c r="C205" i="18"/>
  <c r="C229" i="18"/>
  <c r="E204" i="18"/>
  <c r="E203" i="18"/>
  <c r="E197" i="18"/>
  <c r="E196" i="18"/>
  <c r="D195" i="18"/>
  <c r="D260" i="18"/>
  <c r="C195" i="18"/>
  <c r="C260" i="18"/>
  <c r="E194" i="18"/>
  <c r="E193" i="18"/>
  <c r="E192" i="18"/>
  <c r="E191" i="18"/>
  <c r="E190" i="18"/>
  <c r="D188" i="18"/>
  <c r="D261" i="18" s="1"/>
  <c r="C188" i="18"/>
  <c r="C261" i="18" s="1"/>
  <c r="E186" i="18"/>
  <c r="E185" i="18"/>
  <c r="D179" i="18"/>
  <c r="E179" i="18" s="1"/>
  <c r="C179" i="18"/>
  <c r="D178" i="18"/>
  <c r="E178" i="18" s="1"/>
  <c r="C178" i="18"/>
  <c r="D177" i="18"/>
  <c r="C177" i="18"/>
  <c r="E177" i="18" s="1"/>
  <c r="D176" i="18"/>
  <c r="C176" i="18"/>
  <c r="E176" i="18" s="1"/>
  <c r="D174" i="18"/>
  <c r="C174" i="18"/>
  <c r="E174" i="18"/>
  <c r="D173" i="18"/>
  <c r="E173" i="18"/>
  <c r="C173" i="18"/>
  <c r="D167" i="18"/>
  <c r="E167" i="18" s="1"/>
  <c r="C167" i="18"/>
  <c r="D166" i="18"/>
  <c r="E166" i="18"/>
  <c r="C166" i="18"/>
  <c r="D165" i="18"/>
  <c r="E165" i="18" s="1"/>
  <c r="C165" i="18"/>
  <c r="D164" i="18"/>
  <c r="E164" i="18"/>
  <c r="C164" i="18"/>
  <c r="D162" i="18"/>
  <c r="E162" i="18"/>
  <c r="C162" i="18"/>
  <c r="D161" i="18"/>
  <c r="C161" i="18"/>
  <c r="E161" i="18" s="1"/>
  <c r="E155" i="18"/>
  <c r="E154" i="18"/>
  <c r="E153" i="18"/>
  <c r="E152" i="18"/>
  <c r="D151" i="18"/>
  <c r="D156" i="18" s="1"/>
  <c r="C151" i="18"/>
  <c r="C156" i="18" s="1"/>
  <c r="C157" i="18" s="1"/>
  <c r="E150" i="18"/>
  <c r="E149" i="18"/>
  <c r="D144" i="18"/>
  <c r="D168" i="18" s="1"/>
  <c r="E143" i="18"/>
  <c r="E142" i="18"/>
  <c r="E141" i="18"/>
  <c r="E140" i="18"/>
  <c r="D139" i="18"/>
  <c r="D175" i="18"/>
  <c r="C139" i="18"/>
  <c r="C163" i="18" s="1"/>
  <c r="E138" i="18"/>
  <c r="E137" i="18"/>
  <c r="D75" i="18"/>
  <c r="E75" i="18"/>
  <c r="C75" i="18"/>
  <c r="D74" i="18"/>
  <c r="E74" i="18" s="1"/>
  <c r="C74" i="18"/>
  <c r="D73" i="18"/>
  <c r="E73" i="18"/>
  <c r="C73" i="18"/>
  <c r="D72" i="18"/>
  <c r="C72" i="18"/>
  <c r="E72" i="18"/>
  <c r="D71" i="18"/>
  <c r="D70" i="18"/>
  <c r="C70" i="18"/>
  <c r="D69" i="18"/>
  <c r="C69" i="18"/>
  <c r="D65" i="18"/>
  <c r="D66" i="18"/>
  <c r="E64" i="18"/>
  <c r="E63" i="18"/>
  <c r="E62" i="18"/>
  <c r="E61" i="18"/>
  <c r="D60" i="18"/>
  <c r="D289" i="18" s="1"/>
  <c r="C60" i="18"/>
  <c r="C289" i="18" s="1"/>
  <c r="E59" i="18"/>
  <c r="E58" i="18"/>
  <c r="D55" i="18"/>
  <c r="D54" i="18"/>
  <c r="E54" i="18" s="1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 s="1"/>
  <c r="C41" i="18"/>
  <c r="D40" i="18"/>
  <c r="E40" i="18" s="1"/>
  <c r="C40" i="18"/>
  <c r="D39" i="18"/>
  <c r="E39" i="18"/>
  <c r="C39" i="18"/>
  <c r="D38" i="18"/>
  <c r="C38" i="18"/>
  <c r="E38" i="18" s="1"/>
  <c r="D37" i="18"/>
  <c r="D43" i="18" s="1"/>
  <c r="C37" i="18"/>
  <c r="D36" i="18"/>
  <c r="C36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C283" i="18" s="1"/>
  <c r="E20" i="18"/>
  <c r="E19" i="18"/>
  <c r="E18" i="18"/>
  <c r="E17" i="18"/>
  <c r="E16" i="18"/>
  <c r="E15" i="18"/>
  <c r="E14" i="18"/>
  <c r="E335" i="17"/>
  <c r="F335" i="17" s="1"/>
  <c r="F334" i="17"/>
  <c r="E334" i="17"/>
  <c r="E333" i="17"/>
  <c r="F333" i="17" s="1"/>
  <c r="F332" i="17"/>
  <c r="E332" i="17"/>
  <c r="E331" i="17"/>
  <c r="F331" i="17" s="1"/>
  <c r="E330" i="17"/>
  <c r="F330" i="17" s="1"/>
  <c r="E329" i="17"/>
  <c r="F329" i="17" s="1"/>
  <c r="F316" i="17"/>
  <c r="E316" i="17"/>
  <c r="D311" i="17"/>
  <c r="E311" i="17"/>
  <c r="C311" i="17"/>
  <c r="F311" i="17" s="1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F249" i="17"/>
  <c r="E249" i="17"/>
  <c r="E248" i="17"/>
  <c r="F248" i="17" s="1"/>
  <c r="F245" i="17"/>
  <c r="E245" i="17"/>
  <c r="E244" i="17"/>
  <c r="F244" i="17" s="1"/>
  <c r="F243" i="17"/>
  <c r="E243" i="17"/>
  <c r="D238" i="17"/>
  <c r="C238" i="17"/>
  <c r="E238" i="17" s="1"/>
  <c r="D237" i="17"/>
  <c r="D239" i="17" s="1"/>
  <c r="E239" i="17" s="1"/>
  <c r="F239" i="17" s="1"/>
  <c r="C237" i="17"/>
  <c r="C239" i="17" s="1"/>
  <c r="E234" i="17"/>
  <c r="F234" i="17" s="1"/>
  <c r="E233" i="17"/>
  <c r="F233" i="17" s="1"/>
  <c r="D230" i="17"/>
  <c r="E230" i="17" s="1"/>
  <c r="F230" i="17" s="1"/>
  <c r="C230" i="17"/>
  <c r="D229" i="17"/>
  <c r="C229" i="17"/>
  <c r="E229" i="17" s="1"/>
  <c r="F228" i="17"/>
  <c r="E228" i="17"/>
  <c r="D226" i="17"/>
  <c r="D227" i="17" s="1"/>
  <c r="C226" i="17"/>
  <c r="C227" i="17"/>
  <c r="E225" i="17"/>
  <c r="F225" i="17" s="1"/>
  <c r="F224" i="17"/>
  <c r="E224" i="17"/>
  <c r="D223" i="17"/>
  <c r="E223" i="17" s="1"/>
  <c r="C223" i="17"/>
  <c r="E222" i="17"/>
  <c r="F222" i="17" s="1"/>
  <c r="E221" i="17"/>
  <c r="F221" i="17" s="1"/>
  <c r="D204" i="17"/>
  <c r="C204" i="17"/>
  <c r="D203" i="17"/>
  <c r="E203" i="17"/>
  <c r="C203" i="17"/>
  <c r="C283" i="17" s="1"/>
  <c r="D198" i="17"/>
  <c r="C198" i="17"/>
  <c r="E198" i="17" s="1"/>
  <c r="C290" i="17"/>
  <c r="D191" i="17"/>
  <c r="C191" i="17"/>
  <c r="C280" i="17" s="1"/>
  <c r="D189" i="17"/>
  <c r="C189" i="17"/>
  <c r="C278" i="17"/>
  <c r="D188" i="17"/>
  <c r="C188" i="17"/>
  <c r="F180" i="17"/>
  <c r="D180" i="17"/>
  <c r="E180" i="17"/>
  <c r="C180" i="17"/>
  <c r="D179" i="17"/>
  <c r="C179" i="17"/>
  <c r="D171" i="17"/>
  <c r="C171" i="17"/>
  <c r="C172" i="17"/>
  <c r="C173" i="17" s="1"/>
  <c r="F173" i="17" s="1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F164" i="17"/>
  <c r="D164" i="17"/>
  <c r="E164" i="17"/>
  <c r="C164" i="17"/>
  <c r="F163" i="17"/>
  <c r="E163" i="17"/>
  <c r="D158" i="17"/>
  <c r="C158" i="17"/>
  <c r="F158" i="17" s="1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 s="1"/>
  <c r="F145" i="17" s="1"/>
  <c r="C145" i="17"/>
  <c r="C146" i="17" s="1"/>
  <c r="D144" i="17"/>
  <c r="C144" i="17"/>
  <c r="D136" i="17"/>
  <c r="D137" i="17" s="1"/>
  <c r="E137" i="17" s="1"/>
  <c r="F137" i="17" s="1"/>
  <c r="C136" i="17"/>
  <c r="C137" i="17" s="1"/>
  <c r="D135" i="17"/>
  <c r="C135" i="17"/>
  <c r="E135" i="17" s="1"/>
  <c r="F134" i="17"/>
  <c r="E134" i="17"/>
  <c r="F133" i="17"/>
  <c r="E133" i="17"/>
  <c r="D130" i="17"/>
  <c r="C130" i="17"/>
  <c r="E130" i="17" s="1"/>
  <c r="D129" i="17"/>
  <c r="E129" i="17" s="1"/>
  <c r="F129" i="17" s="1"/>
  <c r="C129" i="17"/>
  <c r="E128" i="17"/>
  <c r="F128" i="17" s="1"/>
  <c r="D123" i="17"/>
  <c r="D192" i="17"/>
  <c r="C123" i="17"/>
  <c r="F122" i="17"/>
  <c r="E122" i="17"/>
  <c r="F121" i="17"/>
  <c r="E121" i="17"/>
  <c r="D120" i="17"/>
  <c r="C120" i="17"/>
  <c r="F119" i="17"/>
  <c r="E119" i="17"/>
  <c r="F118" i="17"/>
  <c r="E118" i="17"/>
  <c r="D110" i="17"/>
  <c r="E110" i="17" s="1"/>
  <c r="C110" i="17"/>
  <c r="D109" i="17"/>
  <c r="D111" i="17"/>
  <c r="C109" i="17"/>
  <c r="C111" i="17" s="1"/>
  <c r="D101" i="17"/>
  <c r="D102" i="17" s="1"/>
  <c r="C101" i="17"/>
  <c r="C102" i="17"/>
  <c r="D100" i="17"/>
  <c r="E100" i="17" s="1"/>
  <c r="F100" i="17" s="1"/>
  <c r="C100" i="17"/>
  <c r="F99" i="17"/>
  <c r="E99" i="17"/>
  <c r="E98" i="17"/>
  <c r="F98" i="17" s="1"/>
  <c r="D95" i="17"/>
  <c r="E95" i="17" s="1"/>
  <c r="F95" i="17" s="1"/>
  <c r="C95" i="17"/>
  <c r="D94" i="17"/>
  <c r="C94" i="17"/>
  <c r="E93" i="17"/>
  <c r="F93" i="17" s="1"/>
  <c r="D88" i="17"/>
  <c r="D89" i="17" s="1"/>
  <c r="C88" i="17"/>
  <c r="C89" i="17" s="1"/>
  <c r="E87" i="17"/>
  <c r="F87" i="17" s="1"/>
  <c r="F86" i="17"/>
  <c r="E86" i="17"/>
  <c r="D85" i="17"/>
  <c r="E85" i="17" s="1"/>
  <c r="F85" i="17" s="1"/>
  <c r="C85" i="17"/>
  <c r="E84" i="17"/>
  <c r="F84" i="17" s="1"/>
  <c r="E83" i="17"/>
  <c r="F83" i="17" s="1"/>
  <c r="D76" i="17"/>
  <c r="D77" i="17" s="1"/>
  <c r="C76" i="17"/>
  <c r="C77" i="17" s="1"/>
  <c r="E74" i="17"/>
  <c r="F74" i="17"/>
  <c r="E73" i="17"/>
  <c r="F73" i="17"/>
  <c r="D67" i="17"/>
  <c r="C67" i="17"/>
  <c r="D66" i="17"/>
  <c r="D68" i="17" s="1"/>
  <c r="C66" i="17"/>
  <c r="C68" i="17"/>
  <c r="D59" i="17"/>
  <c r="D60" i="17"/>
  <c r="C59" i="17"/>
  <c r="C60" i="17" s="1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 s="1"/>
  <c r="E46" i="17"/>
  <c r="F46" i="17" s="1"/>
  <c r="E45" i="17"/>
  <c r="F45" i="17"/>
  <c r="D44" i="17"/>
  <c r="C44" i="17"/>
  <c r="E43" i="17"/>
  <c r="F43" i="17"/>
  <c r="E42" i="17"/>
  <c r="F42" i="17"/>
  <c r="D36" i="17"/>
  <c r="E36" i="17" s="1"/>
  <c r="F36" i="17" s="1"/>
  <c r="C36" i="17"/>
  <c r="D35" i="17"/>
  <c r="D37" i="17" s="1"/>
  <c r="C35" i="17"/>
  <c r="D30" i="17"/>
  <c r="D31" i="17"/>
  <c r="C30" i="17"/>
  <c r="C31" i="17" s="1"/>
  <c r="D29" i="17"/>
  <c r="E29" i="17" s="1"/>
  <c r="F29" i="17" s="1"/>
  <c r="C29" i="17"/>
  <c r="E28" i="17"/>
  <c r="F28" i="17" s="1"/>
  <c r="E27" i="17"/>
  <c r="F27" i="17"/>
  <c r="D24" i="17"/>
  <c r="C24" i="17"/>
  <c r="D23" i="17"/>
  <c r="E23" i="17" s="1"/>
  <c r="C23" i="17"/>
  <c r="E22" i="17"/>
  <c r="F22" i="17"/>
  <c r="D20" i="17"/>
  <c r="C20" i="17"/>
  <c r="E19" i="17"/>
  <c r="F19" i="17" s="1"/>
  <c r="E18" i="17"/>
  <c r="F18" i="17" s="1"/>
  <c r="D17" i="17"/>
  <c r="C17" i="17"/>
  <c r="E17" i="17" s="1"/>
  <c r="E16" i="17"/>
  <c r="F16" i="17"/>
  <c r="E15" i="17"/>
  <c r="F15" i="17" s="1"/>
  <c r="D22" i="16"/>
  <c r="C22" i="16"/>
  <c r="F21" i="16"/>
  <c r="E21" i="16"/>
  <c r="D18" i="16"/>
  <c r="E18" i="16" s="1"/>
  <c r="F18" i="16" s="1"/>
  <c r="C18" i="16"/>
  <c r="E17" i="16"/>
  <c r="F17" i="16" s="1"/>
  <c r="D14" i="16"/>
  <c r="E14" i="16"/>
  <c r="F14" i="16" s="1"/>
  <c r="C14" i="16"/>
  <c r="F13" i="16"/>
  <c r="E13" i="16"/>
  <c r="E12" i="16"/>
  <c r="F12" i="16" s="1"/>
  <c r="D107" i="15"/>
  <c r="E107" i="15"/>
  <c r="C107" i="15"/>
  <c r="E106" i="15"/>
  <c r="F106" i="15" s="1"/>
  <c r="E105" i="15"/>
  <c r="F105" i="15" s="1"/>
  <c r="F104" i="15"/>
  <c r="E104" i="15"/>
  <c r="D100" i="15"/>
  <c r="E100" i="15" s="1"/>
  <c r="C100" i="15"/>
  <c r="E99" i="15"/>
  <c r="F99" i="15" s="1"/>
  <c r="E98" i="15"/>
  <c r="F98" i="15" s="1"/>
  <c r="F97" i="15"/>
  <c r="E97" i="15"/>
  <c r="E96" i="15"/>
  <c r="F96" i="15" s="1"/>
  <c r="E95" i="15"/>
  <c r="F95" i="15" s="1"/>
  <c r="D92" i="15"/>
  <c r="E92" i="15"/>
  <c r="F92" i="15" s="1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E82" i="15"/>
  <c r="F82" i="15" s="1"/>
  <c r="F81" i="15"/>
  <c r="E81" i="15"/>
  <c r="F80" i="15"/>
  <c r="E80" i="15"/>
  <c r="E79" i="15"/>
  <c r="F79" i="15" s="1"/>
  <c r="D75" i="15"/>
  <c r="C75" i="15"/>
  <c r="E74" i="15"/>
  <c r="F74" i="15" s="1"/>
  <c r="F73" i="15"/>
  <c r="E73" i="15"/>
  <c r="D70" i="15"/>
  <c r="C70" i="15"/>
  <c r="F69" i="15"/>
  <c r="E69" i="15"/>
  <c r="F68" i="15"/>
  <c r="E68" i="15"/>
  <c r="D65" i="15"/>
  <c r="E65" i="15" s="1"/>
  <c r="C65" i="15"/>
  <c r="F65" i="15" s="1"/>
  <c r="F64" i="15"/>
  <c r="E64" i="15"/>
  <c r="F63" i="15"/>
  <c r="E63" i="15"/>
  <c r="D60" i="15"/>
  <c r="C60" i="15"/>
  <c r="E59" i="15"/>
  <c r="E60" i="15" s="1"/>
  <c r="F60" i="15" s="1"/>
  <c r="F58" i="15"/>
  <c r="E58" i="15"/>
  <c r="D55" i="15"/>
  <c r="E55" i="15" s="1"/>
  <c r="F55" i="15"/>
  <c r="C55" i="15"/>
  <c r="F54" i="15"/>
  <c r="E54" i="15"/>
  <c r="F53" i="15"/>
  <c r="E53" i="15"/>
  <c r="D50" i="15"/>
  <c r="C50" i="15"/>
  <c r="F49" i="15"/>
  <c r="E49" i="15"/>
  <c r="F48" i="15"/>
  <c r="E48" i="15"/>
  <c r="D45" i="15"/>
  <c r="E45" i="15" s="1"/>
  <c r="F45" i="15" s="1"/>
  <c r="C45" i="15"/>
  <c r="F44" i="15"/>
  <c r="E44" i="15"/>
  <c r="F43" i="15"/>
  <c r="E43" i="15"/>
  <c r="D37" i="15"/>
  <c r="E37" i="15"/>
  <c r="C37" i="15"/>
  <c r="F37" i="15" s="1"/>
  <c r="F36" i="15"/>
  <c r="E36" i="15"/>
  <c r="F35" i="15"/>
  <c r="E35" i="15"/>
  <c r="F34" i="15"/>
  <c r="E34" i="15"/>
  <c r="F33" i="15"/>
  <c r="E33" i="15"/>
  <c r="D30" i="15"/>
  <c r="E30" i="15" s="1"/>
  <c r="F30" i="15" s="1"/>
  <c r="C30" i="15"/>
  <c r="F29" i="15"/>
  <c r="E29" i="15"/>
  <c r="F28" i="15"/>
  <c r="E28" i="15"/>
  <c r="F27" i="15"/>
  <c r="E27" i="15"/>
  <c r="F26" i="15"/>
  <c r="E26" i="15"/>
  <c r="D23" i="15"/>
  <c r="C23" i="15"/>
  <c r="F22" i="15"/>
  <c r="E22" i="15"/>
  <c r="F21" i="15"/>
  <c r="E21" i="15"/>
  <c r="F20" i="15"/>
  <c r="E20" i="15"/>
  <c r="F19" i="15"/>
  <c r="E19" i="15"/>
  <c r="D16" i="15"/>
  <c r="E16" i="15" s="1"/>
  <c r="F16" i="15" s="1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 s="1"/>
  <c r="E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 s="1"/>
  <c r="E17" i="14"/>
  <c r="E33" i="14" s="1"/>
  <c r="E36" i="14" s="1"/>
  <c r="E38" i="14" s="1"/>
  <c r="E40" i="14" s="1"/>
  <c r="D17" i="14"/>
  <c r="D33" i="14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D80" i="13"/>
  <c r="D77" i="13" s="1"/>
  <c r="C78" i="13"/>
  <c r="C80" i="13" s="1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/>
  <c r="D66" i="13"/>
  <c r="D65" i="13" s="1"/>
  <c r="C66" i="13"/>
  <c r="C65" i="13"/>
  <c r="E60" i="13"/>
  <c r="D60" i="13"/>
  <c r="C60" i="13"/>
  <c r="E58" i="13"/>
  <c r="D58" i="13"/>
  <c r="C58" i="13"/>
  <c r="E55" i="13"/>
  <c r="D55" i="13"/>
  <c r="D50" i="13" s="1"/>
  <c r="C55" i="13"/>
  <c r="E54" i="13"/>
  <c r="D54" i="13"/>
  <c r="C54" i="13"/>
  <c r="C50" i="13" s="1"/>
  <c r="E50" i="13"/>
  <c r="E46" i="13"/>
  <c r="E59" i="13"/>
  <c r="E61" i="13" s="1"/>
  <c r="E57" i="13"/>
  <c r="D46" i="13"/>
  <c r="D59" i="13" s="1"/>
  <c r="D61" i="13" s="1"/>
  <c r="D57" i="13" s="1"/>
  <c r="C46" i="13"/>
  <c r="C59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13" i="13"/>
  <c r="E25" i="13" s="1"/>
  <c r="E27" i="13" s="1"/>
  <c r="D13" i="13"/>
  <c r="D25" i="13" s="1"/>
  <c r="D27" i="13" s="1"/>
  <c r="C13" i="13"/>
  <c r="C25" i="13" s="1"/>
  <c r="C27" i="13" s="1"/>
  <c r="D47" i="12"/>
  <c r="E47" i="12"/>
  <c r="C47" i="12"/>
  <c r="F47" i="12" s="1"/>
  <c r="F46" i="12"/>
  <c r="E46" i="12"/>
  <c r="F45" i="12"/>
  <c r="E45" i="12"/>
  <c r="D40" i="12"/>
  <c r="E40" i="12"/>
  <c r="F40" i="12"/>
  <c r="C40" i="12"/>
  <c r="E39" i="12"/>
  <c r="F39" i="12" s="1"/>
  <c r="F38" i="12"/>
  <c r="E38" i="12"/>
  <c r="E37" i="12"/>
  <c r="F37" i="12" s="1"/>
  <c r="D32" i="12"/>
  <c r="E32" i="12"/>
  <c r="C32" i="12"/>
  <c r="F32" i="12" s="1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F25" i="12"/>
  <c r="E25" i="12"/>
  <c r="E24" i="12"/>
  <c r="F24" i="12" s="1"/>
  <c r="E23" i="12"/>
  <c r="F23" i="12" s="1"/>
  <c r="F19" i="12"/>
  <c r="E19" i="12"/>
  <c r="E18" i="12"/>
  <c r="F18" i="12" s="1"/>
  <c r="F16" i="12"/>
  <c r="E16" i="12"/>
  <c r="D15" i="12"/>
  <c r="D17" i="12"/>
  <c r="C15" i="12"/>
  <c r="C17" i="12"/>
  <c r="F14" i="12"/>
  <c r="E14" i="12"/>
  <c r="E13" i="12"/>
  <c r="F13" i="12" s="1"/>
  <c r="E12" i="12"/>
  <c r="F12" i="12" s="1"/>
  <c r="E11" i="12"/>
  <c r="F11" i="12" s="1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 s="1"/>
  <c r="E65" i="11" s="1"/>
  <c r="C61" i="11"/>
  <c r="C65" i="11"/>
  <c r="F60" i="11"/>
  <c r="E60" i="11"/>
  <c r="E59" i="11"/>
  <c r="F59" i="11" s="1"/>
  <c r="D56" i="11"/>
  <c r="C56" i="11"/>
  <c r="C75" i="11" s="1"/>
  <c r="F55" i="11"/>
  <c r="E55" i="11"/>
  <c r="F54" i="11"/>
  <c r="E54" i="11"/>
  <c r="F53" i="11"/>
  <c r="E53" i="11"/>
  <c r="F52" i="11"/>
  <c r="E52" i="11"/>
  <c r="F51" i="11"/>
  <c r="E51" i="11"/>
  <c r="A51" i="11"/>
  <c r="A52" i="11" s="1"/>
  <c r="A53" i="11" s="1"/>
  <c r="A54" i="11" s="1"/>
  <c r="A55" i="11" s="1"/>
  <c r="E50" i="11"/>
  <c r="F50" i="11"/>
  <c r="A50" i="11"/>
  <c r="E49" i="11"/>
  <c r="F49" i="11" s="1"/>
  <c r="F40" i="11"/>
  <c r="E40" i="11"/>
  <c r="D38" i="11"/>
  <c r="D41" i="11" s="1"/>
  <c r="C38" i="11"/>
  <c r="C41" i="11" s="1"/>
  <c r="E41" i="11" s="1"/>
  <c r="E37" i="11"/>
  <c r="F37" i="11" s="1"/>
  <c r="F36" i="11"/>
  <c r="E36" i="11"/>
  <c r="F33" i="11"/>
  <c r="E33" i="11"/>
  <c r="F32" i="11"/>
  <c r="E32" i="11"/>
  <c r="F31" i="11"/>
  <c r="E31" i="11"/>
  <c r="D29" i="11"/>
  <c r="E29" i="11" s="1"/>
  <c r="F29" i="11" s="1"/>
  <c r="C29" i="11"/>
  <c r="F28" i="11"/>
  <c r="E28" i="11"/>
  <c r="F27" i="11"/>
  <c r="E27" i="11"/>
  <c r="F26" i="11"/>
  <c r="E26" i="11"/>
  <c r="F25" i="11"/>
  <c r="E25" i="11"/>
  <c r="D22" i="11"/>
  <c r="D43" i="11" s="1"/>
  <c r="C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 s="1"/>
  <c r="C120" i="10"/>
  <c r="D119" i="10"/>
  <c r="E119" i="10"/>
  <c r="F119" i="10"/>
  <c r="C119" i="10"/>
  <c r="D118" i="10"/>
  <c r="C118" i="10"/>
  <c r="E118" i="10" s="1"/>
  <c r="D117" i="10"/>
  <c r="C117" i="10"/>
  <c r="D116" i="10"/>
  <c r="C116" i="10"/>
  <c r="E116" i="10" s="1"/>
  <c r="D115" i="10"/>
  <c r="C115" i="10"/>
  <c r="E115" i="10" s="1"/>
  <c r="F115" i="10" s="1"/>
  <c r="D114" i="10"/>
  <c r="C114" i="10"/>
  <c r="E114" i="10" s="1"/>
  <c r="D113" i="10"/>
  <c r="D122" i="10"/>
  <c r="C113" i="10"/>
  <c r="D112" i="10"/>
  <c r="D121" i="10" s="1"/>
  <c r="E121" i="10" s="1"/>
  <c r="C112" i="10"/>
  <c r="C121" i="10"/>
  <c r="D108" i="10"/>
  <c r="E108" i="10" s="1"/>
  <c r="C108" i="10"/>
  <c r="D107" i="10"/>
  <c r="C107" i="10"/>
  <c r="F106" i="10"/>
  <c r="E106" i="10"/>
  <c r="E105" i="10"/>
  <c r="F105" i="10" s="1"/>
  <c r="E104" i="10"/>
  <c r="F104" i="10" s="1"/>
  <c r="E103" i="10"/>
  <c r="F103" i="10" s="1"/>
  <c r="E102" i="10"/>
  <c r="F102" i="10" s="1"/>
  <c r="E101" i="10"/>
  <c r="F101" i="10" s="1"/>
  <c r="E100" i="10"/>
  <c r="F100" i="10" s="1"/>
  <c r="E99" i="10"/>
  <c r="F99" i="10" s="1"/>
  <c r="E98" i="10"/>
  <c r="F98" i="10" s="1"/>
  <c r="D96" i="10"/>
  <c r="E96" i="10" s="1"/>
  <c r="C96" i="10"/>
  <c r="F96" i="10" s="1"/>
  <c r="D95" i="10"/>
  <c r="E95" i="10" s="1"/>
  <c r="C95" i="10"/>
  <c r="F95" i="10" s="1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D84" i="10"/>
  <c r="C84" i="10"/>
  <c r="F84" i="10" s="1"/>
  <c r="F83" i="10"/>
  <c r="D83" i="10"/>
  <c r="E83" i="10" s="1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2" i="10" s="1"/>
  <c r="D71" i="10"/>
  <c r="E71" i="10" s="1"/>
  <c r="C71" i="10"/>
  <c r="F71" i="10" s="1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C60" i="10"/>
  <c r="F60" i="10" s="1"/>
  <c r="D59" i="10"/>
  <c r="C59" i="10"/>
  <c r="F58" i="10"/>
  <c r="E58" i="10"/>
  <c r="E57" i="10"/>
  <c r="F57" i="10" s="1"/>
  <c r="E56" i="10"/>
  <c r="F56" i="10" s="1"/>
  <c r="E55" i="10"/>
  <c r="F55" i="10" s="1"/>
  <c r="E54" i="10"/>
  <c r="F54" i="10" s="1"/>
  <c r="E53" i="10"/>
  <c r="F53" i="10" s="1"/>
  <c r="E52" i="10"/>
  <c r="F52" i="10" s="1"/>
  <c r="E51" i="10"/>
  <c r="F51" i="10" s="1"/>
  <c r="F50" i="10"/>
  <c r="E50" i="10"/>
  <c r="D48" i="10"/>
  <c r="E48" i="10" s="1"/>
  <c r="C48" i="10"/>
  <c r="F48" i="10" s="1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/>
  <c r="C35" i="10"/>
  <c r="E34" i="10"/>
  <c r="F34" i="10" s="1"/>
  <c r="E33" i="10"/>
  <c r="F33" i="10" s="1"/>
  <c r="F32" i="10"/>
  <c r="E32" i="10"/>
  <c r="E31" i="10"/>
  <c r="F31" i="10" s="1"/>
  <c r="E30" i="10"/>
  <c r="F30" i="10" s="1"/>
  <c r="E29" i="10"/>
  <c r="F29" i="10" s="1"/>
  <c r="E28" i="10"/>
  <c r="F28" i="10" s="1"/>
  <c r="E27" i="10"/>
  <c r="F27" i="10" s="1"/>
  <c r="E26" i="10"/>
  <c r="F26" i="10" s="1"/>
  <c r="D24" i="10"/>
  <c r="C24" i="10"/>
  <c r="D23" i="10"/>
  <c r="E23" i="10" s="1"/>
  <c r="C23" i="10"/>
  <c r="F23" i="10" s="1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C205" i="9"/>
  <c r="D204" i="9"/>
  <c r="E204" i="9"/>
  <c r="C204" i="9"/>
  <c r="D203" i="9"/>
  <c r="C203" i="9"/>
  <c r="D202" i="9"/>
  <c r="E202" i="9"/>
  <c r="C202" i="9"/>
  <c r="D201" i="9"/>
  <c r="C201" i="9"/>
  <c r="D200" i="9"/>
  <c r="E200" i="9"/>
  <c r="C200" i="9"/>
  <c r="D199" i="9"/>
  <c r="D208" i="9"/>
  <c r="E208" i="9" s="1"/>
  <c r="C199" i="9"/>
  <c r="C208" i="9" s="1"/>
  <c r="D198" i="9"/>
  <c r="C198" i="9"/>
  <c r="C207" i="9"/>
  <c r="D193" i="9"/>
  <c r="C193" i="9"/>
  <c r="D192" i="9"/>
  <c r="E192" i="9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D179" i="9"/>
  <c r="E179" i="9" s="1"/>
  <c r="C179" i="9"/>
  <c r="F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C167" i="9"/>
  <c r="F167" i="9" s="1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C154" i="9"/>
  <c r="F154" i="9" s="1"/>
  <c r="D153" i="9"/>
  <c r="E153" i="9" s="1"/>
  <c r="C153" i="9"/>
  <c r="F153" i="9" s="1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 s="1"/>
  <c r="D140" i="9"/>
  <c r="E140" i="9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C128" i="9"/>
  <c r="D127" i="9"/>
  <c r="E127" i="9"/>
  <c r="C127" i="9"/>
  <c r="E126" i="9"/>
  <c r="F126" i="9" s="1"/>
  <c r="E125" i="9"/>
  <c r="F125" i="9" s="1"/>
  <c r="F124" i="9"/>
  <c r="E124" i="9"/>
  <c r="F123" i="9"/>
  <c r="E123" i="9"/>
  <c r="F122" i="9"/>
  <c r="E122" i="9"/>
  <c r="E121" i="9"/>
  <c r="F121" i="9" s="1"/>
  <c r="F120" i="9"/>
  <c r="E120" i="9"/>
  <c r="F119" i="9"/>
  <c r="E119" i="9"/>
  <c r="F118" i="9"/>
  <c r="E118" i="9"/>
  <c r="D115" i="9"/>
  <c r="E115" i="9"/>
  <c r="F115" i="9" s="1"/>
  <c r="C115" i="9"/>
  <c r="D114" i="9"/>
  <c r="E114" i="9" s="1"/>
  <c r="F114" i="9" s="1"/>
  <c r="C114" i="9"/>
  <c r="E113" i="9"/>
  <c r="F113" i="9" s="1"/>
  <c r="F112" i="9"/>
  <c r="E112" i="9"/>
  <c r="F111" i="9"/>
  <c r="E111" i="9"/>
  <c r="F110" i="9"/>
  <c r="E110" i="9"/>
  <c r="E109" i="9"/>
  <c r="F109" i="9" s="1"/>
  <c r="F108" i="9"/>
  <c r="E108" i="9"/>
  <c r="F107" i="9"/>
  <c r="E107" i="9"/>
  <c r="F106" i="9"/>
  <c r="E106" i="9"/>
  <c r="E105" i="9"/>
  <c r="F105" i="9" s="1"/>
  <c r="D102" i="9"/>
  <c r="E102" i="9" s="1"/>
  <c r="F102" i="9"/>
  <c r="C102" i="9"/>
  <c r="D101" i="9"/>
  <c r="C101" i="9"/>
  <c r="F100" i="9"/>
  <c r="E100" i="9"/>
  <c r="F99" i="9"/>
  <c r="E99" i="9"/>
  <c r="F98" i="9"/>
  <c r="E98" i="9"/>
  <c r="E97" i="9"/>
  <c r="F97" i="9" s="1"/>
  <c r="F96" i="9"/>
  <c r="E96" i="9"/>
  <c r="F95" i="9"/>
  <c r="E95" i="9"/>
  <c r="F94" i="9"/>
  <c r="E94" i="9"/>
  <c r="E93" i="9"/>
  <c r="F93" i="9" s="1"/>
  <c r="F92" i="9"/>
  <c r="E92" i="9"/>
  <c r="D89" i="9"/>
  <c r="E89" i="9" s="1"/>
  <c r="F89" i="9" s="1"/>
  <c r="C89" i="9"/>
  <c r="D88" i="9"/>
  <c r="E88" i="9"/>
  <c r="F88" i="9"/>
  <c r="C88" i="9"/>
  <c r="F87" i="9"/>
  <c r="E87" i="9"/>
  <c r="F86" i="9"/>
  <c r="E86" i="9"/>
  <c r="E85" i="9"/>
  <c r="F85" i="9" s="1"/>
  <c r="F84" i="9"/>
  <c r="E84" i="9"/>
  <c r="F83" i="9"/>
  <c r="E83" i="9"/>
  <c r="F82" i="9"/>
  <c r="E82" i="9"/>
  <c r="E81" i="9"/>
  <c r="F81" i="9" s="1"/>
  <c r="F80" i="9"/>
  <c r="E80" i="9"/>
  <c r="F79" i="9"/>
  <c r="E79" i="9"/>
  <c r="D76" i="9"/>
  <c r="C76" i="9"/>
  <c r="D75" i="9"/>
  <c r="E75" i="9" s="1"/>
  <c r="F75" i="9" s="1"/>
  <c r="C75" i="9"/>
  <c r="F74" i="9"/>
  <c r="E74" i="9"/>
  <c r="E73" i="9"/>
  <c r="F73" i="9" s="1"/>
  <c r="F72" i="9"/>
  <c r="E72" i="9"/>
  <c r="F71" i="9"/>
  <c r="E71" i="9"/>
  <c r="F70" i="9"/>
  <c r="E70" i="9"/>
  <c r="E69" i="9"/>
  <c r="F69" i="9" s="1"/>
  <c r="F68" i="9"/>
  <c r="E68" i="9"/>
  <c r="F67" i="9"/>
  <c r="E67" i="9"/>
  <c r="F66" i="9"/>
  <c r="E66" i="9"/>
  <c r="D63" i="9"/>
  <c r="E63" i="9"/>
  <c r="F63" i="9"/>
  <c r="C63" i="9"/>
  <c r="D62" i="9"/>
  <c r="E62" i="9" s="1"/>
  <c r="F62" i="9" s="1"/>
  <c r="C62" i="9"/>
  <c r="E61" i="9"/>
  <c r="F61" i="9" s="1"/>
  <c r="F60" i="9"/>
  <c r="E60" i="9"/>
  <c r="F59" i="9"/>
  <c r="E59" i="9"/>
  <c r="F58" i="9"/>
  <c r="E58" i="9"/>
  <c r="E57" i="9"/>
  <c r="F57" i="9" s="1"/>
  <c r="F56" i="9"/>
  <c r="E56" i="9"/>
  <c r="F55" i="9"/>
  <c r="E55" i="9"/>
  <c r="F54" i="9"/>
  <c r="E54" i="9"/>
  <c r="E53" i="9"/>
  <c r="F53" i="9" s="1"/>
  <c r="D50" i="9"/>
  <c r="E50" i="9" s="1"/>
  <c r="F50" i="9" s="1"/>
  <c r="C50" i="9"/>
  <c r="D49" i="9"/>
  <c r="C49" i="9"/>
  <c r="F48" i="9"/>
  <c r="E48" i="9"/>
  <c r="F47" i="9"/>
  <c r="E47" i="9"/>
  <c r="F46" i="9"/>
  <c r="E46" i="9"/>
  <c r="E45" i="9"/>
  <c r="F45" i="9" s="1"/>
  <c r="F44" i="9"/>
  <c r="E44" i="9"/>
  <c r="F43" i="9"/>
  <c r="E43" i="9"/>
  <c r="F42" i="9"/>
  <c r="E42" i="9"/>
  <c r="E41" i="9"/>
  <c r="F41" i="9" s="1"/>
  <c r="F40" i="9"/>
  <c r="E40" i="9"/>
  <c r="F37" i="9"/>
  <c r="D37" i="9"/>
  <c r="E37" i="9"/>
  <c r="C37" i="9"/>
  <c r="F36" i="9"/>
  <c r="D36" i="9"/>
  <c r="E36" i="9" s="1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E23" i="9" s="1"/>
  <c r="F23" i="9"/>
  <c r="C23" i="9"/>
  <c r="F22" i="9"/>
  <c r="E22" i="9"/>
  <c r="E21" i="9"/>
  <c r="F21" i="9" s="1"/>
  <c r="F20" i="9"/>
  <c r="E20" i="9"/>
  <c r="F19" i="9"/>
  <c r="E19" i="9"/>
  <c r="F18" i="9"/>
  <c r="E18" i="9"/>
  <c r="E17" i="9"/>
  <c r="F17" i="9" s="1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C164" i="8"/>
  <c r="C160" i="8" s="1"/>
  <c r="E162" i="8"/>
  <c r="D162" i="8"/>
  <c r="D166" i="8" s="1"/>
  <c r="C162" i="8"/>
  <c r="E161" i="8"/>
  <c r="D161" i="8"/>
  <c r="C161" i="8"/>
  <c r="E160" i="8"/>
  <c r="E166" i="8" s="1"/>
  <c r="C166" i="8"/>
  <c r="E147" i="8"/>
  <c r="D147" i="8"/>
  <c r="D143" i="8" s="1"/>
  <c r="D149" i="8" s="1"/>
  <c r="C147" i="8"/>
  <c r="C143" i="8" s="1"/>
  <c r="C149" i="8" s="1"/>
  <c r="C137" i="8" s="1"/>
  <c r="E145" i="8"/>
  <c r="D145" i="8"/>
  <c r="C145" i="8"/>
  <c r="E144" i="8"/>
  <c r="D144" i="8"/>
  <c r="C144" i="8"/>
  <c r="E143" i="8"/>
  <c r="E149" i="8"/>
  <c r="E140" i="8" s="1"/>
  <c r="E126" i="8"/>
  <c r="D126" i="8"/>
  <c r="C126" i="8"/>
  <c r="E119" i="8"/>
  <c r="D119" i="8"/>
  <c r="C119" i="8"/>
  <c r="E108" i="8"/>
  <c r="E109" i="8" s="1"/>
  <c r="E106" i="8" s="1"/>
  <c r="D108" i="8"/>
  <c r="C108" i="8"/>
  <c r="E107" i="8"/>
  <c r="D107" i="8"/>
  <c r="D109" i="8"/>
  <c r="D106" i="8" s="1"/>
  <c r="C107" i="8"/>
  <c r="C109" i="8"/>
  <c r="C106" i="8" s="1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 s="1"/>
  <c r="D94" i="8"/>
  <c r="E89" i="8"/>
  <c r="D89" i="8"/>
  <c r="C89" i="8"/>
  <c r="E87" i="8"/>
  <c r="D87" i="8"/>
  <c r="C87" i="8"/>
  <c r="E84" i="8"/>
  <c r="D84" i="8"/>
  <c r="D79" i="8" s="1"/>
  <c r="C84" i="8"/>
  <c r="E83" i="8"/>
  <c r="E79" i="8" s="1"/>
  <c r="D83" i="8"/>
  <c r="C83" i="8"/>
  <c r="C79" i="8"/>
  <c r="E77" i="8"/>
  <c r="C77" i="8"/>
  <c r="C71" i="8" s="1"/>
  <c r="E75" i="8"/>
  <c r="E88" i="8"/>
  <c r="E90" i="8"/>
  <c r="E86" i="8" s="1"/>
  <c r="D75" i="8"/>
  <c r="D88" i="8" s="1"/>
  <c r="D90" i="8" s="1"/>
  <c r="C75" i="8"/>
  <c r="C88" i="8"/>
  <c r="C90" i="8" s="1"/>
  <c r="C86" i="8" s="1"/>
  <c r="E74" i="8"/>
  <c r="D74" i="8"/>
  <c r="C74" i="8"/>
  <c r="E67" i="8"/>
  <c r="D67" i="8"/>
  <c r="C67" i="8"/>
  <c r="D53" i="8"/>
  <c r="E38" i="8"/>
  <c r="E57" i="8" s="1"/>
  <c r="E62" i="8" s="1"/>
  <c r="D38" i="8"/>
  <c r="D43" i="8" s="1"/>
  <c r="D57" i="8"/>
  <c r="D62" i="8"/>
  <c r="C38" i="8"/>
  <c r="E33" i="8"/>
  <c r="E34" i="8"/>
  <c r="D33" i="8"/>
  <c r="D34" i="8"/>
  <c r="E26" i="8"/>
  <c r="D26" i="8"/>
  <c r="C26" i="8"/>
  <c r="C25" i="8"/>
  <c r="C27" i="8" s="1"/>
  <c r="C15" i="8"/>
  <c r="C24" i="8" s="1"/>
  <c r="E13" i="8"/>
  <c r="D13" i="8"/>
  <c r="D25" i="8"/>
  <c r="D27" i="8" s="1"/>
  <c r="C13" i="8"/>
  <c r="E186" i="7"/>
  <c r="F186" i="7" s="1"/>
  <c r="D183" i="7"/>
  <c r="C183" i="7"/>
  <c r="C188" i="7" s="1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E170" i="7"/>
  <c r="F170" i="7" s="1"/>
  <c r="D167" i="7"/>
  <c r="E167" i="7" s="1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E157" i="7"/>
  <c r="F157" i="7" s="1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E141" i="7"/>
  <c r="F141" i="7" s="1"/>
  <c r="F140" i="7"/>
  <c r="E140" i="7"/>
  <c r="F139" i="7"/>
  <c r="E139" i="7"/>
  <c r="F138" i="7"/>
  <c r="E138" i="7"/>
  <c r="E137" i="7"/>
  <c r="F137" i="7" s="1"/>
  <c r="F136" i="7"/>
  <c r="E136" i="7"/>
  <c r="F135" i="7"/>
  <c r="E135" i="7"/>
  <c r="F134" i="7"/>
  <c r="E134" i="7"/>
  <c r="E133" i="7"/>
  <c r="F133" i="7" s="1"/>
  <c r="D130" i="7"/>
  <c r="E130" i="7" s="1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 s="1"/>
  <c r="F121" i="7"/>
  <c r="C121" i="7"/>
  <c r="F120" i="7"/>
  <c r="E120" i="7"/>
  <c r="E119" i="7"/>
  <c r="F119" i="7" s="1"/>
  <c r="F118" i="7"/>
  <c r="E118" i="7"/>
  <c r="F117" i="7"/>
  <c r="E117" i="7"/>
  <c r="F116" i="7"/>
  <c r="E116" i="7"/>
  <c r="E115" i="7"/>
  <c r="F115" i="7" s="1"/>
  <c r="F114" i="7"/>
  <c r="E114" i="7"/>
  <c r="F113" i="7"/>
  <c r="E113" i="7"/>
  <c r="F112" i="7"/>
  <c r="E112" i="7"/>
  <c r="E111" i="7"/>
  <c r="F111" i="7" s="1"/>
  <c r="F110" i="7"/>
  <c r="E110" i="7"/>
  <c r="F109" i="7"/>
  <c r="E109" i="7"/>
  <c r="F108" i="7"/>
  <c r="E108" i="7"/>
  <c r="E107" i="7"/>
  <c r="F107" i="7" s="1"/>
  <c r="F106" i="7"/>
  <c r="E106" i="7"/>
  <c r="F105" i="7"/>
  <c r="E105" i="7"/>
  <c r="F104" i="7"/>
  <c r="E104" i="7"/>
  <c r="E103" i="7"/>
  <c r="F103" i="7" s="1"/>
  <c r="F93" i="7"/>
  <c r="E93" i="7"/>
  <c r="D90" i="7"/>
  <c r="C90" i="7"/>
  <c r="F89" i="7"/>
  <c r="E89" i="7"/>
  <c r="E88" i="7"/>
  <c r="F88" i="7" s="1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E76" i="7"/>
  <c r="F76" i="7" s="1"/>
  <c r="E75" i="7"/>
  <c r="F75" i="7" s="1"/>
  <c r="F74" i="7"/>
  <c r="E74" i="7"/>
  <c r="E73" i="7"/>
  <c r="F73" i="7" s="1"/>
  <c r="F72" i="7"/>
  <c r="E72" i="7"/>
  <c r="F71" i="7"/>
  <c r="E71" i="7"/>
  <c r="E70" i="7"/>
  <c r="F70" i="7" s="1"/>
  <c r="E69" i="7"/>
  <c r="F69" i="7" s="1"/>
  <c r="E68" i="7"/>
  <c r="F68" i="7" s="1"/>
  <c r="F67" i="7"/>
  <c r="E67" i="7"/>
  <c r="F66" i="7"/>
  <c r="E66" i="7"/>
  <c r="F65" i="7"/>
  <c r="E65" i="7"/>
  <c r="E64" i="7"/>
  <c r="F64" i="7" s="1"/>
  <c r="E63" i="7"/>
  <c r="F63" i="7" s="1"/>
  <c r="E62" i="7"/>
  <c r="F62" i="7" s="1"/>
  <c r="D59" i="7"/>
  <c r="E59" i="7" s="1"/>
  <c r="C59" i="7"/>
  <c r="E58" i="7"/>
  <c r="F58" i="7" s="1"/>
  <c r="E57" i="7"/>
  <c r="F57" i="7" s="1"/>
  <c r="F56" i="7"/>
  <c r="E56" i="7"/>
  <c r="F55" i="7"/>
  <c r="E55" i="7"/>
  <c r="E54" i="7"/>
  <c r="F54" i="7" s="1"/>
  <c r="E53" i="7"/>
  <c r="F53" i="7" s="1"/>
  <c r="F50" i="7"/>
  <c r="E50" i="7"/>
  <c r="E47" i="7"/>
  <c r="F47" i="7" s="1"/>
  <c r="E44" i="7"/>
  <c r="F44" i="7" s="1"/>
  <c r="D41" i="7"/>
  <c r="F41" i="7"/>
  <c r="C41" i="7"/>
  <c r="E41" i="7" s="1"/>
  <c r="E40" i="7"/>
  <c r="F40" i="7" s="1"/>
  <c r="E39" i="7"/>
  <c r="F39" i="7" s="1"/>
  <c r="E38" i="7"/>
  <c r="F38" i="7" s="1"/>
  <c r="D35" i="7"/>
  <c r="E35" i="7" s="1"/>
  <c r="C35" i="7"/>
  <c r="E34" i="7"/>
  <c r="F34" i="7" s="1"/>
  <c r="E33" i="7"/>
  <c r="F33" i="7" s="1"/>
  <c r="D30" i="7"/>
  <c r="E30" i="7"/>
  <c r="C30" i="7"/>
  <c r="F29" i="7"/>
  <c r="E29" i="7"/>
  <c r="E28" i="7"/>
  <c r="F28" i="7" s="1"/>
  <c r="F27" i="7"/>
  <c r="E27" i="7"/>
  <c r="D24" i="7"/>
  <c r="E24" i="7"/>
  <c r="C24" i="7"/>
  <c r="E23" i="7"/>
  <c r="F23" i="7" s="1"/>
  <c r="F22" i="7"/>
  <c r="E22" i="7"/>
  <c r="E21" i="7"/>
  <c r="F21" i="7" s="1"/>
  <c r="D18" i="7"/>
  <c r="C18" i="7"/>
  <c r="E17" i="7"/>
  <c r="F17" i="7" s="1"/>
  <c r="E16" i="7"/>
  <c r="F16" i="7" s="1"/>
  <c r="E15" i="7"/>
  <c r="F15" i="7" s="1"/>
  <c r="D179" i="6"/>
  <c r="C179" i="6"/>
  <c r="E179" i="6" s="1"/>
  <c r="F178" i="6"/>
  <c r="E178" i="6"/>
  <c r="F177" i="6"/>
  <c r="E177" i="6"/>
  <c r="E176" i="6"/>
  <c r="F176" i="6" s="1"/>
  <c r="E175" i="6"/>
  <c r="F175" i="6" s="1"/>
  <c r="E174" i="6"/>
  <c r="F174" i="6" s="1"/>
  <c r="E173" i="6"/>
  <c r="F173" i="6" s="1"/>
  <c r="E172" i="6"/>
  <c r="F172" i="6" s="1"/>
  <c r="F171" i="6"/>
  <c r="E171" i="6"/>
  <c r="E170" i="6"/>
  <c r="F170" i="6" s="1"/>
  <c r="E169" i="6"/>
  <c r="F169" i="6" s="1"/>
  <c r="E168" i="6"/>
  <c r="F168" i="6" s="1"/>
  <c r="D166" i="6"/>
  <c r="C166" i="6"/>
  <c r="F165" i="6"/>
  <c r="E165" i="6"/>
  <c r="F164" i="6"/>
  <c r="E164" i="6"/>
  <c r="E163" i="6"/>
  <c r="F163" i="6" s="1"/>
  <c r="E162" i="6"/>
  <c r="F162" i="6" s="1"/>
  <c r="E161" i="6"/>
  <c r="F161" i="6" s="1"/>
  <c r="E160" i="6"/>
  <c r="F160" i="6" s="1"/>
  <c r="E159" i="6"/>
  <c r="F159" i="6" s="1"/>
  <c r="E158" i="6"/>
  <c r="F158" i="6" s="1"/>
  <c r="E157" i="6"/>
  <c r="F157" i="6" s="1"/>
  <c r="E156" i="6"/>
  <c r="F156" i="6" s="1"/>
  <c r="E155" i="6"/>
  <c r="F155" i="6" s="1"/>
  <c r="D153" i="6"/>
  <c r="C153" i="6"/>
  <c r="F152" i="6"/>
  <c r="E152" i="6"/>
  <c r="F151" i="6"/>
  <c r="E151" i="6"/>
  <c r="E150" i="6"/>
  <c r="F150" i="6" s="1"/>
  <c r="E149" i="6"/>
  <c r="F149" i="6" s="1"/>
  <c r="E148" i="6"/>
  <c r="F148" i="6" s="1"/>
  <c r="F147" i="6"/>
  <c r="E147" i="6"/>
  <c r="E146" i="6"/>
  <c r="F146" i="6" s="1"/>
  <c r="E145" i="6"/>
  <c r="F145" i="6" s="1"/>
  <c r="E144" i="6"/>
  <c r="F144" i="6" s="1"/>
  <c r="F143" i="6"/>
  <c r="E143" i="6"/>
  <c r="E142" i="6"/>
  <c r="F142" i="6" s="1"/>
  <c r="D137" i="6"/>
  <c r="C137" i="6"/>
  <c r="F136" i="6"/>
  <c r="E136" i="6"/>
  <c r="F135" i="6"/>
  <c r="E135" i="6"/>
  <c r="E134" i="6"/>
  <c r="F134" i="6" s="1"/>
  <c r="E133" i="6"/>
  <c r="F133" i="6" s="1"/>
  <c r="E132" i="6"/>
  <c r="F132" i="6" s="1"/>
  <c r="E131" i="6"/>
  <c r="F131" i="6" s="1"/>
  <c r="E130" i="6"/>
  <c r="F130" i="6" s="1"/>
  <c r="E129" i="6"/>
  <c r="F129" i="6" s="1"/>
  <c r="F128" i="6"/>
  <c r="E128" i="6"/>
  <c r="E127" i="6"/>
  <c r="F127" i="6" s="1"/>
  <c r="E126" i="6"/>
  <c r="F126" i="6" s="1"/>
  <c r="D124" i="6"/>
  <c r="C124" i="6"/>
  <c r="F123" i="6"/>
  <c r="E123" i="6"/>
  <c r="F122" i="6"/>
  <c r="E122" i="6"/>
  <c r="E121" i="6"/>
  <c r="F121" i="6" s="1"/>
  <c r="F120" i="6"/>
  <c r="E120" i="6"/>
  <c r="E119" i="6"/>
  <c r="F119" i="6" s="1"/>
  <c r="E118" i="6"/>
  <c r="F118" i="6" s="1"/>
  <c r="E117" i="6"/>
  <c r="F117" i="6" s="1"/>
  <c r="F116" i="6"/>
  <c r="E116" i="6"/>
  <c r="E115" i="6"/>
  <c r="F115" i="6" s="1"/>
  <c r="E114" i="6"/>
  <c r="F114" i="6" s="1"/>
  <c r="E113" i="6"/>
  <c r="F113" i="6" s="1"/>
  <c r="D111" i="6"/>
  <c r="E111" i="6"/>
  <c r="C111" i="6"/>
  <c r="F110" i="6"/>
  <c r="E110" i="6"/>
  <c r="F109" i="6"/>
  <c r="E109" i="6"/>
  <c r="E108" i="6"/>
  <c r="F108" i="6" s="1"/>
  <c r="E107" i="6"/>
  <c r="F107" i="6" s="1"/>
  <c r="E106" i="6"/>
  <c r="F106" i="6" s="1"/>
  <c r="E105" i="6"/>
  <c r="F105" i="6" s="1"/>
  <c r="E104" i="6"/>
  <c r="F104" i="6" s="1"/>
  <c r="E103" i="6"/>
  <c r="F103" i="6" s="1"/>
  <c r="E102" i="6"/>
  <c r="F102" i="6" s="1"/>
  <c r="E101" i="6"/>
  <c r="F101" i="6" s="1"/>
  <c r="F100" i="6"/>
  <c r="E100" i="6"/>
  <c r="D94" i="6"/>
  <c r="C94" i="6"/>
  <c r="F94" i="6" s="1"/>
  <c r="D93" i="6"/>
  <c r="E93" i="6" s="1"/>
  <c r="C93" i="6"/>
  <c r="F93" i="6" s="1"/>
  <c r="D92" i="6"/>
  <c r="E92" i="6"/>
  <c r="C92" i="6"/>
  <c r="D91" i="6"/>
  <c r="C91" i="6"/>
  <c r="E91" i="6" s="1"/>
  <c r="F91" i="6" s="1"/>
  <c r="D90" i="6"/>
  <c r="C90" i="6"/>
  <c r="D89" i="6"/>
  <c r="E89" i="6"/>
  <c r="C89" i="6"/>
  <c r="D88" i="6"/>
  <c r="C88" i="6"/>
  <c r="D87" i="6"/>
  <c r="C87" i="6"/>
  <c r="E87" i="6" s="1"/>
  <c r="F87" i="6" s="1"/>
  <c r="D86" i="6"/>
  <c r="C86" i="6"/>
  <c r="D85" i="6"/>
  <c r="C85" i="6"/>
  <c r="D84" i="6"/>
  <c r="C84" i="6"/>
  <c r="D81" i="6"/>
  <c r="E81" i="6"/>
  <c r="F81" i="6"/>
  <c r="C81" i="6"/>
  <c r="F80" i="6"/>
  <c r="E80" i="6"/>
  <c r="F79" i="6"/>
  <c r="E79" i="6"/>
  <c r="E78" i="6"/>
  <c r="F78" i="6" s="1"/>
  <c r="F77" i="6"/>
  <c r="E77" i="6"/>
  <c r="F76" i="6"/>
  <c r="E76" i="6"/>
  <c r="F75" i="6"/>
  <c r="E75" i="6"/>
  <c r="E74" i="6"/>
  <c r="F74" i="6" s="1"/>
  <c r="F73" i="6"/>
  <c r="E73" i="6"/>
  <c r="F72" i="6"/>
  <c r="E72" i="6"/>
  <c r="F71" i="6"/>
  <c r="E71" i="6"/>
  <c r="E70" i="6"/>
  <c r="F70" i="6" s="1"/>
  <c r="D68" i="6"/>
  <c r="E68" i="6" s="1"/>
  <c r="F68" i="6" s="1"/>
  <c r="C68" i="6"/>
  <c r="F67" i="6"/>
  <c r="E67" i="6"/>
  <c r="F66" i="6"/>
  <c r="E66" i="6"/>
  <c r="F65" i="6"/>
  <c r="E65" i="6"/>
  <c r="F64" i="6"/>
  <c r="E64" i="6"/>
  <c r="F63" i="6"/>
  <c r="E63" i="6"/>
  <c r="E62" i="6"/>
  <c r="F62" i="6" s="1"/>
  <c r="F61" i="6"/>
  <c r="E61" i="6"/>
  <c r="F60" i="6"/>
  <c r="E60" i="6"/>
  <c r="F59" i="6"/>
  <c r="E59" i="6"/>
  <c r="E58" i="6"/>
  <c r="F58" i="6" s="1"/>
  <c r="F57" i="6"/>
  <c r="E57" i="6"/>
  <c r="F51" i="6"/>
  <c r="D51" i="6"/>
  <c r="E51" i="6"/>
  <c r="C51" i="6"/>
  <c r="F50" i="6"/>
  <c r="D50" i="6"/>
  <c r="E50" i="6"/>
  <c r="C50" i="6"/>
  <c r="D49" i="6"/>
  <c r="E49" i="6" s="1"/>
  <c r="F49" i="6"/>
  <c r="C49" i="6"/>
  <c r="D48" i="6"/>
  <c r="E48" i="6" s="1"/>
  <c r="F48" i="6" s="1"/>
  <c r="C48" i="6"/>
  <c r="D47" i="6"/>
  <c r="E47" i="6" s="1"/>
  <c r="F47" i="6" s="1"/>
  <c r="C47" i="6"/>
  <c r="D46" i="6"/>
  <c r="E46" i="6"/>
  <c r="F46" i="6" s="1"/>
  <c r="C46" i="6"/>
  <c r="D45" i="6"/>
  <c r="E45" i="6" s="1"/>
  <c r="F45" i="6"/>
  <c r="C45" i="6"/>
  <c r="D44" i="6"/>
  <c r="E44" i="6" s="1"/>
  <c r="F44" i="6" s="1"/>
  <c r="C44" i="6"/>
  <c r="D43" i="6"/>
  <c r="E43" i="6" s="1"/>
  <c r="F43" i="6"/>
  <c r="C43" i="6"/>
  <c r="D42" i="6"/>
  <c r="E42" i="6"/>
  <c r="F42" i="6" s="1"/>
  <c r="C42" i="6"/>
  <c r="D41" i="6"/>
  <c r="C41" i="6"/>
  <c r="C52" i="6"/>
  <c r="D38" i="6"/>
  <c r="E38" i="6"/>
  <c r="C38" i="6"/>
  <c r="F37" i="6"/>
  <c r="E37" i="6"/>
  <c r="F36" i="6"/>
  <c r="E36" i="6"/>
  <c r="F35" i="6"/>
  <c r="E35" i="6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F27" i="6"/>
  <c r="E27" i="6"/>
  <c r="D25" i="6"/>
  <c r="C25" i="6"/>
  <c r="F24" i="6"/>
  <c r="E24" i="6"/>
  <c r="F23" i="6"/>
  <c r="E23" i="6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51" i="5"/>
  <c r="F51" i="5" s="1"/>
  <c r="D48" i="5"/>
  <c r="E48" i="5"/>
  <c r="C48" i="5"/>
  <c r="F48" i="5" s="1"/>
  <c r="F47" i="5"/>
  <c r="E47" i="5"/>
  <c r="F46" i="5"/>
  <c r="E46" i="5"/>
  <c r="D41" i="5"/>
  <c r="E41" i="5"/>
  <c r="F41" i="5"/>
  <c r="C41" i="5"/>
  <c r="E40" i="5"/>
  <c r="F40" i="5" s="1"/>
  <c r="F39" i="5"/>
  <c r="E39" i="5"/>
  <c r="E38" i="5"/>
  <c r="F38" i="5" s="1"/>
  <c r="D33" i="5"/>
  <c r="C33" i="5"/>
  <c r="E32" i="5"/>
  <c r="F32" i="5" s="1"/>
  <c r="E31" i="5"/>
  <c r="F31" i="5" s="1"/>
  <c r="E30" i="5"/>
  <c r="F30" i="5" s="1"/>
  <c r="E29" i="5"/>
  <c r="F29" i="5" s="1"/>
  <c r="E28" i="5"/>
  <c r="F28" i="5" s="1"/>
  <c r="E27" i="5"/>
  <c r="F27" i="5" s="1"/>
  <c r="F26" i="5"/>
  <c r="E26" i="5"/>
  <c r="E25" i="5"/>
  <c r="F25" i="5" s="1"/>
  <c r="E24" i="5"/>
  <c r="F24" i="5" s="1"/>
  <c r="F20" i="5"/>
  <c r="E20" i="5"/>
  <c r="E19" i="5"/>
  <c r="F19" i="5" s="1"/>
  <c r="F17" i="5"/>
  <c r="E17" i="5"/>
  <c r="D16" i="5"/>
  <c r="D18" i="5"/>
  <c r="C16" i="5"/>
  <c r="C18" i="5"/>
  <c r="F15" i="5"/>
  <c r="E15" i="5"/>
  <c r="E14" i="5"/>
  <c r="F14" i="5" s="1"/>
  <c r="E13" i="5"/>
  <c r="F13" i="5" s="1"/>
  <c r="F12" i="5"/>
  <c r="E12" i="5"/>
  <c r="D73" i="4"/>
  <c r="E73" i="4" s="1"/>
  <c r="C73" i="4"/>
  <c r="E72" i="4"/>
  <c r="F72" i="4" s="1"/>
  <c r="E71" i="4"/>
  <c r="F71" i="4" s="1"/>
  <c r="E70" i="4"/>
  <c r="F70" i="4" s="1"/>
  <c r="F67" i="4"/>
  <c r="E67" i="4"/>
  <c r="F64" i="4"/>
  <c r="E64" i="4"/>
  <c r="E63" i="4"/>
  <c r="F63" i="4" s="1"/>
  <c r="D61" i="4"/>
  <c r="D65" i="4"/>
  <c r="C61" i="4"/>
  <c r="C65" i="4"/>
  <c r="F60" i="4"/>
  <c r="E60" i="4"/>
  <c r="F59" i="4"/>
  <c r="E59" i="4"/>
  <c r="D56" i="4"/>
  <c r="C56" i="4"/>
  <c r="E55" i="4"/>
  <c r="F55" i="4" s="1"/>
  <c r="F54" i="4"/>
  <c r="E54" i="4"/>
  <c r="E53" i="4"/>
  <c r="F53" i="4" s="1"/>
  <c r="F52" i="4"/>
  <c r="E52" i="4"/>
  <c r="E51" i="4"/>
  <c r="F51" i="4" s="1"/>
  <c r="A52" i="4"/>
  <c r="A53" i="4" s="1"/>
  <c r="A54" i="4" s="1"/>
  <c r="A55" i="4" s="1"/>
  <c r="E50" i="4"/>
  <c r="F50" i="4"/>
  <c r="A50" i="4"/>
  <c r="A51" i="4" s="1"/>
  <c r="E49" i="4"/>
  <c r="F49" i="4" s="1"/>
  <c r="F40" i="4"/>
  <c r="E40" i="4"/>
  <c r="D38" i="4"/>
  <c r="D41" i="4"/>
  <c r="C38" i="4"/>
  <c r="C41" i="4"/>
  <c r="E41" i="4" s="1"/>
  <c r="E37" i="4"/>
  <c r="F37" i="4" s="1"/>
  <c r="E36" i="4"/>
  <c r="F36" i="4" s="1"/>
  <c r="E33" i="4"/>
  <c r="F33" i="4" s="1"/>
  <c r="E32" i="4"/>
  <c r="F32" i="4" s="1"/>
  <c r="E31" i="4"/>
  <c r="F31" i="4" s="1"/>
  <c r="D29" i="4"/>
  <c r="C29" i="4"/>
  <c r="E29" i="4" s="1"/>
  <c r="E28" i="4"/>
  <c r="F28" i="4" s="1"/>
  <c r="F27" i="4"/>
  <c r="E27" i="4"/>
  <c r="F26" i="4"/>
  <c r="E26" i="4"/>
  <c r="E25" i="4"/>
  <c r="F25" i="4" s="1"/>
  <c r="D22" i="4"/>
  <c r="E22" i="4" s="1"/>
  <c r="C22" i="4"/>
  <c r="E21" i="4"/>
  <c r="F21" i="4" s="1"/>
  <c r="E20" i="4"/>
  <c r="F20" i="4" s="1"/>
  <c r="F19" i="4"/>
  <c r="E19" i="4"/>
  <c r="F18" i="4"/>
  <c r="E18" i="4"/>
  <c r="F17" i="4"/>
  <c r="E17" i="4"/>
  <c r="E16" i="4"/>
  <c r="F16" i="4" s="1"/>
  <c r="F15" i="4"/>
  <c r="E15" i="4"/>
  <c r="E14" i="4"/>
  <c r="F14" i="4" s="1"/>
  <c r="E13" i="4"/>
  <c r="F13" i="4" s="1"/>
  <c r="C109" i="22"/>
  <c r="C108" i="22"/>
  <c r="C111" i="22"/>
  <c r="D108" i="22"/>
  <c r="D109" i="22"/>
  <c r="E109" i="22"/>
  <c r="E108" i="22"/>
  <c r="D22" i="22"/>
  <c r="C30" i="22"/>
  <c r="D33" i="22"/>
  <c r="C36" i="22"/>
  <c r="C40" i="22"/>
  <c r="C46" i="22"/>
  <c r="C54" i="22"/>
  <c r="D101" i="22"/>
  <c r="D103" i="22" s="1"/>
  <c r="C102" i="22"/>
  <c r="C103" i="22" s="1"/>
  <c r="E102" i="22"/>
  <c r="E103" i="22" s="1"/>
  <c r="C22" i="22"/>
  <c r="E22" i="22"/>
  <c r="E110" i="22" s="1"/>
  <c r="D23" i="22"/>
  <c r="F21" i="21"/>
  <c r="F36" i="20"/>
  <c r="F45" i="20"/>
  <c r="D41" i="20"/>
  <c r="E39" i="20"/>
  <c r="F39" i="20" s="1"/>
  <c r="E19" i="20"/>
  <c r="F19" i="20" s="1"/>
  <c r="C40" i="20"/>
  <c r="C41" i="20" s="1"/>
  <c r="E43" i="20"/>
  <c r="C46" i="20"/>
  <c r="C65" i="19"/>
  <c r="C114" i="19" s="1"/>
  <c r="C116" i="19" s="1"/>
  <c r="C119" i="19"/>
  <c r="C123" i="19"/>
  <c r="C22" i="19"/>
  <c r="E33" i="18"/>
  <c r="E55" i="18"/>
  <c r="E21" i="18"/>
  <c r="D22" i="18"/>
  <c r="C55" i="18"/>
  <c r="E289" i="18"/>
  <c r="C65" i="18"/>
  <c r="E69" i="18"/>
  <c r="C71" i="18"/>
  <c r="C76" i="18"/>
  <c r="E52" i="17"/>
  <c r="E53" i="17"/>
  <c r="F53" i="17" s="1"/>
  <c r="E58" i="17"/>
  <c r="F58" i="17" s="1"/>
  <c r="E67" i="17"/>
  <c r="F67" i="17"/>
  <c r="E294" i="17"/>
  <c r="E295" i="17"/>
  <c r="F295" i="17" s="1"/>
  <c r="E296" i="17"/>
  <c r="E297" i="17"/>
  <c r="E298" i="17"/>
  <c r="E299" i="17"/>
  <c r="C284" i="18"/>
  <c r="E284" i="18" s="1"/>
  <c r="C294" i="18"/>
  <c r="E294" i="18" s="1"/>
  <c r="E32" i="18"/>
  <c r="D295" i="18"/>
  <c r="E36" i="18"/>
  <c r="E60" i="18"/>
  <c r="E70" i="18"/>
  <c r="D157" i="18"/>
  <c r="D169" i="18" s="1"/>
  <c r="E157" i="18"/>
  <c r="E156" i="18"/>
  <c r="C144" i="18"/>
  <c r="D145" i="18"/>
  <c r="E151" i="18"/>
  <c r="D163" i="18"/>
  <c r="E163" i="18"/>
  <c r="C175" i="18"/>
  <c r="E175" i="18" s="1"/>
  <c r="D180" i="18"/>
  <c r="E261" i="18"/>
  <c r="D241" i="18"/>
  <c r="E242" i="18"/>
  <c r="E243" i="18"/>
  <c r="E244" i="18"/>
  <c r="E245" i="18"/>
  <c r="D252" i="18"/>
  <c r="D253" i="18"/>
  <c r="E139" i="18"/>
  <c r="E260" i="18"/>
  <c r="D234" i="18"/>
  <c r="D211" i="18"/>
  <c r="C253" i="18"/>
  <c r="E316" i="18"/>
  <c r="C189" i="18"/>
  <c r="E195" i="18"/>
  <c r="C210" i="18"/>
  <c r="E215" i="18"/>
  <c r="C217" i="18"/>
  <c r="C241" i="18" s="1"/>
  <c r="E241" i="18" s="1"/>
  <c r="E219" i="18"/>
  <c r="E221" i="18"/>
  <c r="D222" i="18"/>
  <c r="D229" i="18"/>
  <c r="E229" i="18"/>
  <c r="C252" i="18"/>
  <c r="C254" i="18"/>
  <c r="E314" i="18"/>
  <c r="D326" i="18"/>
  <c r="E188" i="18"/>
  <c r="D189" i="18"/>
  <c r="E205" i="18"/>
  <c r="E216" i="18"/>
  <c r="E218" i="18"/>
  <c r="E220" i="18"/>
  <c r="C222" i="18"/>
  <c r="E233" i="18"/>
  <c r="C32" i="17"/>
  <c r="D61" i="17"/>
  <c r="E68" i="17"/>
  <c r="F68" i="17" s="1"/>
  <c r="E77" i="17"/>
  <c r="D103" i="17"/>
  <c r="E102" i="17"/>
  <c r="F102" i="17" s="1"/>
  <c r="D138" i="17"/>
  <c r="E31" i="17"/>
  <c r="F31" i="17"/>
  <c r="D32" i="17"/>
  <c r="D90" i="17"/>
  <c r="E48" i="17"/>
  <c r="F48" i="17" s="1"/>
  <c r="C103" i="17"/>
  <c r="E103" i="17" s="1"/>
  <c r="C207" i="17"/>
  <c r="C138" i="17"/>
  <c r="D21" i="17"/>
  <c r="E21" i="17" s="1"/>
  <c r="F23" i="17"/>
  <c r="F52" i="17"/>
  <c r="E88" i="17"/>
  <c r="F88" i="17" s="1"/>
  <c r="E101" i="17"/>
  <c r="F101" i="17" s="1"/>
  <c r="E109" i="17"/>
  <c r="F109" i="17"/>
  <c r="C193" i="17"/>
  <c r="C192" i="17"/>
  <c r="E123" i="17"/>
  <c r="F123" i="17"/>
  <c r="C124" i="17"/>
  <c r="E136" i="17"/>
  <c r="F136" i="17"/>
  <c r="E144" i="17"/>
  <c r="F144" i="17" s="1"/>
  <c r="F172" i="17"/>
  <c r="D277" i="17"/>
  <c r="D261" i="17"/>
  <c r="D214" i="17"/>
  <c r="D206" i="17"/>
  <c r="D190" i="17"/>
  <c r="E227" i="17"/>
  <c r="E20" i="17"/>
  <c r="F20" i="17"/>
  <c r="C21" i="17"/>
  <c r="E30" i="17"/>
  <c r="F30" i="17"/>
  <c r="E35" i="17"/>
  <c r="F35" i="17"/>
  <c r="C37" i="17"/>
  <c r="E47" i="17"/>
  <c r="F47" i="17"/>
  <c r="E59" i="17"/>
  <c r="F59" i="17" s="1"/>
  <c r="E66" i="17"/>
  <c r="F66" i="17" s="1"/>
  <c r="E76" i="17"/>
  <c r="F76" i="17" s="1"/>
  <c r="D124" i="17"/>
  <c r="E124" i="17"/>
  <c r="F124" i="17" s="1"/>
  <c r="D159" i="17"/>
  <c r="D172" i="17"/>
  <c r="D181" i="17"/>
  <c r="D278" i="17"/>
  <c r="D262" i="17"/>
  <c r="E262" i="17" s="1"/>
  <c r="F262" i="17" s="1"/>
  <c r="E189" i="17"/>
  <c r="F189" i="17" s="1"/>
  <c r="F227" i="17"/>
  <c r="C190" i="17"/>
  <c r="C199" i="17"/>
  <c r="C200" i="17"/>
  <c r="C205" i="17"/>
  <c r="C206" i="17"/>
  <c r="C214" i="17"/>
  <c r="C215" i="17"/>
  <c r="E226" i="17"/>
  <c r="F226" i="17" s="1"/>
  <c r="E237" i="17"/>
  <c r="F237" i="17" s="1"/>
  <c r="C255" i="17"/>
  <c r="C261" i="17"/>
  <c r="C262" i="17"/>
  <c r="C264" i="17"/>
  <c r="C267" i="17"/>
  <c r="C269" i="17"/>
  <c r="C274" i="17"/>
  <c r="E274" i="17" s="1"/>
  <c r="D193" i="17"/>
  <c r="D194" i="17" s="1"/>
  <c r="D290" i="17"/>
  <c r="E290" i="17"/>
  <c r="F290" i="17" s="1"/>
  <c r="D274" i="17"/>
  <c r="D199" i="17"/>
  <c r="E199" i="17" s="1"/>
  <c r="F199" i="17" s="1"/>
  <c r="D283" i="17"/>
  <c r="D267" i="17"/>
  <c r="D271" i="17" s="1"/>
  <c r="D304" i="17" s="1"/>
  <c r="D269" i="17"/>
  <c r="E269" i="17" s="1"/>
  <c r="D205" i="17"/>
  <c r="E205" i="17" s="1"/>
  <c r="F294" i="17"/>
  <c r="F296" i="17"/>
  <c r="F297" i="17"/>
  <c r="F298" i="17"/>
  <c r="F299" i="17"/>
  <c r="F107" i="15"/>
  <c r="G36" i="14"/>
  <c r="G38" i="14" s="1"/>
  <c r="G40" i="14" s="1"/>
  <c r="F36" i="14"/>
  <c r="F38" i="14"/>
  <c r="F40" i="14"/>
  <c r="I17" i="14"/>
  <c r="D31" i="14"/>
  <c r="F31" i="14"/>
  <c r="H31" i="14" s="1"/>
  <c r="H17" i="14"/>
  <c r="C21" i="13"/>
  <c r="E21" i="13"/>
  <c r="D15" i="13"/>
  <c r="D48" i="13"/>
  <c r="D42" i="13"/>
  <c r="C15" i="13"/>
  <c r="E15" i="13"/>
  <c r="C48" i="13"/>
  <c r="C42" i="13"/>
  <c r="E48" i="13"/>
  <c r="E42" i="13"/>
  <c r="D20" i="12"/>
  <c r="E17" i="12"/>
  <c r="F17" i="12" s="1"/>
  <c r="C20" i="12"/>
  <c r="E15" i="12"/>
  <c r="F15" i="12" s="1"/>
  <c r="F65" i="11"/>
  <c r="F73" i="11"/>
  <c r="F41" i="11"/>
  <c r="E22" i="11"/>
  <c r="F22" i="11" s="1"/>
  <c r="E38" i="11"/>
  <c r="F38" i="11" s="1"/>
  <c r="E56" i="11"/>
  <c r="F56" i="11" s="1"/>
  <c r="E61" i="11"/>
  <c r="F61" i="11"/>
  <c r="F121" i="10"/>
  <c r="F120" i="10"/>
  <c r="E112" i="10"/>
  <c r="F112" i="10"/>
  <c r="E113" i="10"/>
  <c r="F113" i="10"/>
  <c r="F208" i="9"/>
  <c r="E199" i="9"/>
  <c r="F199" i="9"/>
  <c r="D21" i="8"/>
  <c r="C20" i="8"/>
  <c r="C21" i="8"/>
  <c r="E155" i="8"/>
  <c r="E153" i="8"/>
  <c r="E154" i="8"/>
  <c r="D156" i="8"/>
  <c r="D157" i="8"/>
  <c r="D155" i="8"/>
  <c r="E139" i="8"/>
  <c r="E137" i="8"/>
  <c r="D139" i="8"/>
  <c r="D137" i="8"/>
  <c r="D135" i="8"/>
  <c r="D140" i="8"/>
  <c r="D138" i="8"/>
  <c r="D136" i="8"/>
  <c r="C157" i="8"/>
  <c r="C153" i="8"/>
  <c r="C154" i="8"/>
  <c r="D15" i="8"/>
  <c r="D17" i="8" s="1"/>
  <c r="C17" i="8"/>
  <c r="C112" i="8" s="1"/>
  <c r="C111" i="8" s="1"/>
  <c r="E43" i="8"/>
  <c r="D49" i="8"/>
  <c r="C53" i="8"/>
  <c r="E53" i="8"/>
  <c r="D77" i="8"/>
  <c r="D71" i="8" s="1"/>
  <c r="C49" i="8"/>
  <c r="E49" i="8"/>
  <c r="E90" i="7"/>
  <c r="F90" i="7" s="1"/>
  <c r="E183" i="7"/>
  <c r="F183" i="7"/>
  <c r="E41" i="6"/>
  <c r="F41" i="6" s="1"/>
  <c r="E84" i="6"/>
  <c r="F84" i="6" s="1"/>
  <c r="D21" i="5"/>
  <c r="E21" i="5" s="1"/>
  <c r="E18" i="5"/>
  <c r="F18" i="5"/>
  <c r="C21" i="5"/>
  <c r="E16" i="5"/>
  <c r="F16" i="5" s="1"/>
  <c r="D75" i="4"/>
  <c r="F73" i="4"/>
  <c r="F22" i="4"/>
  <c r="E38" i="4"/>
  <c r="F38" i="4" s="1"/>
  <c r="E56" i="4"/>
  <c r="F56" i="4"/>
  <c r="E61" i="4"/>
  <c r="F61" i="4"/>
  <c r="E45" i="22"/>
  <c r="E39" i="22"/>
  <c r="E35" i="22"/>
  <c r="D110" i="22"/>
  <c r="D53" i="22"/>
  <c r="D45" i="22"/>
  <c r="D39" i="22"/>
  <c r="D35" i="22"/>
  <c r="D29" i="22"/>
  <c r="C53" i="22"/>
  <c r="C45" i="22"/>
  <c r="C39" i="22"/>
  <c r="C35" i="22"/>
  <c r="C29" i="22"/>
  <c r="C110" i="22"/>
  <c r="C113" i="22"/>
  <c r="C56" i="22"/>
  <c r="C48" i="22"/>
  <c r="C38" i="22"/>
  <c r="E40" i="20"/>
  <c r="F43" i="20"/>
  <c r="C77" i="18"/>
  <c r="E217" i="18"/>
  <c r="D235" i="18"/>
  <c r="E252" i="18"/>
  <c r="D181" i="18"/>
  <c r="E71" i="18"/>
  <c r="E326" i="18"/>
  <c r="D330" i="18"/>
  <c r="E330" i="18"/>
  <c r="D246" i="18"/>
  <c r="C211" i="18"/>
  <c r="E211" i="18" s="1"/>
  <c r="D284" i="18"/>
  <c r="E22" i="18"/>
  <c r="D270" i="17"/>
  <c r="E270" i="17" s="1"/>
  <c r="E267" i="17"/>
  <c r="F267" i="17" s="1"/>
  <c r="C300" i="17"/>
  <c r="E190" i="17"/>
  <c r="F190" i="17" s="1"/>
  <c r="D254" i="17"/>
  <c r="D287" i="17"/>
  <c r="D284" i="17"/>
  <c r="D279" i="17"/>
  <c r="D91" i="17"/>
  <c r="D125" i="17"/>
  <c r="D105" i="17"/>
  <c r="E32" i="17"/>
  <c r="D62" i="17"/>
  <c r="F103" i="17"/>
  <c r="D104" i="17"/>
  <c r="C125" i="17"/>
  <c r="E283" i="17"/>
  <c r="F283" i="17"/>
  <c r="C270" i="17"/>
  <c r="C272" i="17"/>
  <c r="F205" i="17"/>
  <c r="E278" i="17"/>
  <c r="F278" i="17"/>
  <c r="E172" i="17"/>
  <c r="D173" i="17"/>
  <c r="D268" i="17"/>
  <c r="D263" i="17"/>
  <c r="D160" i="17"/>
  <c r="E37" i="17"/>
  <c r="F37" i="17"/>
  <c r="D207" i="17"/>
  <c r="D208" i="17" s="1"/>
  <c r="D209" i="17" s="1"/>
  <c r="C175" i="17"/>
  <c r="C140" i="17"/>
  <c r="C105" i="17"/>
  <c r="F32" i="17"/>
  <c r="C24" i="13"/>
  <c r="C20" i="13"/>
  <c r="C17" i="13"/>
  <c r="C28" i="13"/>
  <c r="E24" i="13"/>
  <c r="E20" i="13"/>
  <c r="E17" i="13"/>
  <c r="E28" i="13"/>
  <c r="E22" i="13" s="1"/>
  <c r="D34" i="12"/>
  <c r="E34" i="12" s="1"/>
  <c r="E20" i="12"/>
  <c r="F20" i="12" s="1"/>
  <c r="C34" i="12"/>
  <c r="C42" i="12" s="1"/>
  <c r="C28" i="8"/>
  <c r="C99" i="8" s="1"/>
  <c r="C101" i="8" s="1"/>
  <c r="C98" i="8" s="1"/>
  <c r="D35" i="5"/>
  <c r="D43" i="5" s="1"/>
  <c r="F21" i="5"/>
  <c r="D112" i="22"/>
  <c r="D55" i="22"/>
  <c r="D47" i="22"/>
  <c r="D37" i="22"/>
  <c r="C127" i="18"/>
  <c r="C126" i="18"/>
  <c r="C124" i="18"/>
  <c r="C122" i="18"/>
  <c r="C128" i="18" s="1"/>
  <c r="C129" i="18" s="1"/>
  <c r="C115" i="18"/>
  <c r="C113" i="18"/>
  <c r="C125" i="18"/>
  <c r="C121" i="18"/>
  <c r="C114" i="18"/>
  <c r="C123" i="18"/>
  <c r="C112" i="18"/>
  <c r="C141" i="17"/>
  <c r="C106" i="17"/>
  <c r="D106" i="17"/>
  <c r="E106" i="17"/>
  <c r="F106" i="17" s="1"/>
  <c r="E105" i="17"/>
  <c r="D195" i="17"/>
  <c r="D42" i="12"/>
  <c r="F34" i="12"/>
  <c r="C22" i="8"/>
  <c r="D28" i="8"/>
  <c r="D22" i="8" s="1"/>
  <c r="D112" i="8"/>
  <c r="D111" i="8"/>
  <c r="C49" i="12"/>
  <c r="D99" i="8"/>
  <c r="D101" i="8" s="1"/>
  <c r="D98" i="8" s="1"/>
  <c r="C176" i="17" l="1"/>
  <c r="F176" i="17" s="1"/>
  <c r="D54" i="22"/>
  <c r="D30" i="22"/>
  <c r="D40" i="22"/>
  <c r="D36" i="22"/>
  <c r="D111" i="22"/>
  <c r="D46" i="22"/>
  <c r="C35" i="5"/>
  <c r="F50" i="15"/>
  <c r="E20" i="20"/>
  <c r="F20" i="20"/>
  <c r="C22" i="13"/>
  <c r="C70" i="13"/>
  <c r="C72" i="13" s="1"/>
  <c r="C69" i="13" s="1"/>
  <c r="D49" i="12"/>
  <c r="E49" i="12" s="1"/>
  <c r="F49" i="12" s="1"/>
  <c r="E42" i="12"/>
  <c r="F42" i="12" s="1"/>
  <c r="C211" i="17"/>
  <c r="C322" i="17"/>
  <c r="D50" i="5"/>
  <c r="D272" i="17"/>
  <c r="C235" i="18"/>
  <c r="D141" i="8"/>
  <c r="E214" i="17"/>
  <c r="F214" i="17"/>
  <c r="C216" i="17"/>
  <c r="C304" i="17"/>
  <c r="E192" i="17"/>
  <c r="F192" i="17" s="1"/>
  <c r="C61" i="17"/>
  <c r="E60" i="17"/>
  <c r="F60" i="17" s="1"/>
  <c r="E173" i="17"/>
  <c r="D175" i="17"/>
  <c r="D174" i="17"/>
  <c r="F270" i="17"/>
  <c r="E206" i="17"/>
  <c r="F206" i="17" s="1"/>
  <c r="E268" i="17"/>
  <c r="F17" i="17"/>
  <c r="D92" i="17"/>
  <c r="E41" i="20"/>
  <c r="F41" i="20" s="1"/>
  <c r="F40" i="20"/>
  <c r="E111" i="22"/>
  <c r="E40" i="22"/>
  <c r="E46" i="22"/>
  <c r="E30" i="22"/>
  <c r="E36" i="22"/>
  <c r="E54" i="22"/>
  <c r="E263" i="17"/>
  <c r="D161" i="17"/>
  <c r="D49" i="17"/>
  <c r="D196" i="17"/>
  <c r="D126" i="17"/>
  <c r="E90" i="6"/>
  <c r="F90" i="6" s="1"/>
  <c r="F70" i="15"/>
  <c r="C181" i="17"/>
  <c r="F181" i="17" s="1"/>
  <c r="F179" i="17"/>
  <c r="E179" i="17"/>
  <c r="C268" i="17"/>
  <c r="C263" i="17"/>
  <c r="C271" i="17"/>
  <c r="E261" i="17"/>
  <c r="F261" i="17" s="1"/>
  <c r="C194" i="17"/>
  <c r="C266" i="17"/>
  <c r="C282" i="17"/>
  <c r="F193" i="17"/>
  <c r="C75" i="4"/>
  <c r="E33" i="5"/>
  <c r="F33" i="5" s="1"/>
  <c r="D22" i="13"/>
  <c r="D21" i="13"/>
  <c r="D20" i="13"/>
  <c r="E50" i="15"/>
  <c r="E235" i="18"/>
  <c r="E210" i="18"/>
  <c r="C234" i="18"/>
  <c r="E234" i="18" s="1"/>
  <c r="E144" i="18"/>
  <c r="C180" i="18"/>
  <c r="E180" i="18" s="1"/>
  <c r="C168" i="18"/>
  <c r="E168" i="18" s="1"/>
  <c r="C145" i="18"/>
  <c r="E125" i="17"/>
  <c r="F125" i="17" s="1"/>
  <c r="E193" i="17"/>
  <c r="C112" i="22"/>
  <c r="C47" i="22"/>
  <c r="E181" i="17"/>
  <c r="C196" i="17"/>
  <c r="C49" i="17"/>
  <c r="E90" i="17"/>
  <c r="C223" i="18"/>
  <c r="C246" i="18"/>
  <c r="E65" i="18"/>
  <c r="C66" i="18"/>
  <c r="E152" i="8"/>
  <c r="E157" i="8"/>
  <c r="E156" i="8"/>
  <c r="E89" i="17"/>
  <c r="F89" i="17" s="1"/>
  <c r="C90" i="17"/>
  <c r="C277" i="17"/>
  <c r="E304" i="17"/>
  <c r="E70" i="13"/>
  <c r="E72" i="13" s="1"/>
  <c r="E69" i="13" s="1"/>
  <c r="E271" i="17"/>
  <c r="F274" i="17"/>
  <c r="D282" i="17"/>
  <c r="E282" i="17" s="1"/>
  <c r="D140" i="17"/>
  <c r="F193" i="9"/>
  <c r="E193" i="9"/>
  <c r="E15" i="8"/>
  <c r="E25" i="8"/>
  <c r="E27" i="8" s="1"/>
  <c r="C37" i="22"/>
  <c r="F41" i="4"/>
  <c r="C254" i="17"/>
  <c r="E188" i="17"/>
  <c r="F188" i="17" s="1"/>
  <c r="C208" i="17"/>
  <c r="E111" i="17"/>
  <c r="F111" i="17" s="1"/>
  <c r="E189" i="18"/>
  <c r="E222" i="18"/>
  <c r="C43" i="4"/>
  <c r="F85" i="6"/>
  <c r="E88" i="6"/>
  <c r="F88" i="6" s="1"/>
  <c r="E94" i="6"/>
  <c r="D95" i="6"/>
  <c r="E95" i="6" s="1"/>
  <c r="D154" i="8"/>
  <c r="D152" i="8"/>
  <c r="D158" i="8" s="1"/>
  <c r="D153" i="8"/>
  <c r="E24" i="9"/>
  <c r="F24" i="9" s="1"/>
  <c r="D207" i="9"/>
  <c r="E207" i="9" s="1"/>
  <c r="F207" i="9" s="1"/>
  <c r="E198" i="9"/>
  <c r="F198" i="9" s="1"/>
  <c r="C306" i="17"/>
  <c r="E250" i="17"/>
  <c r="F250" i="17" s="1"/>
  <c r="E246" i="18"/>
  <c r="D17" i="13"/>
  <c r="D28" i="13" s="1"/>
  <c r="D70" i="13" s="1"/>
  <c r="D72" i="13" s="1"/>
  <c r="D69" i="13" s="1"/>
  <c r="D24" i="13"/>
  <c r="E194" i="17"/>
  <c r="D139" i="17"/>
  <c r="E138" i="17"/>
  <c r="F138" i="17" s="1"/>
  <c r="C139" i="8"/>
  <c r="C135" i="8"/>
  <c r="C138" i="8"/>
  <c r="D210" i="17"/>
  <c r="D63" i="17"/>
  <c r="C55" i="22"/>
  <c r="D266" i="17"/>
  <c r="C91" i="17"/>
  <c r="C136" i="8"/>
  <c r="E85" i="6"/>
  <c r="E124" i="6"/>
  <c r="F124" i="6"/>
  <c r="F166" i="6"/>
  <c r="D95" i="7"/>
  <c r="E95" i="7" s="1"/>
  <c r="C57" i="8"/>
  <c r="C62" i="8" s="1"/>
  <c r="C43" i="8"/>
  <c r="D280" i="17"/>
  <c r="D264" i="17"/>
  <c r="E191" i="17"/>
  <c r="F191" i="17" s="1"/>
  <c r="D200" i="17"/>
  <c r="E200" i="17" s="1"/>
  <c r="F200" i="17" s="1"/>
  <c r="E204" i="17"/>
  <c r="F204" i="17" s="1"/>
  <c r="D215" i="17"/>
  <c r="D285" i="17"/>
  <c r="E37" i="18"/>
  <c r="C43" i="18"/>
  <c r="E253" i="18"/>
  <c r="D254" i="18"/>
  <c r="E254" i="18" s="1"/>
  <c r="E53" i="22"/>
  <c r="E29" i="22"/>
  <c r="E65" i="4"/>
  <c r="F65" i="4" s="1"/>
  <c r="E138" i="8"/>
  <c r="E136" i="8"/>
  <c r="E135" i="8"/>
  <c r="D302" i="18"/>
  <c r="E265" i="18"/>
  <c r="E301" i="18"/>
  <c r="F21" i="17"/>
  <c r="E35" i="5"/>
  <c r="E207" i="17"/>
  <c r="F207" i="17" s="1"/>
  <c r="F105" i="17"/>
  <c r="C126" i="17"/>
  <c r="C109" i="18"/>
  <c r="C111" i="18"/>
  <c r="C110" i="18"/>
  <c r="C140" i="8"/>
  <c r="F269" i="17"/>
  <c r="D223" i="18"/>
  <c r="D43" i="4"/>
  <c r="E43" i="4" s="1"/>
  <c r="F89" i="6"/>
  <c r="E153" i="6"/>
  <c r="F153" i="6" s="1"/>
  <c r="E166" i="6"/>
  <c r="C156" i="8"/>
  <c r="C152" i="8"/>
  <c r="C155" i="8"/>
  <c r="D24" i="8"/>
  <c r="D20" i="8" s="1"/>
  <c r="F92" i="6"/>
  <c r="F111" i="6"/>
  <c r="F35" i="7"/>
  <c r="F202" i="9"/>
  <c r="E205" i="9"/>
  <c r="F205" i="9" s="1"/>
  <c r="F24" i="10"/>
  <c r="E24" i="10"/>
  <c r="E117" i="10"/>
  <c r="F117" i="10"/>
  <c r="F120" i="17"/>
  <c r="F25" i="6"/>
  <c r="F86" i="6"/>
  <c r="F24" i="7"/>
  <c r="F30" i="7"/>
  <c r="D188" i="7"/>
  <c r="E188" i="7" s="1"/>
  <c r="F188" i="7" s="1"/>
  <c r="E71" i="8"/>
  <c r="E76" i="9"/>
  <c r="F76" i="9" s="1"/>
  <c r="E101" i="9"/>
  <c r="F101" i="9" s="1"/>
  <c r="F127" i="9"/>
  <c r="F29" i="4"/>
  <c r="E25" i="6"/>
  <c r="D52" i="6"/>
  <c r="E52" i="6" s="1"/>
  <c r="F52" i="6" s="1"/>
  <c r="C95" i="6"/>
  <c r="E86" i="6"/>
  <c r="F18" i="7"/>
  <c r="C43" i="11"/>
  <c r="F179" i="6"/>
  <c r="E18" i="7"/>
  <c r="C95" i="7"/>
  <c r="F59" i="7"/>
  <c r="F49" i="9"/>
  <c r="E167" i="9"/>
  <c r="E72" i="10"/>
  <c r="E84" i="10"/>
  <c r="F22" i="16"/>
  <c r="E24" i="17"/>
  <c r="F24" i="17" s="1"/>
  <c r="E44" i="20"/>
  <c r="D46" i="20"/>
  <c r="F38" i="6"/>
  <c r="E137" i="6"/>
  <c r="F137" i="6" s="1"/>
  <c r="D86" i="8"/>
  <c r="E49" i="9"/>
  <c r="F128" i="9"/>
  <c r="E154" i="9"/>
  <c r="E201" i="9"/>
  <c r="F201" i="9"/>
  <c r="D75" i="11"/>
  <c r="E75" i="11" s="1"/>
  <c r="F75" i="11" s="1"/>
  <c r="C44" i="18"/>
  <c r="F35" i="10"/>
  <c r="E59" i="10"/>
  <c r="F59" i="10" s="1"/>
  <c r="F108" i="10"/>
  <c r="F171" i="17"/>
  <c r="E171" i="17"/>
  <c r="E306" i="17"/>
  <c r="E283" i="18"/>
  <c r="D44" i="18"/>
  <c r="D76" i="18"/>
  <c r="C37" i="19"/>
  <c r="C38" i="19" s="1"/>
  <c r="C127" i="19" s="1"/>
  <c r="C129" i="19" s="1"/>
  <c r="C133" i="19" s="1"/>
  <c r="E16" i="20"/>
  <c r="F16" i="20"/>
  <c r="F206" i="9"/>
  <c r="E36" i="10"/>
  <c r="F36" i="10"/>
  <c r="E22" i="16"/>
  <c r="E120" i="17"/>
  <c r="E227" i="18"/>
  <c r="F200" i="9"/>
  <c r="E203" i="9"/>
  <c r="F203" i="9"/>
  <c r="F59" i="15"/>
  <c r="E70" i="15"/>
  <c r="E94" i="17"/>
  <c r="F94" i="17" s="1"/>
  <c r="F110" i="17"/>
  <c r="D146" i="17"/>
  <c r="E146" i="17" s="1"/>
  <c r="F146" i="17" s="1"/>
  <c r="C159" i="17"/>
  <c r="E75" i="15"/>
  <c r="F75" i="15" s="1"/>
  <c r="F307" i="17"/>
  <c r="E228" i="18"/>
  <c r="E280" i="18"/>
  <c r="F204" i="9"/>
  <c r="E107" i="10"/>
  <c r="F107" i="10"/>
  <c r="C122" i="10"/>
  <c r="C61" i="13"/>
  <c r="C57" i="13" s="1"/>
  <c r="E23" i="15"/>
  <c r="F23" i="15" s="1"/>
  <c r="F100" i="15"/>
  <c r="E44" i="17"/>
  <c r="F44" i="17" s="1"/>
  <c r="E158" i="17"/>
  <c r="F203" i="17"/>
  <c r="F223" i="17"/>
  <c r="E307" i="17"/>
  <c r="E240" i="18"/>
  <c r="C34" i="22"/>
  <c r="C33" i="14"/>
  <c r="F130" i="17"/>
  <c r="F135" i="17"/>
  <c r="F198" i="17"/>
  <c r="C285" i="17"/>
  <c r="F229" i="17"/>
  <c r="F238" i="17"/>
  <c r="F114" i="10"/>
  <c r="F116" i="10"/>
  <c r="F118" i="10"/>
  <c r="F25" i="20"/>
  <c r="C36" i="14" l="1"/>
  <c r="C38" i="14" s="1"/>
  <c r="C40" i="14" s="1"/>
  <c r="H33" i="14"/>
  <c r="H36" i="14" s="1"/>
  <c r="H38" i="14" s="1"/>
  <c r="H40" i="14" s="1"/>
  <c r="I33" i="14"/>
  <c r="I36" i="14" s="1"/>
  <c r="I38" i="14" s="1"/>
  <c r="I40" i="14" s="1"/>
  <c r="C210" i="17"/>
  <c r="F208" i="17"/>
  <c r="C265" i="17"/>
  <c r="D77" i="18"/>
  <c r="E76" i="18"/>
  <c r="D259" i="18"/>
  <c r="E285" i="17"/>
  <c r="D288" i="17"/>
  <c r="D286" i="17"/>
  <c r="E286" i="17" s="1"/>
  <c r="C92" i="17"/>
  <c r="E21" i="8"/>
  <c r="E49" i="17"/>
  <c r="F49" i="17" s="1"/>
  <c r="D50" i="17"/>
  <c r="F304" i="17"/>
  <c r="D258" i="18"/>
  <c r="D99" i="18"/>
  <c r="D100" i="18"/>
  <c r="E100" i="18" s="1"/>
  <c r="D95" i="18"/>
  <c r="D86" i="18"/>
  <c r="E86" i="18" s="1"/>
  <c r="D98" i="18"/>
  <c r="D88" i="18"/>
  <c r="D85" i="18"/>
  <c r="D101" i="18"/>
  <c r="D87" i="18"/>
  <c r="D84" i="18"/>
  <c r="E44" i="18"/>
  <c r="D97" i="18"/>
  <c r="E97" i="18" s="1"/>
  <c r="D96" i="18"/>
  <c r="D89" i="18"/>
  <c r="D83" i="18"/>
  <c r="C116" i="18"/>
  <c r="C117" i="18" s="1"/>
  <c r="C131" i="18" s="1"/>
  <c r="D255" i="17"/>
  <c r="E255" i="17" s="1"/>
  <c r="F255" i="17" s="1"/>
  <c r="D216" i="17"/>
  <c r="E216" i="17" s="1"/>
  <c r="E215" i="17"/>
  <c r="F215" i="17" s="1"/>
  <c r="E266" i="17"/>
  <c r="F266" i="17" s="1"/>
  <c r="E24" i="8"/>
  <c r="E20" i="8" s="1"/>
  <c r="E17" i="8"/>
  <c r="C50" i="17"/>
  <c r="E208" i="17"/>
  <c r="C281" i="17"/>
  <c r="F282" i="17"/>
  <c r="D162" i="17"/>
  <c r="E139" i="17"/>
  <c r="E145" i="18"/>
  <c r="C169" i="18"/>
  <c r="E169" i="18" s="1"/>
  <c r="C181" i="18"/>
  <c r="E181" i="18" s="1"/>
  <c r="F216" i="17"/>
  <c r="E158" i="8"/>
  <c r="C287" i="17"/>
  <c r="C284" i="17"/>
  <c r="E277" i="17"/>
  <c r="F277" i="17" s="1"/>
  <c r="C279" i="17"/>
  <c r="E122" i="10"/>
  <c r="F122" i="10" s="1"/>
  <c r="E302" i="18"/>
  <c r="D303" i="18"/>
  <c r="E264" i="17"/>
  <c r="F264" i="17" s="1"/>
  <c r="D300" i="17"/>
  <c r="E300" i="17" s="1"/>
  <c r="F300" i="17" s="1"/>
  <c r="D265" i="17"/>
  <c r="F43" i="4"/>
  <c r="F254" i="17"/>
  <c r="E254" i="17"/>
  <c r="D141" i="17"/>
  <c r="E140" i="17"/>
  <c r="F140" i="17" s="1"/>
  <c r="C273" i="17"/>
  <c r="F271" i="17"/>
  <c r="E113" i="22"/>
  <c r="E48" i="22"/>
  <c r="E38" i="22"/>
  <c r="E56" i="22"/>
  <c r="F35" i="5"/>
  <c r="C43" i="5"/>
  <c r="E43" i="11"/>
  <c r="F43" i="11"/>
  <c r="C195" i="17"/>
  <c r="F194" i="17"/>
  <c r="D211" i="17"/>
  <c r="E211" i="17" s="1"/>
  <c r="F211" i="17" s="1"/>
  <c r="F159" i="17"/>
  <c r="C160" i="17"/>
  <c r="C161" i="17"/>
  <c r="E161" i="17" s="1"/>
  <c r="E159" i="17"/>
  <c r="F44" i="20"/>
  <c r="E46" i="20"/>
  <c r="F46" i="20" s="1"/>
  <c r="E141" i="8"/>
  <c r="D281" i="17"/>
  <c r="E280" i="17"/>
  <c r="F280" i="17" s="1"/>
  <c r="F90" i="17"/>
  <c r="E75" i="4"/>
  <c r="F75" i="4" s="1"/>
  <c r="F263" i="17"/>
  <c r="D127" i="17"/>
  <c r="E126" i="17"/>
  <c r="E175" i="17"/>
  <c r="F175" i="17" s="1"/>
  <c r="D176" i="17"/>
  <c r="E176" i="17" s="1"/>
  <c r="C258" i="18"/>
  <c r="C87" i="18"/>
  <c r="C101" i="18"/>
  <c r="C85" i="18"/>
  <c r="C99" i="18"/>
  <c r="C83" i="18"/>
  <c r="C97" i="18"/>
  <c r="C100" i="18"/>
  <c r="C86" i="18"/>
  <c r="C89" i="18"/>
  <c r="C88" i="18"/>
  <c r="C98" i="18"/>
  <c r="C96" i="18"/>
  <c r="C102" i="18" s="1"/>
  <c r="C95" i="18"/>
  <c r="C84" i="18"/>
  <c r="E112" i="22"/>
  <c r="E47" i="22"/>
  <c r="E37" i="22"/>
  <c r="E55" i="22"/>
  <c r="F61" i="17"/>
  <c r="C139" i="17"/>
  <c r="E61" i="17"/>
  <c r="C104" i="17"/>
  <c r="C62" i="17"/>
  <c r="C174" i="17"/>
  <c r="C209" i="17"/>
  <c r="E92" i="17"/>
  <c r="D324" i="17"/>
  <c r="D113" i="17"/>
  <c r="D56" i="22"/>
  <c r="D113" i="22"/>
  <c r="D48" i="22"/>
  <c r="D38" i="22"/>
  <c r="E66" i="18"/>
  <c r="C295" i="18"/>
  <c r="E295" i="18" s="1"/>
  <c r="E91" i="17"/>
  <c r="F91" i="17" s="1"/>
  <c r="F95" i="6"/>
  <c r="C286" i="17"/>
  <c r="C288" i="17"/>
  <c r="F285" i="17"/>
  <c r="F95" i="7"/>
  <c r="D247" i="18"/>
  <c r="E223" i="18"/>
  <c r="F126" i="17"/>
  <c r="C127" i="17"/>
  <c r="C259" i="18"/>
  <c r="C263" i="18" s="1"/>
  <c r="E43" i="18"/>
  <c r="C158" i="8"/>
  <c r="C141" i="8"/>
  <c r="C247" i="18"/>
  <c r="F268" i="17"/>
  <c r="E196" i="17"/>
  <c r="F196" i="17" s="1"/>
  <c r="D197" i="17"/>
  <c r="E272" i="17"/>
  <c r="F272" i="17" s="1"/>
  <c r="D273" i="17"/>
  <c r="E209" i="17" l="1"/>
  <c r="F209" i="17" s="1"/>
  <c r="C63" i="17"/>
  <c r="E62" i="17"/>
  <c r="F62" i="17" s="1"/>
  <c r="F160" i="17"/>
  <c r="E160" i="17"/>
  <c r="E324" i="17"/>
  <c r="E127" i="17"/>
  <c r="D148" i="17"/>
  <c r="E162" i="17"/>
  <c r="D323" i="17"/>
  <c r="D183" i="17"/>
  <c r="E89" i="18"/>
  <c r="E88" i="18"/>
  <c r="E195" i="17"/>
  <c r="F195" i="17"/>
  <c r="E96" i="18"/>
  <c r="D102" i="18"/>
  <c r="E102" i="18" s="1"/>
  <c r="E98" i="18"/>
  <c r="F92" i="17"/>
  <c r="C324" i="17"/>
  <c r="C113" i="17"/>
  <c r="C162" i="17"/>
  <c r="F161" i="17"/>
  <c r="E50" i="17"/>
  <c r="F50" i="17" s="1"/>
  <c r="D70" i="17"/>
  <c r="C50" i="5"/>
  <c r="E43" i="5"/>
  <c r="F43" i="5"/>
  <c r="E284" i="17"/>
  <c r="F284" i="17" s="1"/>
  <c r="D90" i="18"/>
  <c r="E84" i="18"/>
  <c r="F210" i="17"/>
  <c r="E273" i="17"/>
  <c r="F104" i="17"/>
  <c r="E104" i="17"/>
  <c r="E87" i="18"/>
  <c r="E99" i="18"/>
  <c r="E259" i="18"/>
  <c r="D263" i="18"/>
  <c r="E263" i="18" s="1"/>
  <c r="E279" i="17"/>
  <c r="F279" i="17" s="1"/>
  <c r="D103" i="18"/>
  <c r="E95" i="18"/>
  <c r="F273" i="17"/>
  <c r="F286" i="17"/>
  <c r="C90" i="18"/>
  <c r="E174" i="17"/>
  <c r="F174" i="17" s="1"/>
  <c r="E303" i="18"/>
  <c r="D306" i="18"/>
  <c r="E247" i="18"/>
  <c r="E265" i="17"/>
  <c r="F265" i="17" s="1"/>
  <c r="E288" i="17"/>
  <c r="F288" i="17" s="1"/>
  <c r="D291" i="17"/>
  <c r="D289" i="17"/>
  <c r="E289" i="17" s="1"/>
  <c r="C264" i="18"/>
  <c r="C266" i="18" s="1"/>
  <c r="C267" i="18"/>
  <c r="E281" i="17"/>
  <c r="F281" i="17" s="1"/>
  <c r="E210" i="17"/>
  <c r="E141" i="17"/>
  <c r="F141" i="17" s="1"/>
  <c r="D322" i="17"/>
  <c r="E322" i="17" s="1"/>
  <c r="F322" i="17" s="1"/>
  <c r="C291" i="17"/>
  <c r="E287" i="17"/>
  <c r="F287" i="17" s="1"/>
  <c r="C289" i="17"/>
  <c r="E101" i="18"/>
  <c r="E258" i="18"/>
  <c r="D264" i="18"/>
  <c r="C197" i="17"/>
  <c r="C148" i="17"/>
  <c r="F127" i="17"/>
  <c r="F139" i="17"/>
  <c r="C103" i="18"/>
  <c r="C91" i="18"/>
  <c r="C105" i="18" s="1"/>
  <c r="E112" i="8"/>
  <c r="E111" i="8" s="1"/>
  <c r="E28" i="8"/>
  <c r="E83" i="18"/>
  <c r="D91" i="18"/>
  <c r="E85" i="18"/>
  <c r="D112" i="18"/>
  <c r="E112" i="18" s="1"/>
  <c r="D110" i="18"/>
  <c r="D126" i="18"/>
  <c r="E126" i="18" s="1"/>
  <c r="D122" i="18"/>
  <c r="D127" i="18"/>
  <c r="E127" i="18" s="1"/>
  <c r="D115" i="18"/>
  <c r="E115" i="18" s="1"/>
  <c r="D121" i="18"/>
  <c r="D113" i="18"/>
  <c r="E113" i="18" s="1"/>
  <c r="D111" i="18"/>
  <c r="E111" i="18" s="1"/>
  <c r="D124" i="18"/>
  <c r="E124" i="18" s="1"/>
  <c r="E77" i="18"/>
  <c r="D109" i="18"/>
  <c r="D123" i="18"/>
  <c r="E123" i="18" s="1"/>
  <c r="D114" i="18"/>
  <c r="E114" i="18" s="1"/>
  <c r="D125" i="18"/>
  <c r="E125" i="18" s="1"/>
  <c r="E50" i="5" l="1"/>
  <c r="F50" i="5" s="1"/>
  <c r="E99" i="8"/>
  <c r="E101" i="8" s="1"/>
  <c r="E98" i="8" s="1"/>
  <c r="E22" i="8"/>
  <c r="F197" i="17"/>
  <c r="E109" i="18"/>
  <c r="E122" i="18"/>
  <c r="D128" i="18"/>
  <c r="E128" i="18" s="1"/>
  <c r="E197" i="17"/>
  <c r="C305" i="17"/>
  <c r="E291" i="17"/>
  <c r="F291" i="17" s="1"/>
  <c r="D305" i="17"/>
  <c r="F324" i="17"/>
  <c r="E63" i="17"/>
  <c r="F63" i="17" s="1"/>
  <c r="E113" i="17"/>
  <c r="F113" i="17" s="1"/>
  <c r="D310" i="18"/>
  <c r="E310" i="18" s="1"/>
  <c r="E306" i="18"/>
  <c r="E90" i="18"/>
  <c r="E148" i="17"/>
  <c r="D266" i="18"/>
  <c r="E264" i="18"/>
  <c r="D116" i="18"/>
  <c r="E116" i="18" s="1"/>
  <c r="E110" i="18"/>
  <c r="E103" i="18"/>
  <c r="E121" i="18"/>
  <c r="D105" i="18"/>
  <c r="E105" i="18" s="1"/>
  <c r="E91" i="18"/>
  <c r="F289" i="17"/>
  <c r="C269" i="18"/>
  <c r="C268" i="18"/>
  <c r="C70" i="17"/>
  <c r="F162" i="17"/>
  <c r="C323" i="17"/>
  <c r="F323" i="17" s="1"/>
  <c r="C183" i="17"/>
  <c r="F183" i="17" s="1"/>
  <c r="F148" i="17"/>
  <c r="D325" i="17"/>
  <c r="C271" i="18" l="1"/>
  <c r="E70" i="17"/>
  <c r="F70" i="17" s="1"/>
  <c r="E305" i="17"/>
  <c r="D309" i="17"/>
  <c r="D117" i="18"/>
  <c r="C309" i="17"/>
  <c r="F305" i="17"/>
  <c r="E266" i="18"/>
  <c r="D267" i="18"/>
  <c r="E323" i="17"/>
  <c r="E183" i="17"/>
  <c r="D129" i="18"/>
  <c r="E129" i="18" s="1"/>
  <c r="C325" i="17"/>
  <c r="C310" i="17" l="1"/>
  <c r="E117" i="18"/>
  <c r="D131" i="18"/>
  <c r="E131" i="18" s="1"/>
  <c r="E325" i="17"/>
  <c r="F325" i="17" s="1"/>
  <c r="E309" i="17"/>
  <c r="F309" i="17" s="1"/>
  <c r="D310" i="17"/>
  <c r="E267" i="18"/>
  <c r="D268" i="18"/>
  <c r="D269" i="18"/>
  <c r="E269" i="18" s="1"/>
  <c r="C312" i="17" l="1"/>
  <c r="D312" i="17"/>
  <c r="E310" i="17"/>
  <c r="F310" i="17" s="1"/>
  <c r="D271" i="18"/>
  <c r="E271" i="18" s="1"/>
  <c r="E268" i="18"/>
  <c r="E312" i="17" l="1"/>
  <c r="D313" i="17"/>
  <c r="F312" i="17"/>
  <c r="C313" i="17"/>
  <c r="C251" i="17" l="1"/>
  <c r="C315" i="17"/>
  <c r="C314" i="17"/>
  <c r="C256" i="17"/>
  <c r="E313" i="17"/>
  <c r="F313" i="17" s="1"/>
  <c r="D251" i="17"/>
  <c r="E251" i="17" s="1"/>
  <c r="D315" i="17"/>
  <c r="E315" i="17" s="1"/>
  <c r="D314" i="17"/>
  <c r="D256" i="17"/>
  <c r="F315" i="17" l="1"/>
  <c r="F251" i="17"/>
  <c r="C257" i="17"/>
  <c r="F314" i="17"/>
  <c r="C318" i="17"/>
  <c r="D257" i="17"/>
  <c r="E257" i="17" s="1"/>
  <c r="E256" i="17"/>
  <c r="F256" i="17" s="1"/>
  <c r="E314" i="17"/>
  <c r="D318" i="17"/>
  <c r="F257" i="17" l="1"/>
  <c r="E318" i="17"/>
  <c r="F318" i="17" s="1"/>
</calcChain>
</file>

<file path=xl/sharedStrings.xml><?xml version="1.0" encoding="utf-8"?>
<sst xmlns="http://schemas.openxmlformats.org/spreadsheetml/2006/main" count="2334" uniqueCount="1009">
  <si>
    <t>SAINT MARY`S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</si>
  <si>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</si>
  <si>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</si>
  <si>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</si>
  <si>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</si>
  <si>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</si>
  <si>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</si>
  <si>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</si>
  <si>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</si>
  <si>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</si>
  <si>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</si>
  <si>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</si>
  <si>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</si>
  <si>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</si>
  <si>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</si>
  <si>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</si>
  <si>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</si>
  <si>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</si>
  <si>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</si>
  <si>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</si>
  <si>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</si>
  <si>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</si>
  <si>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</si>
  <si>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</si>
  <si>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</si>
  <si>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</si>
  <si>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</si>
  <si>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</si>
  <si>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</si>
  <si>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</si>
  <si>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</si>
  <si>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</si>
  <si>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</si>
  <si>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</si>
  <si>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</si>
  <si>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</si>
  <si>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</si>
  <si>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</si>
  <si>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</si>
  <si>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</si>
  <si>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</si>
  <si>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</si>
  <si>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</si>
  <si>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</si>
  <si>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</si>
  <si>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</si>
  <si>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</si>
  <si>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</si>
  <si>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</si>
  <si>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</si>
  <si>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</si>
  <si>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</si>
  <si>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</si>
  <si>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</si>
  <si>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</si>
  <si>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</si>
  <si>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</si>
  <si>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</si>
  <si>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</si>
  <si>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</si>
  <si>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</si>
  <si>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</si>
  <si>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</si>
  <si>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</si>
  <si>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</si>
  <si>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</si>
  <si>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</si>
  <si>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</si>
  <si>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</si>
  <si>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</si>
  <si>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</si>
  <si>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</si>
  <si>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</si>
  <si>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</si>
  <si>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</si>
  <si>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</si>
  <si>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</si>
  <si>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</si>
  <si>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</si>
  <si>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</si>
  <si>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</si>
  <si>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</si>
  <si>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</si>
  <si>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</si>
  <si>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</si>
  <si>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</si>
  <si>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</si>
  <si>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</si>
  <si>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</si>
  <si>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</si>
  <si>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</si>
  <si>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</si>
  <si>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</si>
  <si>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</si>
  <si>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</si>
  <si>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</si>
  <si>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</si>
  <si>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</si>
  <si>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</si>
  <si>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</si>
  <si>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</si>
  <si>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</si>
  <si>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</si>
  <si>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</si>
  <si>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</si>
  <si>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</si>
  <si>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</si>
  <si>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</si>
  <si>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</si>
  <si>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</si>
  <si>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</si>
  <si>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</si>
  <si>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</si>
  <si>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</si>
  <si>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</si>
  <si>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</si>
  <si>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</si>
  <si>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</si>
  <si>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</si>
  <si>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</si>
  <si>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</si>
  <si>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</si>
  <si>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</si>
  <si>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</si>
  <si>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</si>
  <si>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</si>
  <si>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</si>
  <si>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</si>
  <si>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</si>
  <si>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</si>
  <si>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</si>
  <si>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</si>
  <si>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</si>
  <si>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</si>
  <si>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</si>
  <si>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</si>
  <si>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</si>
  <si>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</si>
  <si>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</si>
  <si>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</si>
  <si>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</si>
  <si>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</si>
  <si>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</si>
  <si>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</si>
  <si>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</si>
  <si>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</si>
  <si>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</si>
  <si>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</si>
  <si>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</si>
  <si>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</si>
  <si>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</si>
  <si>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</si>
  <si>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</si>
  <si>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</si>
  <si>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</si>
  <si>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</si>
  <si>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</si>
  <si>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</si>
  <si>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</si>
  <si>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</si>
  <si>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</si>
  <si>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</si>
  <si>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</si>
  <si>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</si>
  <si>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</si>
  <si>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</si>
  <si>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</si>
  <si>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</si>
  <si>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</si>
  <si>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</si>
  <si>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</si>
  <si>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</si>
  <si>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</si>
  <si>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</si>
  <si>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</si>
  <si>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</si>
  <si>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</si>
  <si>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</si>
  <si>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</si>
  <si>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</si>
  <si>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</si>
  <si>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</si>
  <si>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</si>
  <si>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</si>
  <si>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</si>
  <si>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</si>
  <si>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</si>
  <si>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</si>
  <si>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</si>
  <si>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</si>
  <si>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</si>
  <si>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</si>
  <si>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</si>
  <si>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</si>
  <si>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</si>
  <si>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</si>
  <si>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</si>
  <si>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</si>
  <si>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</si>
  <si>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</si>
  <si>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</si>
  <si>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</si>
  <si>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</si>
  <si>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</si>
  <si>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</si>
  <si>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</si>
  <si>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</si>
  <si>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</si>
  <si>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</si>
  <si>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</si>
  <si>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</si>
  <si>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</si>
  <si>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</si>
  <si>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</si>
  <si>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</si>
  <si>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</si>
  <si>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</si>
  <si>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</si>
  <si>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</si>
  <si>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</si>
  <si>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</si>
  <si>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</si>
  <si>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</si>
  <si>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</si>
  <si>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</si>
  <si>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</si>
  <si>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</si>
  <si>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</si>
  <si>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</si>
  <si>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</si>
  <si>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</si>
  <si>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</si>
  <si>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</si>
  <si>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</si>
  <si>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</si>
  <si>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</si>
  <si>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</si>
  <si>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</si>
  <si>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</si>
  <si>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</si>
  <si>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</si>
  <si>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</si>
  <si>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</si>
  <si>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</si>
  <si>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</si>
  <si>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</si>
  <si>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</si>
  <si>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</si>
  <si>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</si>
  <si>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</si>
  <si>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</si>
  <si>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</si>
  <si>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</si>
  <si>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</si>
  <si>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</si>
  <si>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</si>
  <si>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</si>
  <si>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</si>
  <si>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</si>
  <si>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</si>
  <si>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</si>
  <si>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</si>
  <si>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</si>
  <si>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</si>
  <si>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</si>
  <si>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</si>
  <si>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</si>
  <si>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</si>
  <si>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</si>
  <si>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</si>
  <si>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</si>
  <si>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</si>
  <si>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</si>
  <si>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</si>
  <si>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</si>
  <si>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</si>
  <si>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</si>
  <si>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</si>
  <si>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</si>
  <si>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</si>
  <si>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</si>
  <si>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</si>
  <si>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</si>
  <si>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</si>
  <si>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</si>
  <si>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</si>
  <si>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</si>
  <si>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</si>
  <si>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</si>
  <si>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</si>
  <si>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</si>
  <si>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</si>
  <si>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</si>
  <si>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</si>
  <si>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</si>
  <si>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</si>
  <si>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</si>
  <si>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</si>
  <si>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</si>
  <si>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</si>
  <si>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</si>
  <si>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</si>
  <si>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</si>
  <si>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</si>
  <si>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</si>
  <si>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</si>
  <si>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</si>
  <si>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</si>
  <si>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</si>
  <si>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</si>
  <si>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</si>
  <si>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</si>
  <si>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</si>
  <si>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</si>
  <si>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</si>
  <si>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</si>
  <si>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</si>
  <si>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</si>
  <si>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</si>
  <si>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</si>
  <si>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</si>
  <si>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</si>
  <si>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</si>
  <si>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</si>
  <si>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</si>
  <si>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</si>
  <si>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</si>
  <si>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</si>
  <si>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</si>
  <si>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</si>
  <si>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</si>
  <si>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</si>
  <si>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</si>
  <si>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</si>
  <si>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</si>
  <si>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</si>
  <si>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</si>
  <si>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</si>
  <si>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</si>
  <si>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</si>
  <si>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</si>
  <si>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</si>
  <si>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</si>
  <si>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</si>
  <si>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</si>
  <si>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</si>
  <si>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</si>
  <si>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</si>
  <si>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</si>
  <si>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</si>
  <si>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</si>
  <si>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</si>
  <si>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</si>
  <si>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</si>
  <si>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</si>
  <si>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</si>
  <si>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</si>
  <si>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</si>
  <si>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</si>
  <si>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</si>
  <si>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</si>
  <si>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</si>
  <si>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</si>
  <si>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</si>
  <si>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</si>
  <si>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</si>
  <si>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</si>
  <si>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</si>
  <si>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</si>
  <si>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</si>
  <si>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</si>
  <si>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</si>
  <si>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</si>
  <si>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</si>
  <si>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</si>
  <si>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</si>
  <si>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</si>
  <si>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</si>
  <si>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</si>
  <si>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</si>
  <si>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</si>
  <si>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</si>
  <si>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</si>
  <si>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</si>
  <si>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</si>
  <si>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</si>
  <si>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</si>
  <si>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</si>
  <si>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</si>
  <si>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</si>
  <si>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</si>
  <si>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</si>
  <si>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</si>
  <si>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</si>
  <si>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</si>
  <si>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</si>
  <si>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</si>
  <si>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</si>
  <si>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</si>
  <si>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</si>
  <si>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</si>
  <si>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</si>
  <si>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</si>
  <si>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</si>
  <si>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</si>
  <si>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</si>
  <si>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</si>
  <si>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</si>
  <si>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</si>
  <si>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</si>
  <si>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</si>
  <si>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</si>
  <si>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</si>
  <si>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</si>
  <si>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</si>
  <si>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</si>
  <si>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</si>
  <si>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</si>
  <si>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</si>
  <si>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</si>
  <si>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</si>
  <si>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</si>
  <si>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</si>
  <si>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</si>
  <si>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</si>
  <si>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</si>
  <si>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</si>
  <si>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</si>
  <si>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</si>
  <si>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</si>
  <si>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</si>
  <si>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</si>
  <si>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</si>
  <si>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</si>
  <si>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</si>
  <si>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</si>
  <si>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</si>
  <si>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</si>
  <si>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</si>
  <si>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</si>
  <si>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</si>
  <si>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</si>
  <si>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</si>
  <si>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</si>
  <si>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</si>
  <si>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</si>
  <si>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</si>
  <si>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</si>
  <si>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</si>
  <si>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</si>
  <si>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</si>
  <si>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</si>
  <si>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</si>
  <si>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</si>
  <si>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</si>
  <si>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</si>
  <si>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</si>
  <si>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</si>
  <si>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</si>
  <si>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</si>
  <si>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</si>
  <si>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</si>
  <si>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</si>
  <si>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</si>
  <si>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</si>
  <si>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</si>
  <si>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</si>
  <si>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</si>
  <si>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</si>
  <si>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</si>
  <si>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</si>
  <si>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</si>
  <si>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</si>
  <si>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</si>
  <si>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</si>
  <si>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</si>
  <si>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</si>
  <si>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</si>
  <si>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</si>
  <si>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</si>
  <si>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</si>
  <si>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</si>
  <si>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</si>
  <si>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</si>
  <si>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</si>
  <si>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</si>
  <si>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</si>
  <si>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</si>
  <si>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</si>
  <si>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</si>
  <si>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</si>
  <si>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</si>
  <si>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</si>
  <si>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</si>
  <si>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</si>
  <si>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</si>
  <si>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</si>
  <si>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</si>
  <si>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</si>
  <si>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</si>
  <si>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SAINT MARY`S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</si>
  <si>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</si>
  <si>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</si>
  <si>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</si>
  <si>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</si>
  <si>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</si>
  <si>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</si>
  <si>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</si>
  <si>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</si>
  <si>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</si>
  <si>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</si>
  <si>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</si>
  <si>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</si>
  <si>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</si>
  <si>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</si>
  <si>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</si>
  <si>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</si>
  <si>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</si>
  <si>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</si>
  <si>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</si>
  <si>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</si>
  <si>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</si>
  <si>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</si>
  <si>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</si>
  <si>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</si>
  <si>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</si>
  <si>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</si>
  <si>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</si>
  <si>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</si>
  <si>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</si>
  <si>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</si>
  <si>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</si>
  <si>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</si>
  <si>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</si>
  <si>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</si>
  <si>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</si>
  <si>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</si>
  <si>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</si>
  <si>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</si>
  <si>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</si>
  <si>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</si>
  <si>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</si>
  <si>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</si>
  <si>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</si>
  <si>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</si>
  <si>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</si>
  <si>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</si>
  <si>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</si>
  <si>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</si>
  <si>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</si>
  <si>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</si>
  <si>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</si>
  <si>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</si>
  <si>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</si>
  <si>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</si>
  <si>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</si>
  <si>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</si>
  <si>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</si>
  <si>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</si>
  <si>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</si>
  <si>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</si>
  <si>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</si>
  <si>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</si>
  <si>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</si>
  <si>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</si>
  <si>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</si>
  <si>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</si>
  <si>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</si>
  <si>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</si>
  <si>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</si>
  <si>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</si>
  <si>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</si>
  <si>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</si>
  <si>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</si>
  <si>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</si>
  <si>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</si>
  <si>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</si>
  <si>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</si>
  <si>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</si>
  <si>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</si>
  <si>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</si>
  <si>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</si>
  <si>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</si>
  <si>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</si>
  <si>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</si>
  <si>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</si>
  <si>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</si>
  <si>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</si>
  <si>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</si>
  <si>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</si>
  <si>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</si>
  <si>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</si>
  <si>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</si>
  <si>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</si>
  <si>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</si>
  <si>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</si>
  <si>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</si>
  <si>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</si>
  <si>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</si>
  <si>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</si>
  <si>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</si>
  <si>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</si>
  <si>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</si>
  <si>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</si>
  <si>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</si>
  <si>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</si>
  <si>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</si>
  <si>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</si>
  <si>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</si>
  <si>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</si>
  <si>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</si>
  <si>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</si>
  <si>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</si>
  <si>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</si>
  <si>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</si>
  <si>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</si>
  <si>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</si>
  <si>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</si>
  <si>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</si>
  <si>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</si>
  <si>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</si>
  <si>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Naugatuck Valley Surgical Center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</si>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</sst>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21808000</v>
      </c>
      <c r="D13" s="22">
        <v>28153000</v>
      </c>
      <c r="E13" s="22">
        <f t="shared" ref="E13:E22" si="0">D13-C13</f>
        <v>6345000</v>
      </c>
      <c r="F13" s="23">
        <f t="shared" ref="F13:F22" si="1">IF(C13=0,0,E13/C13)</f>
        <v>0.29094827586206895</v>
      </c>
    </row>
    <row r="14" spans="1:8" ht="24" customHeight="1" x14ac:dyDescent="0.2">
      <c r="A14" s="20">
        <v>2</v>
      </c>
      <c r="B14" s="21" t="s">
        <v>17</v>
      </c>
      <c r="C14" s="22">
        <v>38000</v>
      </c>
      <c r="D14" s="22">
        <v>29000</v>
      </c>
      <c r="E14" s="22">
        <f t="shared" si="0"/>
        <v>-9000</v>
      </c>
      <c r="F14" s="23">
        <f t="shared" si="1"/>
        <v>-0.23684210526315788</v>
      </c>
    </row>
    <row r="15" spans="1:8" ht="24" customHeight="1" x14ac:dyDescent="0.2">
      <c r="A15" s="20">
        <v>3</v>
      </c>
      <c r="B15" s="21" t="s">
        <v>18</v>
      </c>
      <c r="C15" s="22">
        <v>31789000</v>
      </c>
      <c r="D15" s="22">
        <v>28777000</v>
      </c>
      <c r="E15" s="22">
        <f t="shared" si="0"/>
        <v>-3012000</v>
      </c>
      <c r="F15" s="23">
        <f t="shared" si="1"/>
        <v>-9.4749756204976568E-2</v>
      </c>
    </row>
    <row r="16" spans="1:8" ht="24" customHeight="1" x14ac:dyDescent="0.2">
      <c r="A16" s="20">
        <v>4</v>
      </c>
      <c r="B16" s="21" t="s">
        <v>19</v>
      </c>
      <c r="C16" s="22">
        <v>924000</v>
      </c>
      <c r="D16" s="22">
        <v>1148000</v>
      </c>
      <c r="E16" s="22">
        <f t="shared" si="0"/>
        <v>224000</v>
      </c>
      <c r="F16" s="23">
        <f t="shared" si="1"/>
        <v>0.24242424242424243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2616365</v>
      </c>
      <c r="D19" s="22">
        <v>2220000</v>
      </c>
      <c r="E19" s="22">
        <f t="shared" si="0"/>
        <v>-396365</v>
      </c>
      <c r="F19" s="23">
        <f t="shared" si="1"/>
        <v>-0.15149453535726093</v>
      </c>
    </row>
    <row r="20" spans="1:11" ht="24" customHeight="1" x14ac:dyDescent="0.2">
      <c r="A20" s="20">
        <v>8</v>
      </c>
      <c r="B20" s="21" t="s">
        <v>23</v>
      </c>
      <c r="C20" s="22">
        <v>1331305</v>
      </c>
      <c r="D20" s="22">
        <v>1686000</v>
      </c>
      <c r="E20" s="22">
        <f t="shared" si="0"/>
        <v>354695</v>
      </c>
      <c r="F20" s="23">
        <f t="shared" si="1"/>
        <v>0.266426551391304</v>
      </c>
    </row>
    <row r="21" spans="1:11" ht="24" customHeight="1" x14ac:dyDescent="0.2">
      <c r="A21" s="20">
        <v>9</v>
      </c>
      <c r="B21" s="21" t="s">
        <v>24</v>
      </c>
      <c r="C21" s="22">
        <v>1895330</v>
      </c>
      <c r="D21" s="22">
        <v>0</v>
      </c>
      <c r="E21" s="22">
        <f t="shared" si="0"/>
        <v>-1895330</v>
      </c>
      <c r="F21" s="23">
        <f t="shared" si="1"/>
        <v>-1</v>
      </c>
    </row>
    <row r="22" spans="1:11" ht="24" customHeight="1" x14ac:dyDescent="0.25">
      <c r="A22" s="24"/>
      <c r="B22" s="25" t="s">
        <v>25</v>
      </c>
      <c r="C22" s="26">
        <f>SUM(C13:C21)</f>
        <v>60402000</v>
      </c>
      <c r="D22" s="26">
        <f>SUM(D13:D21)</f>
        <v>62013000</v>
      </c>
      <c r="E22" s="26">
        <f t="shared" si="0"/>
        <v>1611000</v>
      </c>
      <c r="F22" s="27">
        <f t="shared" si="1"/>
        <v>2.6671302274759116E-2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14299000</v>
      </c>
      <c r="D25" s="22">
        <v>15258000</v>
      </c>
      <c r="E25" s="22">
        <f>D25-C25</f>
        <v>959000</v>
      </c>
      <c r="F25" s="23">
        <f>IF(C25=0,0,E25/C25)</f>
        <v>6.7067627106790678E-2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3182000</v>
      </c>
      <c r="D28" s="22">
        <v>4330000</v>
      </c>
      <c r="E28" s="22">
        <f>D28-C28</f>
        <v>1148000</v>
      </c>
      <c r="F28" s="23">
        <f>IF(C28=0,0,E28/C28)</f>
        <v>0.36077938403519799</v>
      </c>
    </row>
    <row r="29" spans="1:11" ht="24" customHeight="1" x14ac:dyDescent="0.25">
      <c r="A29" s="24"/>
      <c r="B29" s="25" t="s">
        <v>32</v>
      </c>
      <c r="C29" s="26">
        <f>SUM(C25:C28)</f>
        <v>17481000</v>
      </c>
      <c r="D29" s="26">
        <f>SUM(D25:D28)</f>
        <v>19588000</v>
      </c>
      <c r="E29" s="26">
        <f>D29-C29</f>
        <v>2107000</v>
      </c>
      <c r="F29" s="27">
        <f>IF(C29=0,0,E29/C29)</f>
        <v>0.12053086207882845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4495000</v>
      </c>
      <c r="D31" s="22">
        <v>4874000</v>
      </c>
      <c r="E31" s="22">
        <f>D31-C31</f>
        <v>379000</v>
      </c>
      <c r="F31" s="23">
        <f>IF(C31=0,0,E31/C31)</f>
        <v>8.4315906562847612E-2</v>
      </c>
    </row>
    <row r="32" spans="1:11" ht="24" customHeight="1" x14ac:dyDescent="0.2">
      <c r="A32" s="20">
        <v>6</v>
      </c>
      <c r="B32" s="21" t="s">
        <v>34</v>
      </c>
      <c r="C32" s="22">
        <v>16044000</v>
      </c>
      <c r="D32" s="22">
        <v>17358000</v>
      </c>
      <c r="E32" s="22">
        <f>D32-C32</f>
        <v>1314000</v>
      </c>
      <c r="F32" s="23">
        <f>IF(C32=0,0,E32/C32)</f>
        <v>8.1899775617053097E-2</v>
      </c>
    </row>
    <row r="33" spans="1:8" ht="24" customHeight="1" x14ac:dyDescent="0.2">
      <c r="A33" s="20">
        <v>7</v>
      </c>
      <c r="B33" s="21" t="s">
        <v>35</v>
      </c>
      <c r="C33" s="22">
        <v>17779000</v>
      </c>
      <c r="D33" s="22">
        <v>22387000</v>
      </c>
      <c r="E33" s="22">
        <f>D33-C33</f>
        <v>4608000</v>
      </c>
      <c r="F33" s="23">
        <f>IF(C33=0,0,E33/C33)</f>
        <v>0.25918218122504078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165577000</v>
      </c>
      <c r="D36" s="22">
        <v>180915000</v>
      </c>
      <c r="E36" s="22">
        <f>D36-C36</f>
        <v>15338000</v>
      </c>
      <c r="F36" s="23">
        <f>IF(C36=0,0,E36/C36)</f>
        <v>9.2633638730016857E-2</v>
      </c>
    </row>
    <row r="37" spans="1:8" ht="24" customHeight="1" x14ac:dyDescent="0.2">
      <c r="A37" s="20">
        <v>2</v>
      </c>
      <c r="B37" s="21" t="s">
        <v>39</v>
      </c>
      <c r="C37" s="22">
        <v>111555000</v>
      </c>
      <c r="D37" s="22">
        <v>119872000</v>
      </c>
      <c r="E37" s="22">
        <f>D37-C37</f>
        <v>8317000</v>
      </c>
      <c r="F37" s="23">
        <f>IF(C37=0,0,E37/C37)</f>
        <v>7.4555152167092464E-2</v>
      </c>
    </row>
    <row r="38" spans="1:8" ht="24" customHeight="1" x14ac:dyDescent="0.25">
      <c r="A38" s="24"/>
      <c r="B38" s="25" t="s">
        <v>40</v>
      </c>
      <c r="C38" s="26">
        <f>C36-C37</f>
        <v>54022000</v>
      </c>
      <c r="D38" s="26">
        <f>D36-D37</f>
        <v>61043000</v>
      </c>
      <c r="E38" s="26">
        <f>D38-C38</f>
        <v>7021000</v>
      </c>
      <c r="F38" s="27">
        <f>IF(C38=0,0,E38/C38)</f>
        <v>0.12996556958276259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54022000</v>
      </c>
      <c r="D41" s="26">
        <f>+D38+D40</f>
        <v>61043000</v>
      </c>
      <c r="E41" s="26">
        <f>D41-C41</f>
        <v>7021000</v>
      </c>
      <c r="F41" s="27">
        <f>IF(C41=0,0,E41/C41)</f>
        <v>0.12996556958276259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170223000</v>
      </c>
      <c r="D43" s="26">
        <f>D22+D29+D31+D32+D33+D41</f>
        <v>187263000</v>
      </c>
      <c r="E43" s="26">
        <f>D43-C43</f>
        <v>17040000</v>
      </c>
      <c r="F43" s="27">
        <f>IF(C43=0,0,E43/C43)</f>
        <v>0.10010398124812746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16956000</v>
      </c>
      <c r="D49" s="22">
        <v>20297000</v>
      </c>
      <c r="E49" s="22">
        <f t="shared" ref="E49:E56" si="2">D49-C49</f>
        <v>3341000</v>
      </c>
      <c r="F49" s="23">
        <f t="shared" ref="F49:F56" si="3">IF(C49=0,0,E49/C49)</f>
        <v>0.19703939608398208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3881000</v>
      </c>
      <c r="D50" s="22">
        <v>3236000</v>
      </c>
      <c r="E50" s="22">
        <f t="shared" si="2"/>
        <v>-645000</v>
      </c>
      <c r="F50" s="23">
        <f t="shared" si="3"/>
        <v>-0.16619427982478743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7007000</v>
      </c>
      <c r="D51" s="22">
        <v>6035000</v>
      </c>
      <c r="E51" s="22">
        <f t="shared" si="2"/>
        <v>-972000</v>
      </c>
      <c r="F51" s="23">
        <f t="shared" si="3"/>
        <v>-0.13871842443271015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1806000</v>
      </c>
      <c r="D53" s="22">
        <v>1998000</v>
      </c>
      <c r="E53" s="22">
        <f t="shared" si="2"/>
        <v>192000</v>
      </c>
      <c r="F53" s="23">
        <f t="shared" si="3"/>
        <v>0.10631229235880399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8577000</v>
      </c>
      <c r="D55" s="22">
        <v>13915000</v>
      </c>
      <c r="E55" s="22">
        <f t="shared" si="2"/>
        <v>5338000</v>
      </c>
      <c r="F55" s="23">
        <f t="shared" si="3"/>
        <v>0.62236213128133377</v>
      </c>
    </row>
    <row r="56" spans="1:6" ht="24" customHeight="1" x14ac:dyDescent="0.25">
      <c r="A56" s="24"/>
      <c r="B56" s="25" t="s">
        <v>54</v>
      </c>
      <c r="C56" s="26">
        <f>SUM(C49:C55)</f>
        <v>38227000</v>
      </c>
      <c r="D56" s="26">
        <f>SUM(D49:D55)</f>
        <v>45481000</v>
      </c>
      <c r="E56" s="26">
        <f t="shared" si="2"/>
        <v>7254000</v>
      </c>
      <c r="F56" s="27">
        <f t="shared" si="3"/>
        <v>0.18976116357548331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21341000</v>
      </c>
      <c r="D59" s="22">
        <v>19892000</v>
      </c>
      <c r="E59" s="22">
        <f>D59-C59</f>
        <v>-1449000</v>
      </c>
      <c r="F59" s="23">
        <f>IF(C59=0,0,E59/C59)</f>
        <v>-6.7897474345157208E-2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21341000</v>
      </c>
      <c r="D61" s="26">
        <f>SUM(D59:D60)</f>
        <v>19892000</v>
      </c>
      <c r="E61" s="26">
        <f>D61-C61</f>
        <v>-1449000</v>
      </c>
      <c r="F61" s="27">
        <f>IF(C61=0,0,E61/C61)</f>
        <v>-6.7897474345157208E-2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79738000</v>
      </c>
      <c r="D63" s="22">
        <v>58823000</v>
      </c>
      <c r="E63" s="22">
        <f>D63-C63</f>
        <v>-20915000</v>
      </c>
      <c r="F63" s="23">
        <f>IF(C63=0,0,E63/C63)</f>
        <v>-0.26229652110662421</v>
      </c>
    </row>
    <row r="64" spans="1:6" ht="24" customHeight="1" x14ac:dyDescent="0.2">
      <c r="A64" s="20">
        <v>4</v>
      </c>
      <c r="B64" s="21" t="s">
        <v>60</v>
      </c>
      <c r="C64" s="22">
        <v>12993000</v>
      </c>
      <c r="D64" s="22">
        <v>13370000</v>
      </c>
      <c r="E64" s="22">
        <f>D64-C64</f>
        <v>377000</v>
      </c>
      <c r="F64" s="23">
        <f>IF(C64=0,0,E64/C64)</f>
        <v>2.9015623797429384E-2</v>
      </c>
    </row>
    <row r="65" spans="1:6" ht="24" customHeight="1" x14ac:dyDescent="0.25">
      <c r="A65" s="24"/>
      <c r="B65" s="25" t="s">
        <v>61</v>
      </c>
      <c r="C65" s="26">
        <f>SUM(C61:C64)</f>
        <v>114072000</v>
      </c>
      <c r="D65" s="26">
        <f>SUM(D61:D64)</f>
        <v>92085000</v>
      </c>
      <c r="E65" s="26">
        <f>D65-C65</f>
        <v>-21987000</v>
      </c>
      <c r="F65" s="27">
        <f>IF(C65=0,0,E65/C65)</f>
        <v>-0.19274668630338734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72000</v>
      </c>
      <c r="D70" s="22">
        <v>31173000</v>
      </c>
      <c r="E70" s="22">
        <f>D70-C70</f>
        <v>31101000</v>
      </c>
      <c r="F70" s="23">
        <f>IF(C70=0,0,E70/C70)</f>
        <v>431.95833333333331</v>
      </c>
    </row>
    <row r="71" spans="1:6" ht="24" customHeight="1" x14ac:dyDescent="0.2">
      <c r="A71" s="20">
        <v>2</v>
      </c>
      <c r="B71" s="21" t="s">
        <v>65</v>
      </c>
      <c r="C71" s="22">
        <v>2546000</v>
      </c>
      <c r="D71" s="22">
        <v>2269000</v>
      </c>
      <c r="E71" s="22">
        <f>D71-C71</f>
        <v>-277000</v>
      </c>
      <c r="F71" s="23">
        <f>IF(C71=0,0,E71/C71)</f>
        <v>-0.10879811468970935</v>
      </c>
    </row>
    <row r="72" spans="1:6" ht="24" customHeight="1" x14ac:dyDescent="0.2">
      <c r="A72" s="20">
        <v>3</v>
      </c>
      <c r="B72" s="21" t="s">
        <v>66</v>
      </c>
      <c r="C72" s="22">
        <v>15306000</v>
      </c>
      <c r="D72" s="22">
        <v>16255000</v>
      </c>
      <c r="E72" s="22">
        <f>D72-C72</f>
        <v>949000</v>
      </c>
      <c r="F72" s="23">
        <f>IF(C72=0,0,E72/C72)</f>
        <v>6.2001829347968114E-2</v>
      </c>
    </row>
    <row r="73" spans="1:6" ht="24" customHeight="1" x14ac:dyDescent="0.25">
      <c r="A73" s="20"/>
      <c r="B73" s="25" t="s">
        <v>67</v>
      </c>
      <c r="C73" s="26">
        <f>SUM(C70:C72)</f>
        <v>17924000</v>
      </c>
      <c r="D73" s="26">
        <f>SUM(D70:D72)</f>
        <v>49697000</v>
      </c>
      <c r="E73" s="26">
        <f>D73-C73</f>
        <v>31773000</v>
      </c>
      <c r="F73" s="27">
        <f>IF(C73=0,0,E73/C73)</f>
        <v>1.7726511939299263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170223000</v>
      </c>
      <c r="D75" s="26">
        <f>D56+D65+D67+D73</f>
        <v>187263000</v>
      </c>
      <c r="E75" s="26">
        <f>D75-C75</f>
        <v>17040000</v>
      </c>
      <c r="F75" s="27">
        <f>IF(C75=0,0,E75/C75)</f>
        <v>0.10010398124812746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F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251279000</v>
      </c>
      <c r="D11" s="76">
        <v>259820000</v>
      </c>
      <c r="E11" s="76">
        <v>256021000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7199000</v>
      </c>
      <c r="D12" s="185">
        <v>6695000</v>
      </c>
      <c r="E12" s="185">
        <v>7864000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258478000</v>
      </c>
      <c r="D13" s="76">
        <f>+D11+D12</f>
        <v>266515000</v>
      </c>
      <c r="E13" s="76">
        <f>+E11+E12</f>
        <v>263885000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260799000</v>
      </c>
      <c r="D14" s="185">
        <v>261980000</v>
      </c>
      <c r="E14" s="185">
        <v>255204000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-2321000</v>
      </c>
      <c r="D15" s="76">
        <f>+D13-D14</f>
        <v>4535000</v>
      </c>
      <c r="E15" s="76">
        <f>+E13-E14</f>
        <v>8681000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553000</v>
      </c>
      <c r="D16" s="185">
        <v>2620000</v>
      </c>
      <c r="E16" s="185">
        <v>1758000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-1768000</v>
      </c>
      <c r="D17" s="76">
        <f>D15+D16</f>
        <v>7155000</v>
      </c>
      <c r="E17" s="76">
        <f>E15+E16</f>
        <v>10439000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-8.9603174909566805E-3</v>
      </c>
      <c r="D20" s="189">
        <f>IF(+D27=0,0,+D24/+D27)</f>
        <v>1.6850279599457521E-2</v>
      </c>
      <c r="E20" s="189">
        <f>IF(+E27=0,0,+E24/+E27)</f>
        <v>3.2679197268514509E-2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2.1348796090043276E-3</v>
      </c>
      <c r="D21" s="189">
        <f>IF(+D27=0,0,+D26/+D27)</f>
        <v>9.7348914113734742E-3</v>
      </c>
      <c r="E21" s="189">
        <f>IF(+E27=0,0,+E26/+E27)</f>
        <v>6.6179044808257698E-3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-6.8254378819523533E-3</v>
      </c>
      <c r="D22" s="189">
        <f>IF(+D27=0,0,+D28/+D27)</f>
        <v>2.6585171010830997E-2</v>
      </c>
      <c r="E22" s="189">
        <f>IF(+E27=0,0,+E28/+E27)</f>
        <v>3.9297101749340278E-2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-2321000</v>
      </c>
      <c r="D24" s="76">
        <f>+D15</f>
        <v>4535000</v>
      </c>
      <c r="E24" s="76">
        <f>+E15</f>
        <v>8681000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258478000</v>
      </c>
      <c r="D25" s="76">
        <f>+D13</f>
        <v>266515000</v>
      </c>
      <c r="E25" s="76">
        <f>+E13</f>
        <v>263885000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553000</v>
      </c>
      <c r="D26" s="76">
        <f>+D16</f>
        <v>2620000</v>
      </c>
      <c r="E26" s="76">
        <f>+E16</f>
        <v>1758000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259031000</v>
      </c>
      <c r="D27" s="76">
        <f>SUM(D25:D26)</f>
        <v>269135000</v>
      </c>
      <c r="E27" s="76">
        <f>SUM(E25:E26)</f>
        <v>265643000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-1768000</v>
      </c>
      <c r="D28" s="76">
        <f>+D17</f>
        <v>7155000</v>
      </c>
      <c r="E28" s="76">
        <f>+E17</f>
        <v>10439000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-2136000</v>
      </c>
      <c r="D31" s="76">
        <v>2333000</v>
      </c>
      <c r="E31" s="76">
        <v>34102000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14093000</v>
      </c>
      <c r="D32" s="76">
        <v>20185000</v>
      </c>
      <c r="E32" s="76">
        <v>52626000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-10604000</v>
      </c>
      <c r="D33" s="76">
        <f>+D32-C32</f>
        <v>6092000</v>
      </c>
      <c r="E33" s="76">
        <f>+E32-D32</f>
        <v>32441000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0.5706</v>
      </c>
      <c r="D34" s="193">
        <f>IF(C32=0,0,+D33/C32)</f>
        <v>0.4322713403817498</v>
      </c>
      <c r="E34" s="193">
        <f>IF(D32=0,0,+E33/D32)</f>
        <v>1.6071835521426803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1.4278157465986754</v>
      </c>
      <c r="D38" s="338">
        <f>IF(+D40=0,0,+D39/+D40)</f>
        <v>1.4304794097036151</v>
      </c>
      <c r="E38" s="338">
        <f>IF(+E40=0,0,+E39/+E40)</f>
        <v>1.4509954661935738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67480000</v>
      </c>
      <c r="D39" s="341">
        <v>69404000</v>
      </c>
      <c r="E39" s="341">
        <v>73609000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47261000</v>
      </c>
      <c r="D40" s="341">
        <v>48518000</v>
      </c>
      <c r="E40" s="341">
        <v>50730000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37.779562548149094</v>
      </c>
      <c r="D42" s="343">
        <f>IF((D48/365)=0,0,+D45/(D48/365))</f>
        <v>34.307810847320653</v>
      </c>
      <c r="E42" s="343">
        <f>IF((E48/365)=0,0,+E45/(E48/365))</f>
        <v>44.618522386111472</v>
      </c>
    </row>
    <row r="43" spans="1:14" ht="24" customHeight="1" x14ac:dyDescent="0.2">
      <c r="A43" s="339">
        <v>5</v>
      </c>
      <c r="B43" s="344" t="s">
        <v>16</v>
      </c>
      <c r="C43" s="345">
        <v>25568000</v>
      </c>
      <c r="D43" s="345">
        <v>23689000</v>
      </c>
      <c r="E43" s="345">
        <v>29939000</v>
      </c>
    </row>
    <row r="44" spans="1:14" ht="24" customHeight="1" x14ac:dyDescent="0.2">
      <c r="A44" s="339">
        <v>6</v>
      </c>
      <c r="B44" s="346" t="s">
        <v>17</v>
      </c>
      <c r="C44" s="345">
        <v>497000</v>
      </c>
      <c r="D44" s="345">
        <v>38000</v>
      </c>
      <c r="E44" s="345">
        <v>29000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26065000</v>
      </c>
      <c r="D45" s="341">
        <f>+D43+D44</f>
        <v>23727000</v>
      </c>
      <c r="E45" s="341">
        <f>+E43+E44</f>
        <v>29968000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260799000</v>
      </c>
      <c r="D46" s="341">
        <f>+D14</f>
        <v>261980000</v>
      </c>
      <c r="E46" s="341">
        <f>+E14</f>
        <v>255204000</v>
      </c>
    </row>
    <row r="47" spans="1:14" ht="24" customHeight="1" x14ac:dyDescent="0.2">
      <c r="A47" s="339">
        <v>9</v>
      </c>
      <c r="B47" s="340" t="s">
        <v>356</v>
      </c>
      <c r="C47" s="341">
        <v>8977000</v>
      </c>
      <c r="D47" s="341">
        <v>9549000</v>
      </c>
      <c r="E47" s="341">
        <v>10052000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251822000</v>
      </c>
      <c r="D48" s="341">
        <f>+D46-D47</f>
        <v>252431000</v>
      </c>
      <c r="E48" s="341">
        <f>+E46-E47</f>
        <v>245152000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31.635492818739333</v>
      </c>
      <c r="D50" s="350">
        <f>IF((D55/365)=0,0,+D54/(D55/365))</f>
        <v>38.039681317835431</v>
      </c>
      <c r="E50" s="350">
        <f>IF((E55/365)=0,0,+E54/(E55/365))</f>
        <v>35.260955156022362</v>
      </c>
    </row>
    <row r="51" spans="1:5" ht="24" customHeight="1" x14ac:dyDescent="0.2">
      <c r="A51" s="339">
        <v>12</v>
      </c>
      <c r="B51" s="344" t="s">
        <v>359</v>
      </c>
      <c r="C51" s="351">
        <v>28879000</v>
      </c>
      <c r="D51" s="351">
        <v>34085000</v>
      </c>
      <c r="E51" s="351">
        <v>30768000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7100000</v>
      </c>
      <c r="D53" s="341">
        <v>7007000</v>
      </c>
      <c r="E53" s="341">
        <v>6035000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21779000</v>
      </c>
      <c r="D54" s="352">
        <f>+D51+D52-D53</f>
        <v>27078000</v>
      </c>
      <c r="E54" s="352">
        <f>+E51+E52-E53</f>
        <v>24733000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251279000</v>
      </c>
      <c r="D55" s="341">
        <f>+D11</f>
        <v>259820000</v>
      </c>
      <c r="E55" s="341">
        <f>+E11</f>
        <v>256021000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68.501818744986537</v>
      </c>
      <c r="D57" s="355">
        <f>IF((D61/365)=0,0,+D58/(D61/365))</f>
        <v>70.154101516850147</v>
      </c>
      <c r="E57" s="355">
        <f>IF((E61/365)=0,0,+E58/(E61/365))</f>
        <v>75.530487207936304</v>
      </c>
    </row>
    <row r="58" spans="1:5" ht="24" customHeight="1" x14ac:dyDescent="0.2">
      <c r="A58" s="339">
        <v>18</v>
      </c>
      <c r="B58" s="340" t="s">
        <v>54</v>
      </c>
      <c r="C58" s="353">
        <f>+C40</f>
        <v>47261000</v>
      </c>
      <c r="D58" s="353">
        <f>+D40</f>
        <v>48518000</v>
      </c>
      <c r="E58" s="353">
        <f>+E40</f>
        <v>50730000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260799000</v>
      </c>
      <c r="D59" s="353">
        <f t="shared" si="0"/>
        <v>261980000</v>
      </c>
      <c r="E59" s="353">
        <f t="shared" si="0"/>
        <v>255204000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8977000</v>
      </c>
      <c r="D60" s="356">
        <f t="shared" si="0"/>
        <v>9549000</v>
      </c>
      <c r="E60" s="356">
        <f t="shared" si="0"/>
        <v>10052000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251822000</v>
      </c>
      <c r="D61" s="353">
        <f>+D59-D60</f>
        <v>252431000</v>
      </c>
      <c r="E61" s="353">
        <f>+E59-E60</f>
        <v>245152000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7.4028743722816381</v>
      </c>
      <c r="D65" s="357">
        <f>IF(D67=0,0,(D66/D67)*100)</f>
        <v>10.107307205055406</v>
      </c>
      <c r="E65" s="357">
        <f>IF(E67=0,0,(E66/E67)*100)</f>
        <v>24.484611626770882</v>
      </c>
    </row>
    <row r="66" spans="1:5" ht="24" customHeight="1" x14ac:dyDescent="0.2">
      <c r="A66" s="339">
        <v>2</v>
      </c>
      <c r="B66" s="340" t="s">
        <v>67</v>
      </c>
      <c r="C66" s="353">
        <f>+C32</f>
        <v>14093000</v>
      </c>
      <c r="D66" s="353">
        <f>+D32</f>
        <v>20185000</v>
      </c>
      <c r="E66" s="353">
        <f>+E32</f>
        <v>52626000</v>
      </c>
    </row>
    <row r="67" spans="1:5" ht="24" customHeight="1" x14ac:dyDescent="0.2">
      <c r="A67" s="339">
        <v>3</v>
      </c>
      <c r="B67" s="340" t="s">
        <v>43</v>
      </c>
      <c r="C67" s="353">
        <v>190372000</v>
      </c>
      <c r="D67" s="353">
        <v>199707000</v>
      </c>
      <c r="E67" s="353">
        <v>214935000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10.092963346680481</v>
      </c>
      <c r="D69" s="357">
        <f>IF(D75=0,0,(D72/D75)*100)</f>
        <v>23.586557469641345</v>
      </c>
      <c r="E69" s="357">
        <f>IF(E75=0,0,(E72/E75)*100)</f>
        <v>28.818350585058504</v>
      </c>
    </row>
    <row r="70" spans="1:5" ht="24" customHeight="1" x14ac:dyDescent="0.2">
      <c r="A70" s="339">
        <v>5</v>
      </c>
      <c r="B70" s="340" t="s">
        <v>366</v>
      </c>
      <c r="C70" s="353">
        <f>+C28</f>
        <v>-1768000</v>
      </c>
      <c r="D70" s="353">
        <f>+D28</f>
        <v>7155000</v>
      </c>
      <c r="E70" s="353">
        <f>+E28</f>
        <v>10439000</v>
      </c>
    </row>
    <row r="71" spans="1:5" ht="24" customHeight="1" x14ac:dyDescent="0.2">
      <c r="A71" s="339">
        <v>6</v>
      </c>
      <c r="B71" s="340" t="s">
        <v>356</v>
      </c>
      <c r="C71" s="356">
        <f>+C47</f>
        <v>8977000</v>
      </c>
      <c r="D71" s="356">
        <f>+D47</f>
        <v>9549000</v>
      </c>
      <c r="E71" s="356">
        <f>+E47</f>
        <v>10052000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7209000</v>
      </c>
      <c r="D72" s="353">
        <f>+D70+D71</f>
        <v>16704000</v>
      </c>
      <c r="E72" s="353">
        <f>+E70+E71</f>
        <v>20491000</v>
      </c>
    </row>
    <row r="73" spans="1:5" ht="24" customHeight="1" x14ac:dyDescent="0.2">
      <c r="A73" s="339">
        <v>8</v>
      </c>
      <c r="B73" s="340" t="s">
        <v>54</v>
      </c>
      <c r="C73" s="341">
        <f>+C40</f>
        <v>47261000</v>
      </c>
      <c r="D73" s="341">
        <f>+D40</f>
        <v>48518000</v>
      </c>
      <c r="E73" s="341">
        <f>+E40</f>
        <v>50730000</v>
      </c>
    </row>
    <row r="74" spans="1:5" ht="24" customHeight="1" x14ac:dyDescent="0.2">
      <c r="A74" s="339">
        <v>9</v>
      </c>
      <c r="B74" s="340" t="s">
        <v>58</v>
      </c>
      <c r="C74" s="353">
        <v>24165000</v>
      </c>
      <c r="D74" s="353">
        <v>22302000</v>
      </c>
      <c r="E74" s="353">
        <v>20374000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71426000</v>
      </c>
      <c r="D75" s="341">
        <f>+D73+D74</f>
        <v>70820000</v>
      </c>
      <c r="E75" s="341">
        <f>+E73+E74</f>
        <v>71104000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63.163259971770614</v>
      </c>
      <c r="D77" s="359">
        <f>IF(D80=0,0,(D78/D80)*100)</f>
        <v>52.491350295384478</v>
      </c>
      <c r="E77" s="359">
        <f>IF(E80=0,0,(E78/E80)*100)</f>
        <v>27.909589041095888</v>
      </c>
    </row>
    <row r="78" spans="1:5" ht="24" customHeight="1" x14ac:dyDescent="0.2">
      <c r="A78" s="339">
        <v>12</v>
      </c>
      <c r="B78" s="340" t="s">
        <v>58</v>
      </c>
      <c r="C78" s="341">
        <f>+C74</f>
        <v>24165000</v>
      </c>
      <c r="D78" s="341">
        <f>+D74</f>
        <v>22302000</v>
      </c>
      <c r="E78" s="341">
        <f>+E74</f>
        <v>20374000</v>
      </c>
    </row>
    <row r="79" spans="1:5" ht="24" customHeight="1" x14ac:dyDescent="0.2">
      <c r="A79" s="339">
        <v>13</v>
      </c>
      <c r="B79" s="340" t="s">
        <v>67</v>
      </c>
      <c r="C79" s="341">
        <f>+C32</f>
        <v>14093000</v>
      </c>
      <c r="D79" s="341">
        <f>+D32</f>
        <v>20185000</v>
      </c>
      <c r="E79" s="341">
        <f>+E32</f>
        <v>52626000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38258000</v>
      </c>
      <c r="D80" s="341">
        <f>+D78+D79</f>
        <v>42487000</v>
      </c>
      <c r="E80" s="341">
        <f>+E78+E79</f>
        <v>73000000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sqref="A1:F1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38145</v>
      </c>
      <c r="D11" s="376">
        <v>8826</v>
      </c>
      <c r="E11" s="376">
        <v>9121</v>
      </c>
      <c r="F11" s="377">
        <v>123</v>
      </c>
      <c r="G11" s="377">
        <v>123</v>
      </c>
      <c r="H11" s="378">
        <f>IF(F11=0,0,$C11/(F11*365))</f>
        <v>0.84964918142332113</v>
      </c>
      <c r="I11" s="378">
        <f>IF(G11=0,0,$C11/(G11*365))</f>
        <v>0.84964918142332113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3755</v>
      </c>
      <c r="D13" s="376">
        <v>311</v>
      </c>
      <c r="E13" s="376">
        <v>0</v>
      </c>
      <c r="F13" s="377">
        <v>16</v>
      </c>
      <c r="G13" s="377">
        <v>16</v>
      </c>
      <c r="H13" s="378">
        <f>IF(F13=0,0,$C13/(F13*365))</f>
        <v>0.64297945205479456</v>
      </c>
      <c r="I13" s="378">
        <f>IF(G13=0,0,$C13/(G13*365))</f>
        <v>0.64297945205479456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4099</v>
      </c>
      <c r="D16" s="376">
        <v>669</v>
      </c>
      <c r="E16" s="376">
        <v>584</v>
      </c>
      <c r="F16" s="377">
        <v>12</v>
      </c>
      <c r="G16" s="377">
        <v>12</v>
      </c>
      <c r="H16" s="378">
        <f t="shared" si="0"/>
        <v>0.93584474885844748</v>
      </c>
      <c r="I16" s="378">
        <f t="shared" si="0"/>
        <v>0.93584474885844748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4099</v>
      </c>
      <c r="D17" s="381">
        <f>SUM(D15:D16)</f>
        <v>669</v>
      </c>
      <c r="E17" s="381">
        <f>SUM(E15:E16)</f>
        <v>584</v>
      </c>
      <c r="F17" s="381">
        <f>SUM(F15:F16)</f>
        <v>12</v>
      </c>
      <c r="G17" s="381">
        <f>SUM(G15:G16)</f>
        <v>12</v>
      </c>
      <c r="H17" s="382">
        <f t="shared" si="0"/>
        <v>0.93584474885844748</v>
      </c>
      <c r="I17" s="382">
        <f t="shared" si="0"/>
        <v>0.93584474885844748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2609</v>
      </c>
      <c r="D21" s="376">
        <v>977</v>
      </c>
      <c r="E21" s="376">
        <v>1020</v>
      </c>
      <c r="F21" s="377">
        <v>16</v>
      </c>
      <c r="G21" s="377">
        <v>16</v>
      </c>
      <c r="H21" s="378">
        <f>IF(F21=0,0,$C21/(F21*365))</f>
        <v>0.44674657534246576</v>
      </c>
      <c r="I21" s="378">
        <f>IF(G21=0,0,$C21/(G21*365))</f>
        <v>0.44674657534246576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1922</v>
      </c>
      <c r="D23" s="376">
        <v>843</v>
      </c>
      <c r="E23" s="376">
        <v>890</v>
      </c>
      <c r="F23" s="377">
        <v>7</v>
      </c>
      <c r="G23" s="377">
        <v>7</v>
      </c>
      <c r="H23" s="378">
        <f>IF(F23=0,0,$C23/(F23*365))</f>
        <v>0.75225048923679061</v>
      </c>
      <c r="I23" s="378">
        <f>IF(G23=0,0,$C23/(G23*365))</f>
        <v>0.75225048923679061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1303</v>
      </c>
      <c r="D29" s="376">
        <v>414</v>
      </c>
      <c r="E29" s="376">
        <v>0</v>
      </c>
      <c r="F29" s="377">
        <v>8</v>
      </c>
      <c r="G29" s="377">
        <v>8</v>
      </c>
      <c r="H29" s="378">
        <f>IF(F29=0,0,$C29/(F29*365))</f>
        <v>0.44623287671232875</v>
      </c>
      <c r="I29" s="378">
        <f>IF(G29=0,0,$C29/(G29*365))</f>
        <v>0.44623287671232875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49911</v>
      </c>
      <c r="D31" s="384">
        <f>SUM(D10:D29)-D13-D17-D23</f>
        <v>10886</v>
      </c>
      <c r="E31" s="384">
        <f>SUM(E10:E29)-E17-E23</f>
        <v>10725</v>
      </c>
      <c r="F31" s="384">
        <f>SUM(F10:F29)-F17-F23</f>
        <v>175</v>
      </c>
      <c r="G31" s="384">
        <f>SUM(G10:G29)-G17-G23</f>
        <v>175</v>
      </c>
      <c r="H31" s="385">
        <f>IF(F31=0,0,$C31/(F31*365))</f>
        <v>0.78138551859099803</v>
      </c>
      <c r="I31" s="385">
        <f>IF(G31=0,0,$C31/(G31*365))</f>
        <v>0.78138551859099803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51833</v>
      </c>
      <c r="D33" s="384">
        <f>SUM(D10:D29)-D13-D17</f>
        <v>11729</v>
      </c>
      <c r="E33" s="384">
        <f>SUM(E10:E29)-E17</f>
        <v>11615</v>
      </c>
      <c r="F33" s="384">
        <f>SUM(F10:F29)-F17</f>
        <v>182</v>
      </c>
      <c r="G33" s="384">
        <f>SUM(G10:G29)-G17</f>
        <v>182</v>
      </c>
      <c r="H33" s="385">
        <f>IF(F33=0,0,$C33/(F33*365))</f>
        <v>0.78026494053891315</v>
      </c>
      <c r="I33" s="385">
        <f>IF(G33=0,0,$C33/(G33*365))</f>
        <v>0.78026494053891315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51833</v>
      </c>
      <c r="D36" s="384">
        <f t="shared" si="1"/>
        <v>11729</v>
      </c>
      <c r="E36" s="384">
        <f t="shared" si="1"/>
        <v>11615</v>
      </c>
      <c r="F36" s="384">
        <f t="shared" si="1"/>
        <v>182</v>
      </c>
      <c r="G36" s="384">
        <f t="shared" si="1"/>
        <v>182</v>
      </c>
      <c r="H36" s="387">
        <f t="shared" si="1"/>
        <v>0.78026494053891315</v>
      </c>
      <c r="I36" s="387">
        <f t="shared" si="1"/>
        <v>0.78026494053891315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51556</v>
      </c>
      <c r="D37" s="384">
        <v>12078</v>
      </c>
      <c r="E37" s="384">
        <v>12409</v>
      </c>
      <c r="F37" s="386">
        <v>182</v>
      </c>
      <c r="G37" s="386">
        <v>182</v>
      </c>
      <c r="H37" s="385">
        <f>IF(F37=0,0,$C37/(F37*365))</f>
        <v>0.77609513773897332</v>
      </c>
      <c r="I37" s="385">
        <f>IF(G37=0,0,$C37/(G37*365))</f>
        <v>0.77609513773897332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277</v>
      </c>
      <c r="D38" s="384">
        <f t="shared" si="2"/>
        <v>-349</v>
      </c>
      <c r="E38" s="384">
        <f t="shared" si="2"/>
        <v>-794</v>
      </c>
      <c r="F38" s="384">
        <f t="shared" si="2"/>
        <v>0</v>
      </c>
      <c r="G38" s="384">
        <f t="shared" si="2"/>
        <v>0</v>
      </c>
      <c r="H38" s="387">
        <f t="shared" si="2"/>
        <v>4.1698027999398368E-3</v>
      </c>
      <c r="I38" s="387">
        <f t="shared" si="2"/>
        <v>4.1698027999398368E-3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5.3727985103576691E-3</v>
      </c>
      <c r="D40" s="389">
        <f t="shared" si="3"/>
        <v>-2.889551250206988E-2</v>
      </c>
      <c r="E40" s="389">
        <f t="shared" si="3"/>
        <v>-6.3985816745910223E-2</v>
      </c>
      <c r="F40" s="389">
        <f t="shared" si="3"/>
        <v>0</v>
      </c>
      <c r="G40" s="389">
        <f t="shared" si="3"/>
        <v>0</v>
      </c>
      <c r="H40" s="389">
        <f t="shared" si="3"/>
        <v>5.372798510357735E-3</v>
      </c>
      <c r="I40" s="389">
        <f t="shared" si="3"/>
        <v>5.372798510357735E-3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379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5452</v>
      </c>
      <c r="D12" s="409">
        <v>5358</v>
      </c>
      <c r="E12" s="409">
        <f>+D12-C12</f>
        <v>-94</v>
      </c>
      <c r="F12" s="410">
        <f>IF(C12=0,0,+E12/C12)</f>
        <v>-1.7241379310344827E-2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4035</v>
      </c>
      <c r="D13" s="409">
        <v>3738</v>
      </c>
      <c r="E13" s="409">
        <f>+D13-C13</f>
        <v>-297</v>
      </c>
      <c r="F13" s="410">
        <f>IF(C13=0,0,+E13/C13)</f>
        <v>-7.3605947955390341E-2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8828</v>
      </c>
      <c r="D14" s="409">
        <v>8316</v>
      </c>
      <c r="E14" s="409">
        <f>+D14-C14</f>
        <v>-512</v>
      </c>
      <c r="F14" s="410">
        <f>IF(C14=0,0,+E14/C14)</f>
        <v>-5.7997281377435435E-2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3316</v>
      </c>
      <c r="D15" s="409">
        <v>3167</v>
      </c>
      <c r="E15" s="409">
        <f>+D15-C15</f>
        <v>-149</v>
      </c>
      <c r="F15" s="410">
        <f>IF(C15=0,0,+E15/C15)</f>
        <v>-4.4933655006031366E-2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21631</v>
      </c>
      <c r="D16" s="401">
        <f>SUM(D12:D15)</f>
        <v>20579</v>
      </c>
      <c r="E16" s="401">
        <f>+D16-C16</f>
        <v>-1052</v>
      </c>
      <c r="F16" s="402">
        <f>IF(C16=0,0,+E16/C16)</f>
        <v>-4.8633905043687302E-2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1179</v>
      </c>
      <c r="D19" s="409">
        <v>1117</v>
      </c>
      <c r="E19" s="409">
        <f>+D19-C19</f>
        <v>-62</v>
      </c>
      <c r="F19" s="410">
        <f>IF(C19=0,0,+E19/C19)</f>
        <v>-5.2586938083121287E-2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2262</v>
      </c>
      <c r="D20" s="409">
        <v>1939</v>
      </c>
      <c r="E20" s="409">
        <f>+D20-C20</f>
        <v>-323</v>
      </c>
      <c r="F20" s="410">
        <f>IF(C20=0,0,+E20/C20)</f>
        <v>-0.14279398762157383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135</v>
      </c>
      <c r="D21" s="409">
        <v>140</v>
      </c>
      <c r="E21" s="409">
        <f>+D21-C21</f>
        <v>5</v>
      </c>
      <c r="F21" s="410">
        <f>IF(C21=0,0,+E21/C21)</f>
        <v>3.7037037037037035E-2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10565</v>
      </c>
      <c r="D22" s="409">
        <v>10041</v>
      </c>
      <c r="E22" s="409">
        <f>+D22-C22</f>
        <v>-524</v>
      </c>
      <c r="F22" s="410">
        <f>IF(C22=0,0,+E22/C22)</f>
        <v>-4.9597728348319922E-2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14141</v>
      </c>
      <c r="D23" s="401">
        <f>SUM(D19:D22)</f>
        <v>13237</v>
      </c>
      <c r="E23" s="401">
        <f>+D23-C23</f>
        <v>-904</v>
      </c>
      <c r="F23" s="402">
        <f>IF(C23=0,0,+E23/C23)</f>
        <v>-6.392758645074606E-2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673</v>
      </c>
      <c r="D29" s="409">
        <v>747</v>
      </c>
      <c r="E29" s="409">
        <f>+D29-C29</f>
        <v>74</v>
      </c>
      <c r="F29" s="410">
        <f>IF(C29=0,0,+E29/C29)</f>
        <v>0.10995542347696879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673</v>
      </c>
      <c r="D30" s="401">
        <f>SUM(D26:D29)</f>
        <v>747</v>
      </c>
      <c r="E30" s="401">
        <f>+D30-C30</f>
        <v>74</v>
      </c>
      <c r="F30" s="402">
        <f>IF(C30=0,0,+E30/C30)</f>
        <v>0.10995542347696879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0</v>
      </c>
      <c r="E37" s="401">
        <f>+D37-C37</f>
        <v>0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10993</v>
      </c>
      <c r="D44" s="409">
        <v>11664</v>
      </c>
      <c r="E44" s="409">
        <f>+D44-C44</f>
        <v>671</v>
      </c>
      <c r="F44" s="410">
        <f>IF(C44=0,0,+E44/C44)</f>
        <v>6.1038842900027292E-2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10993</v>
      </c>
      <c r="D45" s="401">
        <f>SUM(D43:D44)</f>
        <v>11664</v>
      </c>
      <c r="E45" s="401">
        <f>+D45-C45</f>
        <v>671</v>
      </c>
      <c r="F45" s="402">
        <f>IF(C45=0,0,+E45/C45)</f>
        <v>6.1038842900027292E-2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646</v>
      </c>
      <c r="D48" s="409">
        <v>563</v>
      </c>
      <c r="E48" s="409">
        <f>+D48-C48</f>
        <v>-83</v>
      </c>
      <c r="F48" s="410">
        <f>IF(C48=0,0,+E48/C48)</f>
        <v>-0.12848297213622292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369</v>
      </c>
      <c r="D49" s="409">
        <v>340</v>
      </c>
      <c r="E49" s="409">
        <f>+D49-C49</f>
        <v>-29</v>
      </c>
      <c r="F49" s="410">
        <f>IF(C49=0,0,+E49/C49)</f>
        <v>-7.8590785907859076E-2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1015</v>
      </c>
      <c r="D50" s="401">
        <f>SUM(D48:D49)</f>
        <v>903</v>
      </c>
      <c r="E50" s="401">
        <f>+D50-C50</f>
        <v>-112</v>
      </c>
      <c r="F50" s="402">
        <f>IF(C50=0,0,+E50/C50)</f>
        <v>-0.1103448275862069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415</v>
      </c>
      <c r="D53" s="409">
        <v>342</v>
      </c>
      <c r="E53" s="409">
        <f>+D53-C53</f>
        <v>-73</v>
      </c>
      <c r="F53" s="410">
        <f>IF(C53=0,0,+E53/C53)</f>
        <v>-0.17590361445783131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415</v>
      </c>
      <c r="D55" s="401">
        <f>SUM(D53:D54)</f>
        <v>342</v>
      </c>
      <c r="E55" s="401">
        <f>+D55-C55</f>
        <v>-73</v>
      </c>
      <c r="F55" s="402">
        <f>IF(C55=0,0,+E55/C55)</f>
        <v>-0.17590361445783131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113</v>
      </c>
      <c r="D58" s="409">
        <v>116</v>
      </c>
      <c r="E58" s="409">
        <f>+D58-C58</f>
        <v>3</v>
      </c>
      <c r="F58" s="410">
        <f>IF(C58=0,0,+E58/C58)</f>
        <v>2.6548672566371681E-2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111</v>
      </c>
      <c r="D59" s="409">
        <v>87</v>
      </c>
      <c r="E59" s="409">
        <f>+D59-C59</f>
        <v>-24</v>
      </c>
      <c r="F59" s="410">
        <f>IF(C59=0,0,+E59/C59)</f>
        <v>-0.21621621621621623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224</v>
      </c>
      <c r="D60" s="401">
        <f>SUM(D58:D59)</f>
        <v>203</v>
      </c>
      <c r="E60" s="401">
        <f>SUM(E58:E59)</f>
        <v>-21</v>
      </c>
      <c r="F60" s="402">
        <f>IF(C60=0,0,+E60/C60)</f>
        <v>-9.375E-2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9210</v>
      </c>
      <c r="D63" s="409">
        <v>9389</v>
      </c>
      <c r="E63" s="409">
        <f>+D63-C63</f>
        <v>179</v>
      </c>
      <c r="F63" s="410">
        <f>IF(C63=0,0,+E63/C63)</f>
        <v>1.9435396308360477E-2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17984</v>
      </c>
      <c r="D64" s="409">
        <v>16975</v>
      </c>
      <c r="E64" s="409">
        <f>+D64-C64</f>
        <v>-1009</v>
      </c>
      <c r="F64" s="410">
        <f>IF(C64=0,0,+E64/C64)</f>
        <v>-5.6105427046263347E-2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27194</v>
      </c>
      <c r="D65" s="401">
        <f>SUM(D63:D64)</f>
        <v>26364</v>
      </c>
      <c r="E65" s="401">
        <f>+D65-C65</f>
        <v>-830</v>
      </c>
      <c r="F65" s="402">
        <f>IF(C65=0,0,+E65/C65)</f>
        <v>-3.0521438552621901E-2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312</v>
      </c>
      <c r="D68" s="409">
        <v>335</v>
      </c>
      <c r="E68" s="409">
        <f>+D68-C68</f>
        <v>23</v>
      </c>
      <c r="F68" s="410">
        <f>IF(C68=0,0,+E68/C68)</f>
        <v>7.371794871794872E-2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982</v>
      </c>
      <c r="D69" s="409">
        <v>2658</v>
      </c>
      <c r="E69" s="409">
        <f>+D69-C69</f>
        <v>1676</v>
      </c>
      <c r="F69" s="412">
        <f>IF(C69=0,0,+E69/C69)</f>
        <v>1.7067209775967414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1294</v>
      </c>
      <c r="D70" s="401">
        <f>SUM(D68:D69)</f>
        <v>2993</v>
      </c>
      <c r="E70" s="401">
        <f>+D70-C70</f>
        <v>1699</v>
      </c>
      <c r="F70" s="402">
        <f>IF(C70=0,0,+E70/C70)</f>
        <v>1.312982998454405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7851</v>
      </c>
      <c r="D73" s="376">
        <v>7991</v>
      </c>
      <c r="E73" s="409">
        <f>+D73-C73</f>
        <v>140</v>
      </c>
      <c r="F73" s="410">
        <f>IF(C73=0,0,+E73/C73)</f>
        <v>1.7832123296395365E-2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62968</v>
      </c>
      <c r="D74" s="376">
        <v>62003</v>
      </c>
      <c r="E74" s="409">
        <f>+D74-C74</f>
        <v>-965</v>
      </c>
      <c r="F74" s="410">
        <f>IF(C74=0,0,+E74/C74)</f>
        <v>-1.5325244568669801E-2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70819</v>
      </c>
      <c r="D75" s="401">
        <f>SUM(D73:D74)</f>
        <v>69994</v>
      </c>
      <c r="E75" s="401">
        <f>SUM(E73:E74)</f>
        <v>-825</v>
      </c>
      <c r="F75" s="402">
        <f>IF(C75=0,0,+E75/C75)</f>
        <v>-1.1649416117143704E-2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204</v>
      </c>
      <c r="D79" s="376">
        <v>167</v>
      </c>
      <c r="E79" s="409">
        <f t="shared" ref="E79:E92" si="0">+D79-C79</f>
        <v>-37</v>
      </c>
      <c r="F79" s="410">
        <f t="shared" ref="F79:F92" si="1">IF(C79=0,0,+E79/C79)</f>
        <v>-0.18137254901960784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5204</v>
      </c>
      <c r="D80" s="376">
        <v>3691</v>
      </c>
      <c r="E80" s="409">
        <f t="shared" si="0"/>
        <v>-1513</v>
      </c>
      <c r="F80" s="410">
        <f t="shared" si="1"/>
        <v>-0.2907378939277479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11794</v>
      </c>
      <c r="D81" s="376">
        <v>10785</v>
      </c>
      <c r="E81" s="409">
        <f t="shared" si="0"/>
        <v>-1009</v>
      </c>
      <c r="F81" s="410">
        <f t="shared" si="1"/>
        <v>-8.5551975580803796E-2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43317</v>
      </c>
      <c r="D82" s="376">
        <v>0</v>
      </c>
      <c r="E82" s="409">
        <f t="shared" si="0"/>
        <v>-43317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27775</v>
      </c>
      <c r="E86" s="409">
        <f t="shared" si="0"/>
        <v>27775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60519</v>
      </c>
      <c r="D92" s="381">
        <f>SUM(D79:D91)</f>
        <v>42418</v>
      </c>
      <c r="E92" s="401">
        <f t="shared" si="0"/>
        <v>-18101</v>
      </c>
      <c r="F92" s="402">
        <f t="shared" si="1"/>
        <v>-0.2990961516218047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14734</v>
      </c>
      <c r="D95" s="414">
        <v>12187</v>
      </c>
      <c r="E95" s="415">
        <f t="shared" ref="E95:E100" si="2">+D95-C95</f>
        <v>-2547</v>
      </c>
      <c r="F95" s="412">
        <f t="shared" ref="F95:F100" si="3">IF(C95=0,0,+E95/C95)</f>
        <v>-0.17286548119994571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2901</v>
      </c>
      <c r="D96" s="414">
        <v>2632</v>
      </c>
      <c r="E96" s="409">
        <f t="shared" si="2"/>
        <v>-269</v>
      </c>
      <c r="F96" s="410">
        <f t="shared" si="3"/>
        <v>-9.2726645984143402E-2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150</v>
      </c>
      <c r="D97" s="414">
        <v>154</v>
      </c>
      <c r="E97" s="409">
        <f t="shared" si="2"/>
        <v>4</v>
      </c>
      <c r="F97" s="410">
        <f t="shared" si="3"/>
        <v>2.6666666666666668E-2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4714</v>
      </c>
      <c r="D98" s="414">
        <v>4115</v>
      </c>
      <c r="E98" s="409">
        <f t="shared" si="2"/>
        <v>-599</v>
      </c>
      <c r="F98" s="410">
        <f t="shared" si="3"/>
        <v>-0.12706830717013151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150330</v>
      </c>
      <c r="D99" s="414">
        <v>138199</v>
      </c>
      <c r="E99" s="409">
        <f t="shared" si="2"/>
        <v>-12131</v>
      </c>
      <c r="F99" s="410">
        <f t="shared" si="3"/>
        <v>-8.0695802567684424E-2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172829</v>
      </c>
      <c r="D100" s="381">
        <f>SUM(D95:D99)</f>
        <v>157287</v>
      </c>
      <c r="E100" s="401">
        <f t="shared" si="2"/>
        <v>-15542</v>
      </c>
      <c r="F100" s="402">
        <f t="shared" si="3"/>
        <v>-8.992703770779209E-2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361.6</v>
      </c>
      <c r="D104" s="416">
        <v>347.3</v>
      </c>
      <c r="E104" s="417">
        <f>+D104-C104</f>
        <v>-14.300000000000011</v>
      </c>
      <c r="F104" s="410">
        <f>IF(C104=0,0,+E104/C104)</f>
        <v>-3.9546460176991177E-2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53.6</v>
      </c>
      <c r="D105" s="416">
        <v>56.1</v>
      </c>
      <c r="E105" s="417">
        <f>+D105-C105</f>
        <v>2.5</v>
      </c>
      <c r="F105" s="410">
        <f>IF(C105=0,0,+E105/C105)</f>
        <v>4.6641791044776115E-2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940</v>
      </c>
      <c r="D106" s="416">
        <v>951.8</v>
      </c>
      <c r="E106" s="417">
        <f>+D106-C106</f>
        <v>11.799999999999955</v>
      </c>
      <c r="F106" s="410">
        <f>IF(C106=0,0,+E106/C106)</f>
        <v>1.2553191489361654E-2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1355.2</v>
      </c>
      <c r="D107" s="418">
        <f>SUM(D104:D106)</f>
        <v>1355.2</v>
      </c>
      <c r="E107" s="418">
        <f>+D107-C107</f>
        <v>0</v>
      </c>
      <c r="F107" s="402">
        <f>IF(C107=0,0,+E107/C107)</f>
        <v>0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10505</v>
      </c>
      <c r="D12" s="409">
        <v>11678</v>
      </c>
      <c r="E12" s="409">
        <f>+D12-C12</f>
        <v>1173</v>
      </c>
      <c r="F12" s="410">
        <f>IF(C12=0,0,+E12/C12)</f>
        <v>0.11166111375535459</v>
      </c>
    </row>
    <row r="13" spans="1:6" ht="15.75" customHeight="1" x14ac:dyDescent="0.2">
      <c r="A13" s="374">
        <v>2</v>
      </c>
      <c r="B13" s="408" t="s">
        <v>622</v>
      </c>
      <c r="C13" s="409">
        <v>7479</v>
      </c>
      <c r="D13" s="409">
        <v>5297</v>
      </c>
      <c r="E13" s="409">
        <f>+D13-C13</f>
        <v>-2182</v>
      </c>
      <c r="F13" s="410">
        <f>IF(C13=0,0,+E13/C13)</f>
        <v>-0.29175023398850114</v>
      </c>
    </row>
    <row r="14" spans="1:6" ht="15.75" customHeight="1" x14ac:dyDescent="0.25">
      <c r="A14" s="374"/>
      <c r="B14" s="399" t="s">
        <v>623</v>
      </c>
      <c r="C14" s="401">
        <f>SUM(C11:C13)</f>
        <v>17984</v>
      </c>
      <c r="D14" s="401">
        <f>SUM(D11:D13)</f>
        <v>16975</v>
      </c>
      <c r="E14" s="401">
        <f>+D14-C14</f>
        <v>-1009</v>
      </c>
      <c r="F14" s="402">
        <f>IF(C14=0,0,+E14/C14)</f>
        <v>-5.6105427046263347E-2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622</v>
      </c>
      <c r="C17" s="409">
        <v>982</v>
      </c>
      <c r="D17" s="409">
        <v>2658</v>
      </c>
      <c r="E17" s="409">
        <f>+D17-C17</f>
        <v>1676</v>
      </c>
      <c r="F17" s="410">
        <f>IF(C17=0,0,+E17/C17)</f>
        <v>1.7067209775967414</v>
      </c>
    </row>
    <row r="18" spans="1:6" ht="15.75" customHeight="1" x14ac:dyDescent="0.25">
      <c r="A18" s="374"/>
      <c r="B18" s="399" t="s">
        <v>624</v>
      </c>
      <c r="C18" s="401">
        <f>SUM(C16:C17)</f>
        <v>982</v>
      </c>
      <c r="D18" s="401">
        <f>SUM(D16:D17)</f>
        <v>2658</v>
      </c>
      <c r="E18" s="401">
        <f>+D18-C18</f>
        <v>1676</v>
      </c>
      <c r="F18" s="402">
        <f>IF(C18=0,0,+E18/C18)</f>
        <v>1.7067209775967414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625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622</v>
      </c>
      <c r="C21" s="409">
        <v>62968</v>
      </c>
      <c r="D21" s="409">
        <v>62003</v>
      </c>
      <c r="E21" s="409">
        <f>+D21-C21</f>
        <v>-965</v>
      </c>
      <c r="F21" s="410">
        <f>IF(C21=0,0,+E21/C21)</f>
        <v>-1.5325244568669801E-2</v>
      </c>
    </row>
    <row r="22" spans="1:6" ht="15.75" customHeight="1" x14ac:dyDescent="0.25">
      <c r="A22" s="374"/>
      <c r="B22" s="399" t="s">
        <v>626</v>
      </c>
      <c r="C22" s="401">
        <f>SUM(C20:C21)</f>
        <v>62968</v>
      </c>
      <c r="D22" s="401">
        <f>SUM(D20:D21)</f>
        <v>62003</v>
      </c>
      <c r="E22" s="401">
        <f>+D22-C22</f>
        <v>-965</v>
      </c>
      <c r="F22" s="402">
        <f>IF(C22=0,0,+E22/C22)</f>
        <v>-1.5325244568669801E-2</v>
      </c>
    </row>
    <row r="23" spans="1:6" ht="15.75" customHeight="1" x14ac:dyDescent="0.25">
      <c r="A23" s="136"/>
      <c r="B23" s="399"/>
      <c r="C23" s="401"/>
      <c r="D23" s="401"/>
      <c r="E23" s="401"/>
      <c r="F23" s="402"/>
    </row>
    <row r="24" spans="1:6" ht="15.75" customHeight="1" x14ac:dyDescent="0.25">
      <c r="B24" s="810" t="s">
        <v>627</v>
      </c>
      <c r="C24" s="811"/>
      <c r="D24" s="811"/>
      <c r="E24" s="811"/>
      <c r="F24" s="812"/>
    </row>
    <row r="25" spans="1:6" ht="15.75" customHeight="1" x14ac:dyDescent="0.25">
      <c r="A25" s="392"/>
    </row>
    <row r="26" spans="1:6" ht="15.75" customHeight="1" x14ac:dyDescent="0.25">
      <c r="B26" s="810" t="s">
        <v>628</v>
      </c>
      <c r="C26" s="811"/>
      <c r="D26" s="811"/>
      <c r="E26" s="811"/>
      <c r="F26" s="812"/>
    </row>
    <row r="27" spans="1:6" ht="15.75" customHeight="1" x14ac:dyDescent="0.25">
      <c r="A27" s="392"/>
    </row>
    <row r="28" spans="1:6" ht="15.75" customHeight="1" x14ac:dyDescent="0.25">
      <c r="B28" s="810" t="s">
        <v>629</v>
      </c>
      <c r="C28" s="811"/>
      <c r="D28" s="811"/>
      <c r="E28" s="811"/>
      <c r="F28" s="812"/>
    </row>
    <row r="29" spans="1:6" ht="15.75" customHeight="1" x14ac:dyDescent="0.25">
      <c r="A29" s="392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132497985</v>
      </c>
      <c r="D15" s="448">
        <v>136828081</v>
      </c>
      <c r="E15" s="448">
        <f t="shared" ref="E15:E24" si="0">D15-C15</f>
        <v>4330096</v>
      </c>
      <c r="F15" s="449">
        <f t="shared" ref="F15:F24" si="1">IF(C15=0,0,E15/C15)</f>
        <v>3.268046680106116E-2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65457999</v>
      </c>
      <c r="D16" s="448">
        <v>63438379</v>
      </c>
      <c r="E16" s="448">
        <f t="shared" si="0"/>
        <v>-2019620</v>
      </c>
      <c r="F16" s="449">
        <f t="shared" si="1"/>
        <v>-3.085367763838916E-2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0.49403014694902719</v>
      </c>
      <c r="D17" s="453">
        <f>IF(LN_IA1=0,0,LN_IA2/LN_IA1)</f>
        <v>0.46363566993240224</v>
      </c>
      <c r="E17" s="454">
        <f t="shared" si="0"/>
        <v>-3.0394477016624954E-2</v>
      </c>
      <c r="F17" s="449">
        <f t="shared" si="1"/>
        <v>-6.1523526862341422E-2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5198</v>
      </c>
      <c r="D18" s="456">
        <v>5053</v>
      </c>
      <c r="E18" s="456">
        <f t="shared" si="0"/>
        <v>-145</v>
      </c>
      <c r="F18" s="449">
        <f t="shared" si="1"/>
        <v>-2.7895344363216622E-2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1.5007999999999999</v>
      </c>
      <c r="D19" s="459">
        <v>1.49895</v>
      </c>
      <c r="E19" s="460">
        <f t="shared" si="0"/>
        <v>-1.8499999999999073E-3</v>
      </c>
      <c r="F19" s="449">
        <f t="shared" si="1"/>
        <v>-1.2326759061833071E-3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7801.1583999999993</v>
      </c>
      <c r="D20" s="463">
        <f>LN_IA4*LN_IA5</f>
        <v>7574.1943499999998</v>
      </c>
      <c r="E20" s="463">
        <f t="shared" si="0"/>
        <v>-226.96404999999959</v>
      </c>
      <c r="F20" s="449">
        <f t="shared" si="1"/>
        <v>-2.9093634350508716E-2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8390.8050117274906</v>
      </c>
      <c r="D21" s="465">
        <f>IF(LN_IA6=0,0,LN_IA2/LN_IA6)</f>
        <v>8375.5942967056289</v>
      </c>
      <c r="E21" s="465">
        <f t="shared" si="0"/>
        <v>-15.210715021861688</v>
      </c>
      <c r="F21" s="449">
        <f t="shared" si="1"/>
        <v>-1.8127837556232427E-3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26064</v>
      </c>
      <c r="D22" s="456">
        <v>26610</v>
      </c>
      <c r="E22" s="456">
        <f t="shared" si="0"/>
        <v>546</v>
      </c>
      <c r="F22" s="449">
        <f t="shared" si="1"/>
        <v>2.094843462246777E-2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2511.4333563535911</v>
      </c>
      <c r="D23" s="465">
        <f>IF(LN_IA8=0,0,LN_IA2/LN_IA8)</f>
        <v>2384.0052236001502</v>
      </c>
      <c r="E23" s="465">
        <f t="shared" si="0"/>
        <v>-127.42813275344088</v>
      </c>
      <c r="F23" s="449">
        <f t="shared" si="1"/>
        <v>-5.0739205335098667E-2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5.0142362447095037</v>
      </c>
      <c r="D24" s="466">
        <f>IF(LN_IA4=0,0,LN_IA8/LN_IA4)</f>
        <v>5.2661785078171386</v>
      </c>
      <c r="E24" s="466">
        <f t="shared" si="0"/>
        <v>0.2519422631076349</v>
      </c>
      <c r="F24" s="449">
        <f t="shared" si="1"/>
        <v>5.024539148378937E-2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91194082</v>
      </c>
      <c r="D27" s="448">
        <v>93355888</v>
      </c>
      <c r="E27" s="448">
        <f t="shared" ref="E27:E32" si="2">D27-C27</f>
        <v>2161806</v>
      </c>
      <c r="F27" s="449">
        <f t="shared" ref="F27:F32" si="3">IF(C27=0,0,E27/C27)</f>
        <v>2.3705551419444082E-2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19621848</v>
      </c>
      <c r="D28" s="448">
        <v>19692299</v>
      </c>
      <c r="E28" s="448">
        <f t="shared" si="2"/>
        <v>70451</v>
      </c>
      <c r="F28" s="449">
        <f t="shared" si="3"/>
        <v>3.5904365378836896E-3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0.21516580428980028</v>
      </c>
      <c r="D29" s="453">
        <f>IF(LN_IA11=0,0,LN_IA12/LN_IA11)</f>
        <v>0.21093794319646983</v>
      </c>
      <c r="E29" s="454">
        <f t="shared" si="2"/>
        <v>-4.2278610933304539E-3</v>
      </c>
      <c r="F29" s="449">
        <f t="shared" si="3"/>
        <v>-1.9649316987359555E-2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0.68826768950486306</v>
      </c>
      <c r="D30" s="453">
        <f>IF(LN_IA1=0,0,LN_IA11/LN_IA1)</f>
        <v>0.68228602869903587</v>
      </c>
      <c r="E30" s="454">
        <f t="shared" si="2"/>
        <v>-5.9816608058271825E-3</v>
      </c>
      <c r="F30" s="449">
        <f t="shared" si="3"/>
        <v>-8.6908929433115838E-3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3577.6154500462781</v>
      </c>
      <c r="D31" s="463">
        <f>LN_IA14*LN_IA4</f>
        <v>3447.5913030162283</v>
      </c>
      <c r="E31" s="463">
        <f t="shared" si="2"/>
        <v>-130.02414703004979</v>
      </c>
      <c r="F31" s="449">
        <f t="shared" si="3"/>
        <v>-3.634380185505065E-2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5484.6162965184485</v>
      </c>
      <c r="D32" s="465">
        <f>IF(LN_IA15=0,0,LN_IA12/LN_IA15)</f>
        <v>5711.9006486562384</v>
      </c>
      <c r="E32" s="465">
        <f t="shared" si="2"/>
        <v>227.28435213778994</v>
      </c>
      <c r="F32" s="449">
        <f t="shared" si="3"/>
        <v>4.1440337819450855E-2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223692067</v>
      </c>
      <c r="D35" s="448">
        <f>LN_IA1+LN_IA11</f>
        <v>230183969</v>
      </c>
      <c r="E35" s="448">
        <f>D35-C35</f>
        <v>6491902</v>
      </c>
      <c r="F35" s="449">
        <f>IF(C35=0,0,E35/C35)</f>
        <v>2.9021601378469986E-2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85079847</v>
      </c>
      <c r="D36" s="448">
        <f>LN_IA2+LN_IA12</f>
        <v>83130678</v>
      </c>
      <c r="E36" s="448">
        <f>D36-C36</f>
        <v>-1949169</v>
      </c>
      <c r="F36" s="449">
        <f>IF(C36=0,0,E36/C36)</f>
        <v>-2.2909878998724573E-2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138612220</v>
      </c>
      <c r="D37" s="448">
        <f>LN_IA17-LN_IA18</f>
        <v>147053291</v>
      </c>
      <c r="E37" s="448">
        <f>D37-C37</f>
        <v>8441071</v>
      </c>
      <c r="F37" s="449">
        <f>IF(C37=0,0,E37/C37)</f>
        <v>6.0897019036272558E-2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69836067</v>
      </c>
      <c r="D42" s="448">
        <v>70498050</v>
      </c>
      <c r="E42" s="448">
        <f t="shared" ref="E42:E53" si="4">D42-C42</f>
        <v>661983</v>
      </c>
      <c r="F42" s="449">
        <f t="shared" ref="F42:F53" si="5">IF(C42=0,0,E42/C42)</f>
        <v>9.4790991021874126E-3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38013546</v>
      </c>
      <c r="D43" s="448">
        <v>34301365</v>
      </c>
      <c r="E43" s="448">
        <f t="shared" si="4"/>
        <v>-3712181</v>
      </c>
      <c r="F43" s="449">
        <f t="shared" si="5"/>
        <v>-9.7654162545109571E-2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0.54432541282715707</v>
      </c>
      <c r="D44" s="453">
        <f>IF(LN_IB1=0,0,LN_IB2/LN_IB1)</f>
        <v>0.48655764237450538</v>
      </c>
      <c r="E44" s="454">
        <f t="shared" si="4"/>
        <v>-5.776777045265169E-2</v>
      </c>
      <c r="F44" s="449">
        <f t="shared" si="5"/>
        <v>-0.10612727073059702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3627</v>
      </c>
      <c r="D45" s="456">
        <v>3306</v>
      </c>
      <c r="E45" s="456">
        <f t="shared" si="4"/>
        <v>-321</v>
      </c>
      <c r="F45" s="449">
        <f t="shared" si="5"/>
        <v>-8.850289495450786E-2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1.2172000000000001</v>
      </c>
      <c r="D46" s="459">
        <v>1.1974</v>
      </c>
      <c r="E46" s="460">
        <f t="shared" si="4"/>
        <v>-1.980000000000004E-2</v>
      </c>
      <c r="F46" s="449">
        <f t="shared" si="5"/>
        <v>-1.6266841932303679E-2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4414.7844000000005</v>
      </c>
      <c r="D47" s="463">
        <f>LN_IB4*LN_IB5</f>
        <v>3958.6044000000002</v>
      </c>
      <c r="E47" s="463">
        <f t="shared" si="4"/>
        <v>-456.18000000000029</v>
      </c>
      <c r="F47" s="449">
        <f t="shared" si="5"/>
        <v>-0.1033300742840353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8610.5101757630564</v>
      </c>
      <c r="D48" s="465">
        <f>IF(LN_IB6=0,0,LN_IB2/LN_IB6)</f>
        <v>8665.0146197988361</v>
      </c>
      <c r="E48" s="465">
        <f t="shared" si="4"/>
        <v>54.50444403577967</v>
      </c>
      <c r="F48" s="449">
        <f t="shared" si="5"/>
        <v>6.3299900845828257E-3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-219.70516403556576</v>
      </c>
      <c r="D49" s="465">
        <f>LN_IA7-LN_IB7</f>
        <v>-289.42032309320712</v>
      </c>
      <c r="E49" s="465">
        <f t="shared" si="4"/>
        <v>-69.715159057641358</v>
      </c>
      <c r="F49" s="449">
        <f t="shared" si="5"/>
        <v>0.31731233702980194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-969950.93078365689</v>
      </c>
      <c r="D50" s="479">
        <f>LN_IB8*LN_IB6</f>
        <v>-1145700.5644461913</v>
      </c>
      <c r="E50" s="479">
        <f t="shared" si="4"/>
        <v>-175749.63366253441</v>
      </c>
      <c r="F50" s="449">
        <f t="shared" si="5"/>
        <v>0.18119435538923626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12720</v>
      </c>
      <c r="D51" s="456">
        <v>12205</v>
      </c>
      <c r="E51" s="456">
        <f t="shared" si="4"/>
        <v>-515</v>
      </c>
      <c r="F51" s="449">
        <f t="shared" si="5"/>
        <v>-4.0487421383647797E-2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2988.4863207547169</v>
      </c>
      <c r="D52" s="465">
        <f>IF(LN_IB10=0,0,LN_IB2/LN_IB10)</f>
        <v>2810.4354772634165</v>
      </c>
      <c r="E52" s="465">
        <f t="shared" si="4"/>
        <v>-178.05084349130038</v>
      </c>
      <c r="F52" s="449">
        <f t="shared" si="5"/>
        <v>-5.9578938760654974E-2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3.5070306038047971</v>
      </c>
      <c r="D53" s="466">
        <f>IF(LN_IB4=0,0,LN_IB10/LN_IB4)</f>
        <v>3.691772534785239</v>
      </c>
      <c r="E53" s="466">
        <f t="shared" si="4"/>
        <v>0.18474193098044189</v>
      </c>
      <c r="F53" s="449">
        <f t="shared" si="5"/>
        <v>5.2677593055508079E-2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140489464</v>
      </c>
      <c r="D56" s="448">
        <v>140629707</v>
      </c>
      <c r="E56" s="448">
        <f t="shared" ref="E56:E63" si="6">D56-C56</f>
        <v>140243</v>
      </c>
      <c r="F56" s="449">
        <f t="shared" ref="F56:F63" si="7">IF(C56=0,0,E56/C56)</f>
        <v>9.9824567627363153E-4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47472917</v>
      </c>
      <c r="D57" s="448">
        <v>45811830</v>
      </c>
      <c r="E57" s="448">
        <f t="shared" si="6"/>
        <v>-1661087</v>
      </c>
      <c r="F57" s="449">
        <f t="shared" si="7"/>
        <v>-3.4990202940341754E-2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0.33791086995676772</v>
      </c>
      <c r="D58" s="453">
        <f>IF(LN_IB13=0,0,LN_IB14/LN_IB13)</f>
        <v>0.32576210942400669</v>
      </c>
      <c r="E58" s="454">
        <f t="shared" si="6"/>
        <v>-1.2148760532761038E-2</v>
      </c>
      <c r="F58" s="449">
        <f t="shared" si="7"/>
        <v>-3.5952559129913013E-2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2.0117035514041763</v>
      </c>
      <c r="D59" s="453">
        <f>IF(LN_IB1=0,0,LN_IB13/LN_IB1)</f>
        <v>1.9948027924176626</v>
      </c>
      <c r="E59" s="454">
        <f t="shared" si="6"/>
        <v>-1.6900758986513775E-2</v>
      </c>
      <c r="F59" s="449">
        <f t="shared" si="7"/>
        <v>-8.4012174530968958E-3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7296.4487809429475</v>
      </c>
      <c r="D60" s="463">
        <f>LN_IB16*LN_IB4</f>
        <v>6594.8180317327924</v>
      </c>
      <c r="E60" s="463">
        <f t="shared" si="6"/>
        <v>-701.63074921015505</v>
      </c>
      <c r="F60" s="449">
        <f t="shared" si="7"/>
        <v>-9.6160580341863325E-2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6506.3044263383281</v>
      </c>
      <c r="D61" s="465">
        <f>IF(LN_IB17=0,0,LN_IB14/LN_IB17)</f>
        <v>6946.6404955472162</v>
      </c>
      <c r="E61" s="465">
        <f t="shared" si="6"/>
        <v>440.33606920888815</v>
      </c>
      <c r="F61" s="449">
        <f t="shared" si="7"/>
        <v>6.7678368602974229E-2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-1021.6881298198796</v>
      </c>
      <c r="D62" s="465">
        <f>LN_IA16-LN_IB18</f>
        <v>-1234.7398468909778</v>
      </c>
      <c r="E62" s="465">
        <f t="shared" si="6"/>
        <v>-213.05171707109821</v>
      </c>
      <c r="F62" s="449">
        <f t="shared" si="7"/>
        <v>0.20852911064813737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-7454695.1093281405</v>
      </c>
      <c r="D63" s="448">
        <f>LN_IB19*LN_IB17</f>
        <v>-8142884.6067756079</v>
      </c>
      <c r="E63" s="448">
        <f t="shared" si="6"/>
        <v>-688189.49744746741</v>
      </c>
      <c r="F63" s="449">
        <f t="shared" si="7"/>
        <v>9.2316250008176517E-2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210325531</v>
      </c>
      <c r="D66" s="448">
        <f>LN_IB1+LN_IB13</f>
        <v>211127757</v>
      </c>
      <c r="E66" s="448">
        <f>D66-C66</f>
        <v>802226</v>
      </c>
      <c r="F66" s="449">
        <f>IF(C66=0,0,E66/C66)</f>
        <v>3.8142112190840019E-3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85486463</v>
      </c>
      <c r="D67" s="448">
        <f>LN_IB2+LN_IB14</f>
        <v>80113195</v>
      </c>
      <c r="E67" s="448">
        <f>D67-C67</f>
        <v>-5373268</v>
      </c>
      <c r="F67" s="449">
        <f>IF(C67=0,0,E67/C67)</f>
        <v>-6.2855191470490485E-2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124839068</v>
      </c>
      <c r="D68" s="448">
        <f>LN_IB21-LN_IB22</f>
        <v>131014562</v>
      </c>
      <c r="E68" s="448">
        <f>D68-C68</f>
        <v>6175494</v>
      </c>
      <c r="F68" s="449">
        <f>IF(C68=0,0,E68/C68)</f>
        <v>4.9467639409163162E-2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-8424646.0401117969</v>
      </c>
      <c r="D70" s="441">
        <f>LN_IB9+LN_IB20</f>
        <v>-9288585.1712218001</v>
      </c>
      <c r="E70" s="448">
        <f>D70-C70</f>
        <v>-863939.13111000322</v>
      </c>
      <c r="F70" s="449">
        <f>IF(C70=0,0,E70/C70)</f>
        <v>0.10254901238539614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210325531</v>
      </c>
      <c r="D73" s="488">
        <v>211127757</v>
      </c>
      <c r="E73" s="488">
        <f>D73-C73</f>
        <v>802226</v>
      </c>
      <c r="F73" s="489">
        <f>IF(C73=0,0,E73/C73)</f>
        <v>3.8142112190840019E-3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85486463</v>
      </c>
      <c r="D74" s="488">
        <v>80113195</v>
      </c>
      <c r="E74" s="488">
        <f>D74-C74</f>
        <v>-5373268</v>
      </c>
      <c r="F74" s="489">
        <f>IF(C74=0,0,E74/C74)</f>
        <v>-6.2855191470490485E-2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124839068</v>
      </c>
      <c r="D76" s="441">
        <f>LN_IB32-LN_IB33</f>
        <v>131014562</v>
      </c>
      <c r="E76" s="488">
        <f>D76-C76</f>
        <v>6175494</v>
      </c>
      <c r="F76" s="489">
        <f>IF(E76=0,0,E76/C76)</f>
        <v>4.9467639409163162E-2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0.59355165968890389</v>
      </c>
      <c r="D77" s="453">
        <f>IF(LN_IB32=0,0,LN_IB34/LN_IB32)</f>
        <v>0.6205463642565956</v>
      </c>
      <c r="E77" s="493">
        <f>D77-C77</f>
        <v>2.6994704567691707E-2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1716249</v>
      </c>
      <c r="D83" s="448">
        <v>1787877</v>
      </c>
      <c r="E83" s="448">
        <f t="shared" ref="E83:E95" si="8">D83-C83</f>
        <v>71628</v>
      </c>
      <c r="F83" s="449">
        <f t="shared" ref="F83:F95" si="9">IF(C83=0,0,E83/C83)</f>
        <v>4.1735202759040212E-2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95854</v>
      </c>
      <c r="D84" s="448">
        <v>37435</v>
      </c>
      <c r="E84" s="448">
        <f t="shared" si="8"/>
        <v>-58419</v>
      </c>
      <c r="F84" s="449">
        <f t="shared" si="9"/>
        <v>-0.60945813424583217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5.5850870124323451E-2</v>
      </c>
      <c r="D85" s="453">
        <f>IF(LN_IC1=0,0,LN_IC2/LN_IC1)</f>
        <v>2.0938241277224327E-2</v>
      </c>
      <c r="E85" s="454">
        <f t="shared" si="8"/>
        <v>-3.4912628847099128E-2</v>
      </c>
      <c r="F85" s="449">
        <f t="shared" si="9"/>
        <v>-0.62510447499535782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170</v>
      </c>
      <c r="D86" s="456">
        <v>178</v>
      </c>
      <c r="E86" s="456">
        <f t="shared" si="8"/>
        <v>8</v>
      </c>
      <c r="F86" s="449">
        <f t="shared" si="9"/>
        <v>4.7058823529411764E-2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1.0139</v>
      </c>
      <c r="D87" s="459">
        <v>0.93111999999999995</v>
      </c>
      <c r="E87" s="460">
        <f t="shared" si="8"/>
        <v>-8.2780000000000076E-2</v>
      </c>
      <c r="F87" s="449">
        <f t="shared" si="9"/>
        <v>-8.164513265608056E-2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172.363</v>
      </c>
      <c r="D88" s="463">
        <f>LN_IC4*LN_IC5</f>
        <v>165.73935999999998</v>
      </c>
      <c r="E88" s="463">
        <f t="shared" si="8"/>
        <v>-6.6236400000000231</v>
      </c>
      <c r="F88" s="449">
        <f t="shared" si="9"/>
        <v>-3.8428433016366753E-2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556.11703207765004</v>
      </c>
      <c r="D89" s="465">
        <f>IF(LN_IC6=0,0,LN_IC2/LN_IC6)</f>
        <v>225.86668610280626</v>
      </c>
      <c r="E89" s="465">
        <f t="shared" si="8"/>
        <v>-330.25034597484375</v>
      </c>
      <c r="F89" s="449">
        <f t="shared" si="9"/>
        <v>-0.59385044320802471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8054.3931436854064</v>
      </c>
      <c r="D90" s="465">
        <f>LN_IB7-LN_IC7</f>
        <v>8439.1479336960292</v>
      </c>
      <c r="E90" s="465">
        <f t="shared" si="8"/>
        <v>384.75479001062286</v>
      </c>
      <c r="F90" s="449">
        <f t="shared" si="9"/>
        <v>4.7769556706114873E-2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7834.6879796498406</v>
      </c>
      <c r="D91" s="465">
        <f>LN_IA7-LN_IC7</f>
        <v>8149.727610602823</v>
      </c>
      <c r="E91" s="465">
        <f t="shared" si="8"/>
        <v>315.03963095298241</v>
      </c>
      <c r="F91" s="449">
        <f t="shared" si="9"/>
        <v>4.0210871418399817E-2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1350410.3242363855</v>
      </c>
      <c r="D92" s="441">
        <f>LN_IC9*LN_IC6</f>
        <v>1350730.6383556409</v>
      </c>
      <c r="E92" s="441">
        <f t="shared" si="8"/>
        <v>320.31411925540306</v>
      </c>
      <c r="F92" s="449">
        <f t="shared" si="9"/>
        <v>2.3719762320132632E-4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547</v>
      </c>
      <c r="D93" s="456">
        <v>529</v>
      </c>
      <c r="E93" s="456">
        <f t="shared" si="8"/>
        <v>-18</v>
      </c>
      <c r="F93" s="449">
        <f t="shared" si="9"/>
        <v>-3.2906764168190127E-2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175.23583180987202</v>
      </c>
      <c r="D94" s="499">
        <f>IF(LN_IC11=0,0,LN_IC2/LN_IC11)</f>
        <v>70.765595463137998</v>
      </c>
      <c r="E94" s="499">
        <f t="shared" si="8"/>
        <v>-104.47023634673403</v>
      </c>
      <c r="F94" s="449">
        <f t="shared" si="9"/>
        <v>-0.59616937510863932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3.2176470588235295</v>
      </c>
      <c r="D95" s="466">
        <f>IF(LN_IC4=0,0,LN_IC11/LN_IC4)</f>
        <v>2.9719101123595504</v>
      </c>
      <c r="E95" s="466">
        <f t="shared" si="8"/>
        <v>-0.24573694646397914</v>
      </c>
      <c r="F95" s="449">
        <f t="shared" si="9"/>
        <v>-7.637162869995695E-2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9689228</v>
      </c>
      <c r="D98" s="448">
        <v>10776290</v>
      </c>
      <c r="E98" s="448">
        <f t="shared" ref="E98:E106" si="10">D98-C98</f>
        <v>1087062</v>
      </c>
      <c r="F98" s="449">
        <f t="shared" ref="F98:F106" si="11">IF(C98=0,0,E98/C98)</f>
        <v>0.11219283930567017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424205</v>
      </c>
      <c r="D99" s="448">
        <v>208733</v>
      </c>
      <c r="E99" s="448">
        <f t="shared" si="10"/>
        <v>-215472</v>
      </c>
      <c r="F99" s="449">
        <f t="shared" si="11"/>
        <v>-0.50794309355146683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4.3781093808505693E-2</v>
      </c>
      <c r="D100" s="453">
        <f>IF(LN_IC14=0,0,LN_IC15/LN_IC14)</f>
        <v>1.9369653192332425E-2</v>
      </c>
      <c r="E100" s="454">
        <f t="shared" si="10"/>
        <v>-2.4411440616173268E-2</v>
      </c>
      <c r="F100" s="449">
        <f t="shared" si="11"/>
        <v>-0.5575795050472373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5.6455840615202106</v>
      </c>
      <c r="D101" s="453">
        <f>IF(LN_IC1=0,0,LN_IC14/LN_IC1)</f>
        <v>6.0274224681004345</v>
      </c>
      <c r="E101" s="454">
        <f t="shared" si="10"/>
        <v>0.38183840658022383</v>
      </c>
      <c r="F101" s="449">
        <f t="shared" si="11"/>
        <v>6.7634881071526293E-2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959.74929045843578</v>
      </c>
      <c r="D102" s="463">
        <f>LN_IC17*LN_IC4</f>
        <v>1072.8811993218774</v>
      </c>
      <c r="E102" s="463">
        <f t="shared" si="10"/>
        <v>113.13190886344159</v>
      </c>
      <c r="F102" s="449">
        <f t="shared" si="11"/>
        <v>0.11787652253371585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441.99563804561228</v>
      </c>
      <c r="D103" s="465">
        <f>IF(LN_IC18=0,0,LN_IC15/LN_IC18)</f>
        <v>194.55369348622312</v>
      </c>
      <c r="E103" s="465">
        <f t="shared" si="10"/>
        <v>-247.44194455938916</v>
      </c>
      <c r="F103" s="449">
        <f t="shared" si="11"/>
        <v>-0.55982892875031964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6064.3087882927157</v>
      </c>
      <c r="D104" s="465">
        <f>LN_IB18-LN_IC19</f>
        <v>6752.0868020609933</v>
      </c>
      <c r="E104" s="465">
        <f t="shared" si="10"/>
        <v>687.77801376827756</v>
      </c>
      <c r="F104" s="449">
        <f t="shared" si="11"/>
        <v>0.1134140819306643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5042.6206584728361</v>
      </c>
      <c r="D105" s="465">
        <f>LN_IA16-LN_IC19</f>
        <v>5517.3469551700155</v>
      </c>
      <c r="E105" s="465">
        <f t="shared" si="10"/>
        <v>474.72629669717935</v>
      </c>
      <c r="F105" s="449">
        <f t="shared" si="11"/>
        <v>9.4142773936310889E-2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4839651.5990203544</v>
      </c>
      <c r="D106" s="448">
        <f>LN_IC21*LN_IC18</f>
        <v>5919457.8183377143</v>
      </c>
      <c r="E106" s="448">
        <f t="shared" si="10"/>
        <v>1079806.2193173598</v>
      </c>
      <c r="F106" s="449">
        <f t="shared" si="11"/>
        <v>0.2231165192833168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11405477</v>
      </c>
      <c r="D109" s="448">
        <f>LN_IC1+LN_IC14</f>
        <v>12564167</v>
      </c>
      <c r="E109" s="448">
        <f>D109-C109</f>
        <v>1158690</v>
      </c>
      <c r="F109" s="449">
        <f>IF(C109=0,0,E109/C109)</f>
        <v>0.10159066560740949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520059</v>
      </c>
      <c r="D110" s="448">
        <f>LN_IC2+LN_IC15</f>
        <v>246168</v>
      </c>
      <c r="E110" s="448">
        <f>D110-C110</f>
        <v>-273891</v>
      </c>
      <c r="F110" s="449">
        <f>IF(C110=0,0,E110/C110)</f>
        <v>-0.52665370659867439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10885418</v>
      </c>
      <c r="D111" s="448">
        <f>LN_IC23-LN_IC24</f>
        <v>12317999</v>
      </c>
      <c r="E111" s="448">
        <f>D111-C111</f>
        <v>1432581</v>
      </c>
      <c r="F111" s="449">
        <f>IF(C111=0,0,E111/C111)</f>
        <v>0.13160551115262639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6190061.92325674</v>
      </c>
      <c r="D113" s="448">
        <f>LN_IC10+LN_IC22</f>
        <v>7270188.456693355</v>
      </c>
      <c r="E113" s="448">
        <f>D113-C113</f>
        <v>1080126.533436615</v>
      </c>
      <c r="F113" s="449">
        <f>IF(C113=0,0,E113/C113)</f>
        <v>0.17449365560923735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44498586</v>
      </c>
      <c r="D118" s="448">
        <v>55012283</v>
      </c>
      <c r="E118" s="448">
        <f t="shared" ref="E118:E130" si="12">D118-C118</f>
        <v>10513697</v>
      </c>
      <c r="F118" s="449">
        <f t="shared" ref="F118:F130" si="13">IF(C118=0,0,E118/C118)</f>
        <v>0.23627036148968869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19423333</v>
      </c>
      <c r="D119" s="448">
        <v>21678280</v>
      </c>
      <c r="E119" s="448">
        <f t="shared" si="12"/>
        <v>2254947</v>
      </c>
      <c r="F119" s="449">
        <f t="shared" si="13"/>
        <v>0.11609475057653597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0.43649326295446783</v>
      </c>
      <c r="D120" s="453">
        <f>IF(LN_ID1=0,0,LN_1D2/LN_ID1)</f>
        <v>0.39406254054208223</v>
      </c>
      <c r="E120" s="454">
        <f t="shared" si="12"/>
        <v>-4.2430722412385602E-2</v>
      </c>
      <c r="F120" s="449">
        <f t="shared" si="13"/>
        <v>-9.7208195437398309E-2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3231</v>
      </c>
      <c r="D121" s="456">
        <v>3345</v>
      </c>
      <c r="E121" s="456">
        <f t="shared" si="12"/>
        <v>114</v>
      </c>
      <c r="F121" s="449">
        <f t="shared" si="13"/>
        <v>3.5283194057567316E-2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1.0064</v>
      </c>
      <c r="D122" s="459">
        <v>1.0439700000000001</v>
      </c>
      <c r="E122" s="460">
        <f t="shared" si="12"/>
        <v>3.7570000000000103E-2</v>
      </c>
      <c r="F122" s="449">
        <f t="shared" si="13"/>
        <v>3.7331081081081186E-2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3251.6783999999998</v>
      </c>
      <c r="D123" s="463">
        <f>LN_ID4*LN_ID5</f>
        <v>3492.0796500000001</v>
      </c>
      <c r="E123" s="463">
        <f t="shared" si="12"/>
        <v>240.40125000000035</v>
      </c>
      <c r="F123" s="449">
        <f t="shared" si="13"/>
        <v>7.3931434916811076E-2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5973.3253448434507</v>
      </c>
      <c r="D124" s="465">
        <f>IF(LN_ID6=0,0,LN_1D2/LN_ID6)</f>
        <v>6207.8423669402846</v>
      </c>
      <c r="E124" s="465">
        <f t="shared" si="12"/>
        <v>234.5170220968339</v>
      </c>
      <c r="F124" s="449">
        <f t="shared" si="13"/>
        <v>3.9260714687051779E-2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2637.1848309196057</v>
      </c>
      <c r="D125" s="465">
        <f>LN_IB7-LN_ID7</f>
        <v>2457.1722528585515</v>
      </c>
      <c r="E125" s="465">
        <f t="shared" si="12"/>
        <v>-180.01257806105423</v>
      </c>
      <c r="F125" s="449">
        <f t="shared" si="13"/>
        <v>-6.8259371110625772E-2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2417.4796668840399</v>
      </c>
      <c r="D126" s="465">
        <f>LN_IA7-LN_ID7</f>
        <v>2167.7519297653444</v>
      </c>
      <c r="E126" s="465">
        <f t="shared" si="12"/>
        <v>-249.72773711869559</v>
      </c>
      <c r="F126" s="449">
        <f t="shared" si="13"/>
        <v>-0.10330086351484269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7860866.4152460275</v>
      </c>
      <c r="D127" s="479">
        <f>LN_ID9*LN_ID6</f>
        <v>7569962.400181789</v>
      </c>
      <c r="E127" s="479">
        <f t="shared" si="12"/>
        <v>-290904.01506423857</v>
      </c>
      <c r="F127" s="449">
        <f t="shared" si="13"/>
        <v>-3.7006609665829554E-2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12716</v>
      </c>
      <c r="D128" s="456">
        <v>12946</v>
      </c>
      <c r="E128" s="456">
        <f t="shared" si="12"/>
        <v>230</v>
      </c>
      <c r="F128" s="449">
        <f t="shared" si="13"/>
        <v>1.8087448883296633E-2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1527.4719251336899</v>
      </c>
      <c r="D129" s="465">
        <f>IF(LN_ID11=0,0,LN_1D2/LN_ID11)</f>
        <v>1674.5156805190793</v>
      </c>
      <c r="E129" s="465">
        <f t="shared" si="12"/>
        <v>147.04375538538943</v>
      </c>
      <c r="F129" s="449">
        <f t="shared" si="13"/>
        <v>9.6266093645236472E-2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3.9356236459300526</v>
      </c>
      <c r="D130" s="466">
        <f>IF(LN_ID4=0,0,LN_ID11/LN_ID4)</f>
        <v>3.870254110612855</v>
      </c>
      <c r="E130" s="466">
        <f t="shared" si="12"/>
        <v>-6.5369535317197691E-2</v>
      </c>
      <c r="F130" s="449">
        <f t="shared" si="13"/>
        <v>-1.6609701840977174E-2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89252844</v>
      </c>
      <c r="D133" s="448">
        <v>101301392</v>
      </c>
      <c r="E133" s="448">
        <f t="shared" ref="E133:E141" si="14">D133-C133</f>
        <v>12048548</v>
      </c>
      <c r="F133" s="449">
        <f t="shared" ref="F133:F141" si="15">IF(C133=0,0,E133/C133)</f>
        <v>0.13499343505513392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19282183</v>
      </c>
      <c r="D134" s="448">
        <v>26414789</v>
      </c>
      <c r="E134" s="448">
        <f t="shared" si="14"/>
        <v>7132606</v>
      </c>
      <c r="F134" s="449">
        <f t="shared" si="15"/>
        <v>0.36990656089095308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0.21603998411524006</v>
      </c>
      <c r="D135" s="453">
        <f>IF(LN_ID14=0,0,LN_ID15/LN_ID14)</f>
        <v>0.2607544524166065</v>
      </c>
      <c r="E135" s="454">
        <f t="shared" si="14"/>
        <v>4.4714468301366439E-2</v>
      </c>
      <c r="F135" s="449">
        <f t="shared" si="15"/>
        <v>0.20697311418757949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2.005745620770961</v>
      </c>
      <c r="D136" s="453">
        <f>IF(LN_ID1=0,0,LN_ID14/LN_ID1)</f>
        <v>1.8414322488670394</v>
      </c>
      <c r="E136" s="454">
        <f t="shared" si="14"/>
        <v>-0.16431337190392159</v>
      </c>
      <c r="F136" s="449">
        <f t="shared" si="15"/>
        <v>-8.1921341471389297E-2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6480.5641007109753</v>
      </c>
      <c r="D137" s="463">
        <f>LN_ID17*LN_ID4</f>
        <v>6159.5908724602468</v>
      </c>
      <c r="E137" s="463">
        <f t="shared" si="14"/>
        <v>-320.97322825072843</v>
      </c>
      <c r="F137" s="449">
        <f t="shared" si="15"/>
        <v>-4.952859400241328E-2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2975.3865096226073</v>
      </c>
      <c r="D138" s="465">
        <f>IF(LN_ID18=0,0,LN_ID15/LN_ID18)</f>
        <v>4288.3999192383826</v>
      </c>
      <c r="E138" s="465">
        <f t="shared" si="14"/>
        <v>1313.0134096157753</v>
      </c>
      <c r="F138" s="449">
        <f t="shared" si="15"/>
        <v>0.44129171298229608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3530.9179167157208</v>
      </c>
      <c r="D139" s="465">
        <f>LN_IB18-LN_ID19</f>
        <v>2658.2405763088336</v>
      </c>
      <c r="E139" s="465">
        <f t="shared" si="14"/>
        <v>-872.6773404068872</v>
      </c>
      <c r="F139" s="449">
        <f t="shared" si="15"/>
        <v>-0.24715310890563183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2509.2297868958412</v>
      </c>
      <c r="D140" s="465">
        <f>LN_IA16-LN_ID19</f>
        <v>1423.5007294178558</v>
      </c>
      <c r="E140" s="465">
        <f t="shared" si="14"/>
        <v>-1085.7290574779854</v>
      </c>
      <c r="F140" s="449">
        <f t="shared" si="15"/>
        <v>-0.43269415306165993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16261224.477391839</v>
      </c>
      <c r="D141" s="441">
        <f>LN_ID21*LN_ID18</f>
        <v>8768182.0998627283</v>
      </c>
      <c r="E141" s="441">
        <f t="shared" si="14"/>
        <v>-7493042.3775291108</v>
      </c>
      <c r="F141" s="449">
        <f t="shared" si="15"/>
        <v>-0.46079201402986414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133751430</v>
      </c>
      <c r="D144" s="448">
        <f>LN_ID1+LN_ID14</f>
        <v>156313675</v>
      </c>
      <c r="E144" s="448">
        <f>D144-C144</f>
        <v>22562245</v>
      </c>
      <c r="F144" s="449">
        <f>IF(C144=0,0,E144/C144)</f>
        <v>0.16868787870155855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38705516</v>
      </c>
      <c r="D145" s="448">
        <f>LN_1D2+LN_ID15</f>
        <v>48093069</v>
      </c>
      <c r="E145" s="448">
        <f>D145-C145</f>
        <v>9387553</v>
      </c>
      <c r="F145" s="449">
        <f>IF(C145=0,0,E145/C145)</f>
        <v>0.24253785946168499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95045914</v>
      </c>
      <c r="D146" s="448">
        <f>LN_ID23-LN_ID24</f>
        <v>108220606</v>
      </c>
      <c r="E146" s="448">
        <f>D146-C146</f>
        <v>13174692</v>
      </c>
      <c r="F146" s="449">
        <f>IF(C146=0,0,E146/C146)</f>
        <v>0.13861397555711863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24122090.892637867</v>
      </c>
      <c r="D148" s="448">
        <f>LN_ID10+LN_ID22</f>
        <v>16338144.500044517</v>
      </c>
      <c r="E148" s="448">
        <f>D148-C148</f>
        <v>-7783946.3925933503</v>
      </c>
      <c r="F148" s="503">
        <f>IF(C148=0,0,E148/C148)</f>
        <v>-0.3226895391132546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8610.5101757630564</v>
      </c>
      <c r="D160" s="465">
        <f>LN_IB7-LN_IE7</f>
        <v>8665.0146197988361</v>
      </c>
      <c r="E160" s="465">
        <f t="shared" si="16"/>
        <v>54.50444403577967</v>
      </c>
      <c r="F160" s="449">
        <f t="shared" si="17"/>
        <v>6.3299900845828257E-3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8390.8050117274906</v>
      </c>
      <c r="D161" s="465">
        <f>LN_IA7-LN_IE7</f>
        <v>8375.5942967056289</v>
      </c>
      <c r="E161" s="465">
        <f t="shared" si="16"/>
        <v>-15.210715021861688</v>
      </c>
      <c r="F161" s="449">
        <f t="shared" si="17"/>
        <v>-1.8127837556232427E-3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6506.3044263383281</v>
      </c>
      <c r="D174" s="465">
        <f>LN_IB18-LN_IE19</f>
        <v>6946.6404955472162</v>
      </c>
      <c r="E174" s="465">
        <f t="shared" si="18"/>
        <v>440.33606920888815</v>
      </c>
      <c r="F174" s="449">
        <f t="shared" si="19"/>
        <v>6.7678368602974229E-2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5484.6162965184485</v>
      </c>
      <c r="D175" s="465">
        <f>LN_IA16-LN_IE19</f>
        <v>5711.9006486562384</v>
      </c>
      <c r="E175" s="465">
        <f t="shared" si="18"/>
        <v>227.28435213778994</v>
      </c>
      <c r="F175" s="449">
        <f t="shared" si="19"/>
        <v>4.1440337819450855E-2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44498586</v>
      </c>
      <c r="D188" s="448">
        <f>LN_ID1+LN_IE1</f>
        <v>55012283</v>
      </c>
      <c r="E188" s="448">
        <f t="shared" ref="E188:E200" si="20">D188-C188</f>
        <v>10513697</v>
      </c>
      <c r="F188" s="449">
        <f t="shared" ref="F188:F200" si="21">IF(C188=0,0,E188/C188)</f>
        <v>0.23627036148968869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19423333</v>
      </c>
      <c r="D189" s="448">
        <f>LN_1D2+LN_IE2</f>
        <v>21678280</v>
      </c>
      <c r="E189" s="448">
        <f t="shared" si="20"/>
        <v>2254947</v>
      </c>
      <c r="F189" s="449">
        <f t="shared" si="21"/>
        <v>0.11609475057653597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0.43649326295446783</v>
      </c>
      <c r="D190" s="453">
        <f>IF(LN_IF1=0,0,LN_IF2/LN_IF1)</f>
        <v>0.39406254054208223</v>
      </c>
      <c r="E190" s="454">
        <f t="shared" si="20"/>
        <v>-4.2430722412385602E-2</v>
      </c>
      <c r="F190" s="449">
        <f t="shared" si="21"/>
        <v>-9.7208195437398309E-2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3231</v>
      </c>
      <c r="D191" s="456">
        <f>LN_ID4+LN_IE4</f>
        <v>3345</v>
      </c>
      <c r="E191" s="456">
        <f t="shared" si="20"/>
        <v>114</v>
      </c>
      <c r="F191" s="449">
        <f t="shared" si="21"/>
        <v>3.5283194057567316E-2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1.0064</v>
      </c>
      <c r="D192" s="459">
        <f>IF((LN_ID4+LN_IE4)=0,0,(LN_ID6+LN_IE6)/(LN_ID4+LN_IE4))</f>
        <v>1.0439700000000001</v>
      </c>
      <c r="E192" s="460">
        <f t="shared" si="20"/>
        <v>3.7570000000000103E-2</v>
      </c>
      <c r="F192" s="449">
        <f t="shared" si="21"/>
        <v>3.7331081081081186E-2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3251.6783999999998</v>
      </c>
      <c r="D193" s="463">
        <f>LN_IF4*LN_IF5</f>
        <v>3492.0796500000001</v>
      </c>
      <c r="E193" s="463">
        <f t="shared" si="20"/>
        <v>240.40125000000035</v>
      </c>
      <c r="F193" s="449">
        <f t="shared" si="21"/>
        <v>7.3931434916811076E-2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5973.3253448434507</v>
      </c>
      <c r="D194" s="465">
        <f>IF(LN_IF6=0,0,LN_IF2/LN_IF6)</f>
        <v>6207.8423669402846</v>
      </c>
      <c r="E194" s="465">
        <f t="shared" si="20"/>
        <v>234.5170220968339</v>
      </c>
      <c r="F194" s="449">
        <f t="shared" si="21"/>
        <v>3.9260714687051779E-2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2637.1848309196057</v>
      </c>
      <c r="D195" s="465">
        <f>LN_IB7-LN_IF7</f>
        <v>2457.1722528585515</v>
      </c>
      <c r="E195" s="465">
        <f t="shared" si="20"/>
        <v>-180.01257806105423</v>
      </c>
      <c r="F195" s="449">
        <f t="shared" si="21"/>
        <v>-6.8259371110625772E-2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2417.4796668840399</v>
      </c>
      <c r="D196" s="465">
        <f>LN_IA7-LN_IF7</f>
        <v>2167.7519297653444</v>
      </c>
      <c r="E196" s="465">
        <f t="shared" si="20"/>
        <v>-249.72773711869559</v>
      </c>
      <c r="F196" s="449">
        <f t="shared" si="21"/>
        <v>-0.10330086351484269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7860866.4152460275</v>
      </c>
      <c r="D197" s="479">
        <f>LN_IF9*LN_IF6</f>
        <v>7569962.400181789</v>
      </c>
      <c r="E197" s="479">
        <f t="shared" si="20"/>
        <v>-290904.01506423857</v>
      </c>
      <c r="F197" s="449">
        <f t="shared" si="21"/>
        <v>-3.7006609665829554E-2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12716</v>
      </c>
      <c r="D198" s="456">
        <f>LN_ID11+LN_IE11</f>
        <v>12946</v>
      </c>
      <c r="E198" s="456">
        <f t="shared" si="20"/>
        <v>230</v>
      </c>
      <c r="F198" s="449">
        <f t="shared" si="21"/>
        <v>1.8087448883296633E-2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1527.4719251336899</v>
      </c>
      <c r="D199" s="519">
        <f>IF(LN_IF11=0,0,LN_IF2/LN_IF11)</f>
        <v>1674.5156805190793</v>
      </c>
      <c r="E199" s="519">
        <f t="shared" si="20"/>
        <v>147.04375538538943</v>
      </c>
      <c r="F199" s="449">
        <f t="shared" si="21"/>
        <v>9.6266093645236472E-2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3.9356236459300526</v>
      </c>
      <c r="D200" s="466">
        <f>IF(LN_IF4=0,0,LN_IF11/LN_IF4)</f>
        <v>3.870254110612855</v>
      </c>
      <c r="E200" s="466">
        <f t="shared" si="20"/>
        <v>-6.5369535317197691E-2</v>
      </c>
      <c r="F200" s="449">
        <f t="shared" si="21"/>
        <v>-1.6609701840977174E-2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89252844</v>
      </c>
      <c r="D203" s="448">
        <f>LN_ID14+LN_IE14</f>
        <v>101301392</v>
      </c>
      <c r="E203" s="448">
        <f t="shared" ref="E203:E211" si="22">D203-C203</f>
        <v>12048548</v>
      </c>
      <c r="F203" s="449">
        <f t="shared" ref="F203:F211" si="23">IF(C203=0,0,E203/C203)</f>
        <v>0.13499343505513392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19282183</v>
      </c>
      <c r="D204" s="448">
        <f>LN_ID15+LN_IE15</f>
        <v>26414789</v>
      </c>
      <c r="E204" s="448">
        <f t="shared" si="22"/>
        <v>7132606</v>
      </c>
      <c r="F204" s="449">
        <f t="shared" si="23"/>
        <v>0.36990656089095308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0.21603998411524006</v>
      </c>
      <c r="D205" s="453">
        <f>IF(LN_IF14=0,0,LN_IF15/LN_IF14)</f>
        <v>0.2607544524166065</v>
      </c>
      <c r="E205" s="454">
        <f t="shared" si="22"/>
        <v>4.4714468301366439E-2</v>
      </c>
      <c r="F205" s="449">
        <f t="shared" si="23"/>
        <v>0.20697311418757949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2.005745620770961</v>
      </c>
      <c r="D206" s="453">
        <f>IF(LN_IF1=0,0,LN_IF14/LN_IF1)</f>
        <v>1.8414322488670394</v>
      </c>
      <c r="E206" s="454">
        <f t="shared" si="22"/>
        <v>-0.16431337190392159</v>
      </c>
      <c r="F206" s="449">
        <f t="shared" si="23"/>
        <v>-8.1921341471389297E-2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6480.5641007109753</v>
      </c>
      <c r="D207" s="463">
        <f>LN_ID18+LN_IE18</f>
        <v>6159.5908724602468</v>
      </c>
      <c r="E207" s="463">
        <f t="shared" si="22"/>
        <v>-320.97322825072843</v>
      </c>
      <c r="F207" s="449">
        <f t="shared" si="23"/>
        <v>-4.952859400241328E-2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2975.3865096226073</v>
      </c>
      <c r="D208" s="465">
        <f>IF(LN_IF18=0,0,LN_IF15/LN_IF18)</f>
        <v>4288.3999192383826</v>
      </c>
      <c r="E208" s="465">
        <f t="shared" si="22"/>
        <v>1313.0134096157753</v>
      </c>
      <c r="F208" s="449">
        <f t="shared" si="23"/>
        <v>0.44129171298229608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3530.9179167157208</v>
      </c>
      <c r="D209" s="465">
        <f>LN_IB18-LN_IF19</f>
        <v>2658.2405763088336</v>
      </c>
      <c r="E209" s="465">
        <f t="shared" si="22"/>
        <v>-872.6773404068872</v>
      </c>
      <c r="F209" s="449">
        <f t="shared" si="23"/>
        <v>-0.24715310890563183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2509.2297868958412</v>
      </c>
      <c r="D210" s="465">
        <f>LN_IA16-LN_IF19</f>
        <v>1423.5007294178558</v>
      </c>
      <c r="E210" s="465">
        <f t="shared" si="22"/>
        <v>-1085.7290574779854</v>
      </c>
      <c r="F210" s="449">
        <f t="shared" si="23"/>
        <v>-0.43269415306165993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16261224.477391839</v>
      </c>
      <c r="D211" s="441">
        <f>LN_IF21*LN_IF18</f>
        <v>8768182.0998627283</v>
      </c>
      <c r="E211" s="441">
        <f t="shared" si="22"/>
        <v>-7493042.3775291108</v>
      </c>
      <c r="F211" s="449">
        <f t="shared" si="23"/>
        <v>-0.46079201402986414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133751430</v>
      </c>
      <c r="D214" s="448">
        <f>LN_IF1+LN_IF14</f>
        <v>156313675</v>
      </c>
      <c r="E214" s="448">
        <f>D214-C214</f>
        <v>22562245</v>
      </c>
      <c r="F214" s="449">
        <f>IF(C214=0,0,E214/C214)</f>
        <v>0.16868787870155855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38705516</v>
      </c>
      <c r="D215" s="448">
        <f>LN_IF2+LN_IF15</f>
        <v>48093069</v>
      </c>
      <c r="E215" s="448">
        <f>D215-C215</f>
        <v>9387553</v>
      </c>
      <c r="F215" s="449">
        <f>IF(C215=0,0,E215/C215)</f>
        <v>0.24253785946168499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95045914</v>
      </c>
      <c r="D216" s="448">
        <f>LN_IF23-LN_IF24</f>
        <v>108220606</v>
      </c>
      <c r="E216" s="448">
        <f>D216-C216</f>
        <v>13174692</v>
      </c>
      <c r="F216" s="449">
        <f>IF(C216=0,0,E216/C216)</f>
        <v>0.13861397555711863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139608</v>
      </c>
      <c r="D221" s="448">
        <v>337073</v>
      </c>
      <c r="E221" s="448">
        <f t="shared" ref="E221:E230" si="24">D221-C221</f>
        <v>197465</v>
      </c>
      <c r="F221" s="449">
        <f t="shared" ref="F221:F230" si="25">IF(C221=0,0,E221/C221)</f>
        <v>1.4144246748037361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52613</v>
      </c>
      <c r="D222" s="448">
        <v>96721</v>
      </c>
      <c r="E222" s="448">
        <f t="shared" si="24"/>
        <v>44108</v>
      </c>
      <c r="F222" s="449">
        <f t="shared" si="25"/>
        <v>0.83834793682169806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0.37686235745802532</v>
      </c>
      <c r="D223" s="453">
        <f>IF(LN_IG1=0,0,LN_IG2/LN_IG1)</f>
        <v>0.28694377775734042</v>
      </c>
      <c r="E223" s="454">
        <f t="shared" si="24"/>
        <v>-8.9918579700684897E-2</v>
      </c>
      <c r="F223" s="449">
        <f t="shared" si="25"/>
        <v>-0.23859793349273406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22</v>
      </c>
      <c r="D224" s="456">
        <v>25</v>
      </c>
      <c r="E224" s="456">
        <f t="shared" si="24"/>
        <v>3</v>
      </c>
      <c r="F224" s="449">
        <f t="shared" si="25"/>
        <v>0.13636363636363635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0.63800000000000001</v>
      </c>
      <c r="D225" s="459">
        <v>0.73607</v>
      </c>
      <c r="E225" s="460">
        <f t="shared" si="24"/>
        <v>9.8069999999999991E-2</v>
      </c>
      <c r="F225" s="449">
        <f t="shared" si="25"/>
        <v>0.15371473354231974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14.036</v>
      </c>
      <c r="D226" s="463">
        <f>LN_IG3*LN_IG4</f>
        <v>18.40175</v>
      </c>
      <c r="E226" s="463">
        <f t="shared" si="24"/>
        <v>4.3657500000000002</v>
      </c>
      <c r="F226" s="449">
        <f t="shared" si="25"/>
        <v>0.3110394699344543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3748.4326018808779</v>
      </c>
      <c r="D227" s="465">
        <f>IF(LN_IG5=0,0,LN_IG2/LN_IG5)</f>
        <v>5256.0761884059939</v>
      </c>
      <c r="E227" s="465">
        <f t="shared" si="24"/>
        <v>1507.643586525116</v>
      </c>
      <c r="F227" s="449">
        <f t="shared" si="25"/>
        <v>0.40220640108844824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56</v>
      </c>
      <c r="D228" s="456">
        <v>72</v>
      </c>
      <c r="E228" s="456">
        <f t="shared" si="24"/>
        <v>16</v>
      </c>
      <c r="F228" s="449">
        <f t="shared" si="25"/>
        <v>0.2857142857142857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939.51785714285711</v>
      </c>
      <c r="D229" s="465">
        <f>IF(LN_IG6=0,0,LN_IG2/LN_IG6)</f>
        <v>1343.3472222222222</v>
      </c>
      <c r="E229" s="465">
        <f t="shared" si="24"/>
        <v>403.82936507936506</v>
      </c>
      <c r="F229" s="449">
        <f t="shared" si="25"/>
        <v>0.42982617308354293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2.5454545454545454</v>
      </c>
      <c r="D230" s="466">
        <f>IF(LN_IG3=0,0,LN_IG6/LN_IG3)</f>
        <v>2.88</v>
      </c>
      <c r="E230" s="466">
        <f t="shared" si="24"/>
        <v>0.33454545454545448</v>
      </c>
      <c r="F230" s="449">
        <f t="shared" si="25"/>
        <v>0.13142857142857139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654304</v>
      </c>
      <c r="D233" s="448">
        <v>640166</v>
      </c>
      <c r="E233" s="448">
        <f>D233-C233</f>
        <v>-14138</v>
      </c>
      <c r="F233" s="449">
        <f>IF(C233=0,0,E233/C233)</f>
        <v>-2.1607693060106618E-2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157949</v>
      </c>
      <c r="D234" s="448">
        <v>157105</v>
      </c>
      <c r="E234" s="448">
        <f>D234-C234</f>
        <v>-844</v>
      </c>
      <c r="F234" s="449">
        <f>IF(C234=0,0,E234/C234)</f>
        <v>-5.3434969515476511E-3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793912</v>
      </c>
      <c r="D237" s="448">
        <f>LN_IG1+LN_IG9</f>
        <v>977239</v>
      </c>
      <c r="E237" s="448">
        <f>D237-C237</f>
        <v>183327</v>
      </c>
      <c r="F237" s="449">
        <f>IF(C237=0,0,E237/C237)</f>
        <v>0.23091602091919508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210562</v>
      </c>
      <c r="D238" s="448">
        <f>LN_IG2+LN_IG10</f>
        <v>253826</v>
      </c>
      <c r="E238" s="448">
        <f>D238-C238</f>
        <v>43264</v>
      </c>
      <c r="F238" s="449">
        <f>IF(C238=0,0,E238/C238)</f>
        <v>0.20546917297518072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583350</v>
      </c>
      <c r="D239" s="448">
        <f>LN_IG13-LN_IG14</f>
        <v>723413</v>
      </c>
      <c r="E239" s="448">
        <f>D239-C239</f>
        <v>140063</v>
      </c>
      <c r="F239" s="449">
        <f>IF(C239=0,0,E239/C239)</f>
        <v>0.24010113996742949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7571760</v>
      </c>
      <c r="D243" s="448">
        <v>5912911</v>
      </c>
      <c r="E243" s="441">
        <f>D243-C243</f>
        <v>-1658849</v>
      </c>
      <c r="F243" s="503">
        <f>IF(C243=0,0,E243/C243)</f>
        <v>-0.21908367407313492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218384632</v>
      </c>
      <c r="D244" s="448">
        <v>221915377</v>
      </c>
      <c r="E244" s="441">
        <f>D244-C244</f>
        <v>3530745</v>
      </c>
      <c r="F244" s="503">
        <f>IF(C244=0,0,E244/C244)</f>
        <v>1.6167552486019254E-2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384059</v>
      </c>
      <c r="D248" s="441">
        <v>248631</v>
      </c>
      <c r="E248" s="441">
        <f>D248-C248</f>
        <v>-135428</v>
      </c>
      <c r="F248" s="449">
        <f>IF(C248=0,0,E248/C248)</f>
        <v>-0.35262290429335075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10501359</v>
      </c>
      <c r="D249" s="441">
        <v>12069248</v>
      </c>
      <c r="E249" s="441">
        <f>D249-C249</f>
        <v>1567889</v>
      </c>
      <c r="F249" s="449">
        <f>IF(C249=0,0,E249/C249)</f>
        <v>0.14930343777410143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10885418</v>
      </c>
      <c r="D250" s="441">
        <f>LN_IH4+LN_IH5</f>
        <v>12317879</v>
      </c>
      <c r="E250" s="441">
        <f>D250-C250</f>
        <v>1432461</v>
      </c>
      <c r="F250" s="449">
        <f>IF(C250=0,0,E250/C250)</f>
        <v>0.13159448723053171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3686619.0233894666</v>
      </c>
      <c r="D251" s="441">
        <f>LN_IH6*LN_III10</f>
        <v>3964259.302169018</v>
      </c>
      <c r="E251" s="441">
        <f>D251-C251</f>
        <v>277640.27877955139</v>
      </c>
      <c r="F251" s="449">
        <f>IF(C251=0,0,E251/C251)</f>
        <v>7.5310271285989772E-2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133751430</v>
      </c>
      <c r="D254" s="441">
        <f>LN_IF23</f>
        <v>156313675</v>
      </c>
      <c r="E254" s="441">
        <f>D254-C254</f>
        <v>22562245</v>
      </c>
      <c r="F254" s="449">
        <f>IF(C254=0,0,E254/C254)</f>
        <v>0.16868787870155855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38705516</v>
      </c>
      <c r="D255" s="441">
        <f>LN_IF24</f>
        <v>48093069</v>
      </c>
      <c r="E255" s="441">
        <f>D255-C255</f>
        <v>9387553</v>
      </c>
      <c r="F255" s="449">
        <f>IF(C255=0,0,E255/C255)</f>
        <v>0.24253785946168499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45298266.5657437</v>
      </c>
      <c r="D256" s="441">
        <f>LN_IH8*LN_III10</f>
        <v>50306383.117984407</v>
      </c>
      <c r="E256" s="441">
        <f>D256-C256</f>
        <v>5008116.552240707</v>
      </c>
      <c r="F256" s="449">
        <f>IF(C256=0,0,E256/C256)</f>
        <v>0.1105586798773452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6592750.5657436997</v>
      </c>
      <c r="D257" s="441">
        <f>LN_IH10-LN_IH9</f>
        <v>2213314.1179844067</v>
      </c>
      <c r="E257" s="441">
        <f>D257-C257</f>
        <v>-4379436.447759293</v>
      </c>
      <c r="F257" s="449">
        <f>IF(C257=0,0,E257/C257)</f>
        <v>-0.66428062219054507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246972246</v>
      </c>
      <c r="D261" s="448">
        <f>LN_IA1+LN_IB1+LN_IF1+LN_IG1</f>
        <v>262675487</v>
      </c>
      <c r="E261" s="448">
        <f t="shared" ref="E261:E274" si="26">D261-C261</f>
        <v>15703241</v>
      </c>
      <c r="F261" s="503">
        <f t="shared" ref="F261:F274" si="27">IF(C261=0,0,E261/C261)</f>
        <v>6.3583018959952289E-2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122947491</v>
      </c>
      <c r="D262" s="448">
        <f>+LN_IA2+LN_IB2+LN_IF2+LN_IG2</f>
        <v>119514745</v>
      </c>
      <c r="E262" s="448">
        <f t="shared" si="26"/>
        <v>-3432746</v>
      </c>
      <c r="F262" s="503">
        <f t="shared" si="27"/>
        <v>-2.7920423361872428E-2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0.49781905858361103</v>
      </c>
      <c r="D263" s="453">
        <f>IF(LN_IIA1=0,0,LN_IIA2/LN_IIA1)</f>
        <v>0.45499009582116051</v>
      </c>
      <c r="E263" s="454">
        <f t="shared" si="26"/>
        <v>-4.2828962762450518E-2</v>
      </c>
      <c r="F263" s="458">
        <f t="shared" si="27"/>
        <v>-8.6033192229134386E-2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12078</v>
      </c>
      <c r="D264" s="456">
        <f>LN_IA4+LN_IB4+LN_IF4+LN_IG3</f>
        <v>11729</v>
      </c>
      <c r="E264" s="456">
        <f t="shared" si="26"/>
        <v>-349</v>
      </c>
      <c r="F264" s="503">
        <f t="shared" si="27"/>
        <v>-2.889551250206988E-2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1.2818063586686539</v>
      </c>
      <c r="D265" s="525">
        <f>IF(LN_IIA4=0,0,LN_IIA6/LN_IIA4)</f>
        <v>1.2825714170005968</v>
      </c>
      <c r="E265" s="525">
        <f t="shared" si="26"/>
        <v>7.6505833194295825E-4</v>
      </c>
      <c r="F265" s="503">
        <f t="shared" si="27"/>
        <v>5.9685952310112181E-4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15481.657200000001</v>
      </c>
      <c r="D266" s="463">
        <f>LN_IA6+LN_IB6+LN_IF6+LN_IG5</f>
        <v>15043.280150000001</v>
      </c>
      <c r="E266" s="463">
        <f t="shared" si="26"/>
        <v>-438.37705000000096</v>
      </c>
      <c r="F266" s="503">
        <f t="shared" si="27"/>
        <v>-2.8315899540780488E-2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321590694</v>
      </c>
      <c r="D267" s="448">
        <f>LN_IA11+LN_IB13+LN_IF14+LN_IG9</f>
        <v>335927153</v>
      </c>
      <c r="E267" s="448">
        <f t="shared" si="26"/>
        <v>14336459</v>
      </c>
      <c r="F267" s="503">
        <f t="shared" si="27"/>
        <v>4.4579831653959491E-2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1.3021329287340246</v>
      </c>
      <c r="D268" s="453">
        <f>IF(LN_IIA1=0,0,LN_IIA7/LN_IIA1)</f>
        <v>1.2788675366575031</v>
      </c>
      <c r="E268" s="454">
        <f t="shared" si="26"/>
        <v>-2.3265392076521563E-2</v>
      </c>
      <c r="F268" s="458">
        <f t="shared" si="27"/>
        <v>-1.7867140568467863E-2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86534897</v>
      </c>
      <c r="D269" s="448">
        <f>LN_IA12+LN_IB14+LN_IF15+LN_IG10</f>
        <v>92076023</v>
      </c>
      <c r="E269" s="448">
        <f t="shared" si="26"/>
        <v>5541126</v>
      </c>
      <c r="F269" s="503">
        <f t="shared" si="27"/>
        <v>6.403342688441635E-2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0.26908395862972329</v>
      </c>
      <c r="D270" s="453">
        <f>IF(LN_IIA7=0,0,LN_IIA9/LN_IIA7)</f>
        <v>0.27409520837394169</v>
      </c>
      <c r="E270" s="454">
        <f t="shared" si="26"/>
        <v>5.0112497442184045E-3</v>
      </c>
      <c r="F270" s="458">
        <f t="shared" si="27"/>
        <v>1.8623368593719124E-2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568562940</v>
      </c>
      <c r="D271" s="441">
        <f>LN_IIA1+LN_IIA7</f>
        <v>598602640</v>
      </c>
      <c r="E271" s="441">
        <f t="shared" si="26"/>
        <v>30039700</v>
      </c>
      <c r="F271" s="503">
        <f t="shared" si="27"/>
        <v>5.2834432015565418E-2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209482388</v>
      </c>
      <c r="D272" s="441">
        <f>LN_IIA2+LN_IIA9</f>
        <v>211590768</v>
      </c>
      <c r="E272" s="441">
        <f t="shared" si="26"/>
        <v>2108380</v>
      </c>
      <c r="F272" s="503">
        <f t="shared" si="27"/>
        <v>1.0064712456877282E-2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0.36844186151140979</v>
      </c>
      <c r="D273" s="453">
        <f>IF(LN_IIA11=0,0,LN_IIA12/LN_IIA11)</f>
        <v>0.35347449854213808</v>
      </c>
      <c r="E273" s="454">
        <f t="shared" si="26"/>
        <v>-1.4967362969271703E-2</v>
      </c>
      <c r="F273" s="458">
        <f t="shared" si="27"/>
        <v>-4.0623405027520737E-2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51556</v>
      </c>
      <c r="D274" s="508">
        <f>LN_IA8+LN_IB10+LN_IF11+LN_IG6</f>
        <v>51833</v>
      </c>
      <c r="E274" s="528">
        <f t="shared" si="26"/>
        <v>277</v>
      </c>
      <c r="F274" s="458">
        <f t="shared" si="27"/>
        <v>5.3727985103576691E-3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177136179</v>
      </c>
      <c r="D277" s="448">
        <f>LN_IA1+LN_IF1+LN_IG1</f>
        <v>192177437</v>
      </c>
      <c r="E277" s="448">
        <f t="shared" ref="E277:E291" si="28">D277-C277</f>
        <v>15041258</v>
      </c>
      <c r="F277" s="503">
        <f t="shared" ref="F277:F291" si="29">IF(C277=0,0,E277/C277)</f>
        <v>8.4913528590904064E-2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84933945</v>
      </c>
      <c r="D278" s="448">
        <f>LN_IA2+LN_IF2+LN_IG2</f>
        <v>85213380</v>
      </c>
      <c r="E278" s="448">
        <f t="shared" si="28"/>
        <v>279435</v>
      </c>
      <c r="F278" s="503">
        <f t="shared" si="29"/>
        <v>3.2900273265300465E-3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0.47948389470453689</v>
      </c>
      <c r="D279" s="453">
        <f>IF(D277=0,0,LN_IIB2/D277)</f>
        <v>0.44340990977000072</v>
      </c>
      <c r="E279" s="454">
        <f t="shared" si="28"/>
        <v>-3.6073984934536174E-2</v>
      </c>
      <c r="F279" s="458">
        <f t="shared" si="29"/>
        <v>-7.523502944090614E-2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8451</v>
      </c>
      <c r="D280" s="456">
        <f>LN_IA4+LN_IF4+LN_IG3</f>
        <v>8423</v>
      </c>
      <c r="E280" s="456">
        <f t="shared" si="28"/>
        <v>-28</v>
      </c>
      <c r="F280" s="503">
        <f t="shared" si="29"/>
        <v>-3.3132173707253578E-3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1.3095341143059991</v>
      </c>
      <c r="D281" s="525">
        <f>IF(LN_IIB4=0,0,LN_IIB6/LN_IIB4)</f>
        <v>1.3160009200997269</v>
      </c>
      <c r="E281" s="525">
        <f t="shared" si="28"/>
        <v>6.4668057937278256E-3</v>
      </c>
      <c r="F281" s="503">
        <f t="shared" si="29"/>
        <v>4.9382492010564957E-3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11066.872799999999</v>
      </c>
      <c r="D282" s="463">
        <f>LN_IA6+LN_IF6+LN_IG5</f>
        <v>11084.67575</v>
      </c>
      <c r="E282" s="463">
        <f t="shared" si="28"/>
        <v>17.802950000001147</v>
      </c>
      <c r="F282" s="503">
        <f t="shared" si="29"/>
        <v>1.6086703372971945E-3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181101230</v>
      </c>
      <c r="D283" s="448">
        <f>LN_IA11+LN_IF14+LN_IG9</f>
        <v>195297446</v>
      </c>
      <c r="E283" s="448">
        <f t="shared" si="28"/>
        <v>14196216</v>
      </c>
      <c r="F283" s="503">
        <f t="shared" si="29"/>
        <v>7.8388291454453404E-2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1.0223841962855029</v>
      </c>
      <c r="D284" s="453">
        <f>IF(D277=0,0,LN_IIB7/D277)</f>
        <v>1.0162350432428755</v>
      </c>
      <c r="E284" s="454">
        <f t="shared" si="28"/>
        <v>-6.1491530426274199E-3</v>
      </c>
      <c r="F284" s="458">
        <f t="shared" si="29"/>
        <v>-6.0145227840652732E-3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39061980</v>
      </c>
      <c r="D285" s="448">
        <f>LN_IA12+LN_IF15+LN_IG10</f>
        <v>46264193</v>
      </c>
      <c r="E285" s="448">
        <f t="shared" si="28"/>
        <v>7202213</v>
      </c>
      <c r="F285" s="503">
        <f t="shared" si="29"/>
        <v>0.18437910725467577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0.2156914119247009</v>
      </c>
      <c r="D286" s="453">
        <f>IF(LN_IIB7=0,0,LN_IIB9/LN_IIB7)</f>
        <v>0.23689092687878777</v>
      </c>
      <c r="E286" s="454">
        <f t="shared" si="28"/>
        <v>2.1199514954086868E-2</v>
      </c>
      <c r="F286" s="458">
        <f t="shared" si="29"/>
        <v>9.8286319167347008E-2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358237409</v>
      </c>
      <c r="D287" s="441">
        <f>D277+LN_IIB7</f>
        <v>387474883</v>
      </c>
      <c r="E287" s="441">
        <f t="shared" si="28"/>
        <v>29237474</v>
      </c>
      <c r="F287" s="503">
        <f t="shared" si="29"/>
        <v>8.1614798637626371E-2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123995925</v>
      </c>
      <c r="D288" s="441">
        <f>LN_IIB2+LN_IIB9</f>
        <v>131477573</v>
      </c>
      <c r="E288" s="441">
        <f t="shared" si="28"/>
        <v>7481648</v>
      </c>
      <c r="F288" s="503">
        <f t="shared" si="29"/>
        <v>6.033785384479369E-2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0.34612779649709896</v>
      </c>
      <c r="D289" s="453">
        <f>IF(LN_IIB11=0,0,LN_IIB12/LN_IIB11)</f>
        <v>0.33931895657866423</v>
      </c>
      <c r="E289" s="454">
        <f t="shared" si="28"/>
        <v>-6.8088399184347281E-3</v>
      </c>
      <c r="F289" s="458">
        <f t="shared" si="29"/>
        <v>-1.9671462353910648E-2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38836</v>
      </c>
      <c r="D290" s="508">
        <f>LN_IA8+LN_IF11+LN_IG6</f>
        <v>39628</v>
      </c>
      <c r="E290" s="528">
        <f t="shared" si="28"/>
        <v>792</v>
      </c>
      <c r="F290" s="458">
        <f t="shared" si="29"/>
        <v>2.0393449376866823E-2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234241484</v>
      </c>
      <c r="D291" s="516">
        <f>LN_IIB11-LN_IIB12</f>
        <v>255997310</v>
      </c>
      <c r="E291" s="441">
        <f t="shared" si="28"/>
        <v>21755826</v>
      </c>
      <c r="F291" s="503">
        <f t="shared" si="29"/>
        <v>9.2877767116605184E-2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5.0142362447095037</v>
      </c>
      <c r="D294" s="466">
        <f>IF(LN_IA4=0,0,LN_IA8/LN_IA4)</f>
        <v>5.2661785078171386</v>
      </c>
      <c r="E294" s="466">
        <f t="shared" ref="E294:E300" si="30">D294-C294</f>
        <v>0.2519422631076349</v>
      </c>
      <c r="F294" s="503">
        <f t="shared" ref="F294:F300" si="31">IF(C294=0,0,E294/C294)</f>
        <v>5.024539148378937E-2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3.5070306038047971</v>
      </c>
      <c r="D295" s="466">
        <f>IF(LN_IB4=0,0,(LN_IB10)/(LN_IB4))</f>
        <v>3.691772534785239</v>
      </c>
      <c r="E295" s="466">
        <f t="shared" si="30"/>
        <v>0.18474193098044189</v>
      </c>
      <c r="F295" s="503">
        <f t="shared" si="31"/>
        <v>5.2677593055508079E-2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3.2176470588235295</v>
      </c>
      <c r="D296" s="466">
        <f>IF(LN_IC4=0,0,LN_IC11/LN_IC4)</f>
        <v>2.9719101123595504</v>
      </c>
      <c r="E296" s="466">
        <f t="shared" si="30"/>
        <v>-0.24573694646397914</v>
      </c>
      <c r="F296" s="503">
        <f t="shared" si="31"/>
        <v>-7.637162869995695E-2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3.9356236459300526</v>
      </c>
      <c r="D297" s="466">
        <f>IF(LN_ID4=0,0,LN_ID11/LN_ID4)</f>
        <v>3.870254110612855</v>
      </c>
      <c r="E297" s="466">
        <f t="shared" si="30"/>
        <v>-6.5369535317197691E-2</v>
      </c>
      <c r="F297" s="503">
        <f t="shared" si="31"/>
        <v>-1.6609701840977174E-2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2.5454545454545454</v>
      </c>
      <c r="D299" s="466">
        <f>IF(LN_IG3=0,0,LN_IG6/LN_IG3)</f>
        <v>2.88</v>
      </c>
      <c r="E299" s="466">
        <f t="shared" si="30"/>
        <v>0.33454545454545448</v>
      </c>
      <c r="F299" s="503">
        <f t="shared" si="31"/>
        <v>0.13142857142857139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4.2685875144891536</v>
      </c>
      <c r="D300" s="466">
        <f>IF(LN_IIA4=0,0,LN_IIA14/LN_IIA4)</f>
        <v>4.4192173245801003</v>
      </c>
      <c r="E300" s="466">
        <f t="shared" si="30"/>
        <v>0.15062981009094667</v>
      </c>
      <c r="F300" s="503">
        <f t="shared" si="31"/>
        <v>3.5287975139236052E-2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568562940</v>
      </c>
      <c r="D304" s="441">
        <f>LN_IIA11</f>
        <v>598602640</v>
      </c>
      <c r="E304" s="441">
        <f t="shared" ref="E304:E316" si="32">D304-C304</f>
        <v>30039700</v>
      </c>
      <c r="F304" s="449">
        <f>IF(C304=0,0,E304/C304)</f>
        <v>5.2834432015565418E-2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234241484</v>
      </c>
      <c r="D305" s="441">
        <f>LN_IIB14</f>
        <v>255997310</v>
      </c>
      <c r="E305" s="441">
        <f t="shared" si="32"/>
        <v>21755826</v>
      </c>
      <c r="F305" s="449">
        <f>IF(C305=0,0,E305/C305)</f>
        <v>9.2877767116605184E-2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10885418</v>
      </c>
      <c r="D306" s="441">
        <f>LN_IH6</f>
        <v>12317879</v>
      </c>
      <c r="E306" s="441">
        <f t="shared" si="32"/>
        <v>1432461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124839068</v>
      </c>
      <c r="D307" s="441">
        <f>LN_IB32-LN_IB33</f>
        <v>131014562</v>
      </c>
      <c r="E307" s="441">
        <f t="shared" si="32"/>
        <v>6175494</v>
      </c>
      <c r="F307" s="449">
        <f t="shared" ref="F307:F316" si="33">IF(C307=0,0,E307/C307)</f>
        <v>4.9467639409163162E-2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6038912</v>
      </c>
      <c r="D308" s="441">
        <v>6624781</v>
      </c>
      <c r="E308" s="441">
        <f t="shared" si="32"/>
        <v>585869</v>
      </c>
      <c r="F308" s="449">
        <f t="shared" si="33"/>
        <v>9.7015654475508167E-2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376004882</v>
      </c>
      <c r="D309" s="441">
        <f>LN_III2+LN_III3+LN_III4+LN_III5</f>
        <v>405954532</v>
      </c>
      <c r="E309" s="441">
        <f t="shared" si="32"/>
        <v>29949650</v>
      </c>
      <c r="F309" s="449">
        <f t="shared" si="33"/>
        <v>7.9652290259358924E-2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192558058</v>
      </c>
      <c r="D310" s="441">
        <f>LN_III1-LN_III6</f>
        <v>192648108</v>
      </c>
      <c r="E310" s="441">
        <f t="shared" si="32"/>
        <v>90050</v>
      </c>
      <c r="F310" s="449">
        <f t="shared" si="33"/>
        <v>4.6765116420108472E-4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192558058</v>
      </c>
      <c r="D312" s="441">
        <f>LN_III7+LN_III8</f>
        <v>192648108</v>
      </c>
      <c r="E312" s="441">
        <f t="shared" si="32"/>
        <v>90050</v>
      </c>
      <c r="F312" s="449">
        <f t="shared" si="33"/>
        <v>4.6765116420108472E-4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0.33867500755501229</v>
      </c>
      <c r="D313" s="532">
        <f>IF(LN_III1=0,0,LN_III9/LN_III1)</f>
        <v>0.32182969991579052</v>
      </c>
      <c r="E313" s="532">
        <f t="shared" si="32"/>
        <v>-1.6845307639221763E-2</v>
      </c>
      <c r="F313" s="449">
        <f t="shared" si="33"/>
        <v>-4.973885661310723E-2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3686619.0233894666</v>
      </c>
      <c r="D314" s="441">
        <f>D313*LN_III5</f>
        <v>3964259.302169018</v>
      </c>
      <c r="E314" s="441">
        <f t="shared" si="32"/>
        <v>277640.27877955139</v>
      </c>
      <c r="F314" s="449">
        <f t="shared" si="33"/>
        <v>7.5310271285989772E-2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6592750.5657436997</v>
      </c>
      <c r="D315" s="441">
        <f>D313*LN_IH8-LN_IH9</f>
        <v>2213314.1179844067</v>
      </c>
      <c r="E315" s="441">
        <f t="shared" si="32"/>
        <v>-4379436.447759293</v>
      </c>
      <c r="F315" s="449">
        <f t="shared" si="33"/>
        <v>-0.66428062219054507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10279369.589133166</v>
      </c>
      <c r="D318" s="441">
        <f>D314+D315+D316</f>
        <v>6177573.4201534241</v>
      </c>
      <c r="E318" s="441">
        <f>D318-C318</f>
        <v>-4101796.1689797416</v>
      </c>
      <c r="F318" s="449">
        <f>IF(C318=0,0,E318/C318)</f>
        <v>-0.39903187967051551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16261224.477391839</v>
      </c>
      <c r="D322" s="441">
        <f>LN_ID22</f>
        <v>8768182.0998627283</v>
      </c>
      <c r="E322" s="441">
        <f>LN_IV2-C322</f>
        <v>-7493042.3775291108</v>
      </c>
      <c r="F322" s="449">
        <f>IF(C322=0,0,E322/C322)</f>
        <v>-0.46079201402986414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6190061.92325674</v>
      </c>
      <c r="D324" s="441">
        <f>LN_IC10+LN_IC22</f>
        <v>7270188.456693355</v>
      </c>
      <c r="E324" s="441">
        <f>LN_IV1-C324</f>
        <v>1080126.533436615</v>
      </c>
      <c r="F324" s="449">
        <f>IF(C324=0,0,E324/C324)</f>
        <v>0.17449365560923735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22451286.400648579</v>
      </c>
      <c r="D325" s="516">
        <f>LN_IV1+LN_IV2+LN_IV3</f>
        <v>16038370.556556083</v>
      </c>
      <c r="E325" s="441">
        <f>LN_IV4-C325</f>
        <v>-6412915.8440924957</v>
      </c>
      <c r="F325" s="449">
        <f>IF(C325=0,0,E325/C325)</f>
        <v>-0.28563689980397905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9490298</v>
      </c>
      <c r="D329" s="518">
        <v>10496927</v>
      </c>
      <c r="E329" s="518">
        <f t="shared" ref="E329:E335" si="34">D329-C329</f>
        <v>1006629</v>
      </c>
      <c r="F329" s="542">
        <f t="shared" ref="F329:F335" si="35">IF(C329=0,0,E329/C329)</f>
        <v>0.10606927200810765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16260614</v>
      </c>
      <c r="D330" s="516">
        <v>15900232</v>
      </c>
      <c r="E330" s="518">
        <f t="shared" si="34"/>
        <v>-360382</v>
      </c>
      <c r="F330" s="543">
        <f t="shared" si="35"/>
        <v>-2.2162877736351162E-2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225742944</v>
      </c>
      <c r="D331" s="516">
        <v>227491163</v>
      </c>
      <c r="E331" s="518">
        <f t="shared" si="34"/>
        <v>1748219</v>
      </c>
      <c r="F331" s="542">
        <f t="shared" si="35"/>
        <v>7.7442907805791708E-3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0</v>
      </c>
      <c r="D332" s="516">
        <v>2983595</v>
      </c>
      <c r="E332" s="518">
        <f t="shared" si="34"/>
        <v>2983595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571618009</v>
      </c>
      <c r="D333" s="516">
        <v>601586237</v>
      </c>
      <c r="E333" s="518">
        <f t="shared" si="34"/>
        <v>29968228</v>
      </c>
      <c r="F333" s="542">
        <f t="shared" si="35"/>
        <v>5.2427018617602725E-2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10885418</v>
      </c>
      <c r="D335" s="516">
        <v>12317879</v>
      </c>
      <c r="E335" s="516">
        <f t="shared" si="34"/>
        <v>1432461</v>
      </c>
      <c r="F335" s="542">
        <f t="shared" si="35"/>
        <v>0.13159448723053171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F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7" style="660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69836067</v>
      </c>
      <c r="D14" s="589">
        <v>70498050</v>
      </c>
      <c r="E14" s="590">
        <f t="shared" ref="E14:E22" si="0">D14-C14</f>
        <v>661983</v>
      </c>
    </row>
    <row r="15" spans="1:5" s="421" customFormat="1" x14ac:dyDescent="0.2">
      <c r="A15" s="588">
        <v>2</v>
      </c>
      <c r="B15" s="587" t="s">
        <v>636</v>
      </c>
      <c r="C15" s="589">
        <v>132497985</v>
      </c>
      <c r="D15" s="591">
        <v>136828081</v>
      </c>
      <c r="E15" s="590">
        <f t="shared" si="0"/>
        <v>4330096</v>
      </c>
    </row>
    <row r="16" spans="1:5" s="421" customFormat="1" x14ac:dyDescent="0.2">
      <c r="A16" s="588">
        <v>3</v>
      </c>
      <c r="B16" s="587" t="s">
        <v>778</v>
      </c>
      <c r="C16" s="589">
        <v>44498586</v>
      </c>
      <c r="D16" s="591">
        <v>55012283</v>
      </c>
      <c r="E16" s="590">
        <f t="shared" si="0"/>
        <v>10513697</v>
      </c>
    </row>
    <row r="17" spans="1:5" s="421" customFormat="1" x14ac:dyDescent="0.2">
      <c r="A17" s="588">
        <v>4</v>
      </c>
      <c r="B17" s="587" t="s">
        <v>115</v>
      </c>
      <c r="C17" s="589">
        <v>44498586</v>
      </c>
      <c r="D17" s="591">
        <v>55012283</v>
      </c>
      <c r="E17" s="590">
        <f t="shared" si="0"/>
        <v>10513697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139608</v>
      </c>
      <c r="D19" s="591">
        <v>337073</v>
      </c>
      <c r="E19" s="590">
        <f t="shared" si="0"/>
        <v>197465</v>
      </c>
    </row>
    <row r="20" spans="1:5" s="421" customFormat="1" x14ac:dyDescent="0.2">
      <c r="A20" s="588">
        <v>7</v>
      </c>
      <c r="B20" s="587" t="s">
        <v>759</v>
      </c>
      <c r="C20" s="589">
        <v>1716249</v>
      </c>
      <c r="D20" s="591">
        <v>1787877</v>
      </c>
      <c r="E20" s="590">
        <f t="shared" si="0"/>
        <v>71628</v>
      </c>
    </row>
    <row r="21" spans="1:5" s="421" customFormat="1" x14ac:dyDescent="0.2">
      <c r="A21" s="588"/>
      <c r="B21" s="592" t="s">
        <v>779</v>
      </c>
      <c r="C21" s="593">
        <f>SUM(C15+C16+C19)</f>
        <v>177136179</v>
      </c>
      <c r="D21" s="593">
        <f>SUM(D15+D16+D19)</f>
        <v>192177437</v>
      </c>
      <c r="E21" s="593">
        <f t="shared" si="0"/>
        <v>15041258</v>
      </c>
    </row>
    <row r="22" spans="1:5" s="421" customFormat="1" x14ac:dyDescent="0.2">
      <c r="A22" s="588"/>
      <c r="B22" s="592" t="s">
        <v>465</v>
      </c>
      <c r="C22" s="593">
        <f>SUM(C14+C21)</f>
        <v>246972246</v>
      </c>
      <c r="D22" s="593">
        <f>SUM(D14+D21)</f>
        <v>262675487</v>
      </c>
      <c r="E22" s="593">
        <f t="shared" si="0"/>
        <v>15703241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140489464</v>
      </c>
      <c r="D25" s="589">
        <v>140629707</v>
      </c>
      <c r="E25" s="590">
        <f t="shared" ref="E25:E33" si="1">D25-C25</f>
        <v>140243</v>
      </c>
    </row>
    <row r="26" spans="1:5" s="421" customFormat="1" x14ac:dyDescent="0.2">
      <c r="A26" s="588">
        <v>2</v>
      </c>
      <c r="B26" s="587" t="s">
        <v>636</v>
      </c>
      <c r="C26" s="589">
        <v>91194082</v>
      </c>
      <c r="D26" s="591">
        <v>93355888</v>
      </c>
      <c r="E26" s="590">
        <f t="shared" si="1"/>
        <v>2161806</v>
      </c>
    </row>
    <row r="27" spans="1:5" s="421" customFormat="1" x14ac:dyDescent="0.2">
      <c r="A27" s="588">
        <v>3</v>
      </c>
      <c r="B27" s="587" t="s">
        <v>778</v>
      </c>
      <c r="C27" s="589">
        <v>89252844</v>
      </c>
      <c r="D27" s="591">
        <v>101301392</v>
      </c>
      <c r="E27" s="590">
        <f t="shared" si="1"/>
        <v>12048548</v>
      </c>
    </row>
    <row r="28" spans="1:5" s="421" customFormat="1" x14ac:dyDescent="0.2">
      <c r="A28" s="588">
        <v>4</v>
      </c>
      <c r="B28" s="587" t="s">
        <v>115</v>
      </c>
      <c r="C28" s="589">
        <v>89252844</v>
      </c>
      <c r="D28" s="591">
        <v>101301392</v>
      </c>
      <c r="E28" s="590">
        <f t="shared" si="1"/>
        <v>12048548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654304</v>
      </c>
      <c r="D30" s="591">
        <v>640166</v>
      </c>
      <c r="E30" s="590">
        <f t="shared" si="1"/>
        <v>-14138</v>
      </c>
    </row>
    <row r="31" spans="1:5" s="421" customFormat="1" x14ac:dyDescent="0.2">
      <c r="A31" s="588">
        <v>7</v>
      </c>
      <c r="B31" s="587" t="s">
        <v>759</v>
      </c>
      <c r="C31" s="590">
        <v>9689228</v>
      </c>
      <c r="D31" s="594">
        <v>10776290</v>
      </c>
      <c r="E31" s="590">
        <f t="shared" si="1"/>
        <v>1087062</v>
      </c>
    </row>
    <row r="32" spans="1:5" s="421" customFormat="1" x14ac:dyDescent="0.2">
      <c r="A32" s="588"/>
      <c r="B32" s="592" t="s">
        <v>781</v>
      </c>
      <c r="C32" s="593">
        <f>SUM(C26+C27+C30)</f>
        <v>181101230</v>
      </c>
      <c r="D32" s="593">
        <f>SUM(D26+D27+D30)</f>
        <v>195297446</v>
      </c>
      <c r="E32" s="593">
        <f t="shared" si="1"/>
        <v>14196216</v>
      </c>
    </row>
    <row r="33" spans="1:5" s="421" customFormat="1" x14ac:dyDescent="0.2">
      <c r="A33" s="588"/>
      <c r="B33" s="592" t="s">
        <v>467</v>
      </c>
      <c r="C33" s="593">
        <f>SUM(C25+C32)</f>
        <v>321590694</v>
      </c>
      <c r="D33" s="593">
        <f>SUM(D25+D32)</f>
        <v>335927153</v>
      </c>
      <c r="E33" s="593">
        <f t="shared" si="1"/>
        <v>14336459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210325531</v>
      </c>
      <c r="D36" s="590">
        <f t="shared" si="2"/>
        <v>211127757</v>
      </c>
      <c r="E36" s="590">
        <f t="shared" ref="E36:E44" si="3">D36-C36</f>
        <v>802226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223692067</v>
      </c>
      <c r="D37" s="590">
        <f t="shared" si="2"/>
        <v>230183969</v>
      </c>
      <c r="E37" s="590">
        <f t="shared" si="3"/>
        <v>6491902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133751430</v>
      </c>
      <c r="D38" s="590">
        <f t="shared" si="2"/>
        <v>156313675</v>
      </c>
      <c r="E38" s="590">
        <f t="shared" si="3"/>
        <v>22562245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133751430</v>
      </c>
      <c r="D39" s="590">
        <f t="shared" si="2"/>
        <v>156313675</v>
      </c>
      <c r="E39" s="590">
        <f t="shared" si="3"/>
        <v>22562245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793912</v>
      </c>
      <c r="D41" s="590">
        <f t="shared" si="2"/>
        <v>977239</v>
      </c>
      <c r="E41" s="590">
        <f t="shared" si="3"/>
        <v>183327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11405477</v>
      </c>
      <c r="D42" s="590">
        <f t="shared" si="2"/>
        <v>12564167</v>
      </c>
      <c r="E42" s="590">
        <f t="shared" si="3"/>
        <v>1158690</v>
      </c>
    </row>
    <row r="43" spans="1:5" s="421" customFormat="1" x14ac:dyDescent="0.2">
      <c r="A43" s="588"/>
      <c r="B43" s="592" t="s">
        <v>789</v>
      </c>
      <c r="C43" s="593">
        <f>SUM(C37+C38+C41)</f>
        <v>358237409</v>
      </c>
      <c r="D43" s="593">
        <f>SUM(D37+D38+D41)</f>
        <v>387474883</v>
      </c>
      <c r="E43" s="593">
        <f t="shared" si="3"/>
        <v>29237474</v>
      </c>
    </row>
    <row r="44" spans="1:5" s="421" customFormat="1" x14ac:dyDescent="0.2">
      <c r="A44" s="588"/>
      <c r="B44" s="592" t="s">
        <v>726</v>
      </c>
      <c r="C44" s="593">
        <f>SUM(C36+C43)</f>
        <v>568562940</v>
      </c>
      <c r="D44" s="593">
        <f>SUM(D36+D43)</f>
        <v>598602640</v>
      </c>
      <c r="E44" s="593">
        <f t="shared" si="3"/>
        <v>30039700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38013546</v>
      </c>
      <c r="D47" s="589">
        <v>34301365</v>
      </c>
      <c r="E47" s="590">
        <f t="shared" ref="E47:E55" si="4">D47-C47</f>
        <v>-3712181</v>
      </c>
    </row>
    <row r="48" spans="1:5" s="421" customFormat="1" x14ac:dyDescent="0.2">
      <c r="A48" s="588">
        <v>2</v>
      </c>
      <c r="B48" s="587" t="s">
        <v>636</v>
      </c>
      <c r="C48" s="589">
        <v>65457999</v>
      </c>
      <c r="D48" s="591">
        <v>63438379</v>
      </c>
      <c r="E48" s="590">
        <f t="shared" si="4"/>
        <v>-2019620</v>
      </c>
    </row>
    <row r="49" spans="1:5" s="421" customFormat="1" x14ac:dyDescent="0.2">
      <c r="A49" s="588">
        <v>3</v>
      </c>
      <c r="B49" s="587" t="s">
        <v>778</v>
      </c>
      <c r="C49" s="589">
        <v>19423333</v>
      </c>
      <c r="D49" s="591">
        <v>21678280</v>
      </c>
      <c r="E49" s="590">
        <f t="shared" si="4"/>
        <v>2254947</v>
      </c>
    </row>
    <row r="50" spans="1:5" s="421" customFormat="1" x14ac:dyDescent="0.2">
      <c r="A50" s="588">
        <v>4</v>
      </c>
      <c r="B50" s="587" t="s">
        <v>115</v>
      </c>
      <c r="C50" s="589">
        <v>19423333</v>
      </c>
      <c r="D50" s="591">
        <v>21678280</v>
      </c>
      <c r="E50" s="590">
        <f t="shared" si="4"/>
        <v>2254947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52613</v>
      </c>
      <c r="D52" s="591">
        <v>96721</v>
      </c>
      <c r="E52" s="590">
        <f t="shared" si="4"/>
        <v>44108</v>
      </c>
    </row>
    <row r="53" spans="1:5" s="421" customFormat="1" x14ac:dyDescent="0.2">
      <c r="A53" s="588">
        <v>7</v>
      </c>
      <c r="B53" s="587" t="s">
        <v>759</v>
      </c>
      <c r="C53" s="589">
        <v>95854</v>
      </c>
      <c r="D53" s="591">
        <v>37435</v>
      </c>
      <c r="E53" s="590">
        <f t="shared" si="4"/>
        <v>-58419</v>
      </c>
    </row>
    <row r="54" spans="1:5" s="421" customFormat="1" x14ac:dyDescent="0.2">
      <c r="A54" s="588"/>
      <c r="B54" s="592" t="s">
        <v>791</v>
      </c>
      <c r="C54" s="593">
        <f>SUM(C48+C49+C52)</f>
        <v>84933945</v>
      </c>
      <c r="D54" s="593">
        <f>SUM(D48+D49+D52)</f>
        <v>85213380</v>
      </c>
      <c r="E54" s="593">
        <f t="shared" si="4"/>
        <v>279435</v>
      </c>
    </row>
    <row r="55" spans="1:5" s="421" customFormat="1" x14ac:dyDescent="0.2">
      <c r="A55" s="588"/>
      <c r="B55" s="592" t="s">
        <v>466</v>
      </c>
      <c r="C55" s="593">
        <f>SUM(C47+C54)</f>
        <v>122947491</v>
      </c>
      <c r="D55" s="593">
        <f>SUM(D47+D54)</f>
        <v>119514745</v>
      </c>
      <c r="E55" s="593">
        <f t="shared" si="4"/>
        <v>-3432746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47472917</v>
      </c>
      <c r="D58" s="589">
        <v>45811830</v>
      </c>
      <c r="E58" s="590">
        <f t="shared" ref="E58:E66" si="5">D58-C58</f>
        <v>-1661087</v>
      </c>
    </row>
    <row r="59" spans="1:5" s="421" customFormat="1" x14ac:dyDescent="0.2">
      <c r="A59" s="588">
        <v>2</v>
      </c>
      <c r="B59" s="587" t="s">
        <v>636</v>
      </c>
      <c r="C59" s="589">
        <v>19621848</v>
      </c>
      <c r="D59" s="591">
        <v>19692299</v>
      </c>
      <c r="E59" s="590">
        <f t="shared" si="5"/>
        <v>70451</v>
      </c>
    </row>
    <row r="60" spans="1:5" s="421" customFormat="1" x14ac:dyDescent="0.2">
      <c r="A60" s="588">
        <v>3</v>
      </c>
      <c r="B60" s="587" t="s">
        <v>778</v>
      </c>
      <c r="C60" s="589">
        <f>C61+C62</f>
        <v>19282183</v>
      </c>
      <c r="D60" s="591">
        <f>D61+D62</f>
        <v>26414789</v>
      </c>
      <c r="E60" s="590">
        <f t="shared" si="5"/>
        <v>7132606</v>
      </c>
    </row>
    <row r="61" spans="1:5" s="421" customFormat="1" x14ac:dyDescent="0.2">
      <c r="A61" s="588">
        <v>4</v>
      </c>
      <c r="B61" s="587" t="s">
        <v>115</v>
      </c>
      <c r="C61" s="589">
        <v>19282183</v>
      </c>
      <c r="D61" s="591">
        <v>26414789</v>
      </c>
      <c r="E61" s="590">
        <f t="shared" si="5"/>
        <v>7132606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157949</v>
      </c>
      <c r="D63" s="591">
        <v>157105</v>
      </c>
      <c r="E63" s="590">
        <f t="shared" si="5"/>
        <v>-844</v>
      </c>
    </row>
    <row r="64" spans="1:5" s="421" customFormat="1" x14ac:dyDescent="0.2">
      <c r="A64" s="588">
        <v>7</v>
      </c>
      <c r="B64" s="587" t="s">
        <v>759</v>
      </c>
      <c r="C64" s="589">
        <v>424205</v>
      </c>
      <c r="D64" s="591">
        <v>208733</v>
      </c>
      <c r="E64" s="590">
        <f t="shared" si="5"/>
        <v>-215472</v>
      </c>
    </row>
    <row r="65" spans="1:5" s="421" customFormat="1" x14ac:dyDescent="0.2">
      <c r="A65" s="588"/>
      <c r="B65" s="592" t="s">
        <v>793</v>
      </c>
      <c r="C65" s="593">
        <f>SUM(C59+C60+C63)</f>
        <v>39061980</v>
      </c>
      <c r="D65" s="593">
        <f>SUM(D59+D60+D63)</f>
        <v>46264193</v>
      </c>
      <c r="E65" s="593">
        <f t="shared" si="5"/>
        <v>7202213</v>
      </c>
    </row>
    <row r="66" spans="1:5" s="421" customFormat="1" x14ac:dyDescent="0.2">
      <c r="A66" s="588"/>
      <c r="B66" s="592" t="s">
        <v>468</v>
      </c>
      <c r="C66" s="593">
        <f>SUM(C58+C65)</f>
        <v>86534897</v>
      </c>
      <c r="D66" s="593">
        <f>SUM(D58+D65)</f>
        <v>92076023</v>
      </c>
      <c r="E66" s="593">
        <f t="shared" si="5"/>
        <v>5541126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85486463</v>
      </c>
      <c r="D69" s="590">
        <f t="shared" si="6"/>
        <v>80113195</v>
      </c>
      <c r="E69" s="590">
        <f t="shared" ref="E69:E77" si="7">D69-C69</f>
        <v>-5373268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85079847</v>
      </c>
      <c r="D70" s="590">
        <f t="shared" si="6"/>
        <v>83130678</v>
      </c>
      <c r="E70" s="590">
        <f t="shared" si="7"/>
        <v>-1949169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38705516</v>
      </c>
      <c r="D71" s="590">
        <f t="shared" si="6"/>
        <v>48093069</v>
      </c>
      <c r="E71" s="590">
        <f t="shared" si="7"/>
        <v>9387553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38705516</v>
      </c>
      <c r="D72" s="590">
        <f t="shared" si="6"/>
        <v>48093069</v>
      </c>
      <c r="E72" s="590">
        <f t="shared" si="7"/>
        <v>9387553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210562</v>
      </c>
      <c r="D74" s="590">
        <f t="shared" si="6"/>
        <v>253826</v>
      </c>
      <c r="E74" s="590">
        <f t="shared" si="7"/>
        <v>43264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520059</v>
      </c>
      <c r="D75" s="590">
        <f t="shared" si="6"/>
        <v>246168</v>
      </c>
      <c r="E75" s="590">
        <f t="shared" si="7"/>
        <v>-273891</v>
      </c>
    </row>
    <row r="76" spans="1:5" s="421" customFormat="1" x14ac:dyDescent="0.2">
      <c r="A76" s="588"/>
      <c r="B76" s="592" t="s">
        <v>794</v>
      </c>
      <c r="C76" s="593">
        <f>SUM(C70+C71+C74)</f>
        <v>123995925</v>
      </c>
      <c r="D76" s="593">
        <f>SUM(D70+D71+D74)</f>
        <v>131477573</v>
      </c>
      <c r="E76" s="593">
        <f t="shared" si="7"/>
        <v>7481648</v>
      </c>
    </row>
    <row r="77" spans="1:5" s="421" customFormat="1" x14ac:dyDescent="0.2">
      <c r="A77" s="588"/>
      <c r="B77" s="592" t="s">
        <v>727</v>
      </c>
      <c r="C77" s="593">
        <f>SUM(C69+C76)</f>
        <v>209482388</v>
      </c>
      <c r="D77" s="593">
        <f>SUM(D69+D76)</f>
        <v>211590768</v>
      </c>
      <c r="E77" s="593">
        <f t="shared" si="7"/>
        <v>2108380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0.12282908731265531</v>
      </c>
      <c r="D83" s="599">
        <f t="shared" si="8"/>
        <v>0.11777103087951633</v>
      </c>
      <c r="E83" s="599">
        <f t="shared" ref="E83:E91" si="9">D83-C83</f>
        <v>-5.0580564331389744E-3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0.23304013624243605</v>
      </c>
      <c r="D84" s="599">
        <f t="shared" si="8"/>
        <v>0.22857914726203013</v>
      </c>
      <c r="E84" s="599">
        <f t="shared" si="9"/>
        <v>-4.4609889804059222E-3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7.8265013192734656E-2</v>
      </c>
      <c r="D85" s="599">
        <f t="shared" si="8"/>
        <v>9.1901170031592247E-2</v>
      </c>
      <c r="E85" s="599">
        <f t="shared" si="9"/>
        <v>1.3636156838857591E-2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7.8265013192734656E-2</v>
      </c>
      <c r="D86" s="599">
        <f t="shared" si="8"/>
        <v>9.1901170031592247E-2</v>
      </c>
      <c r="E86" s="599">
        <f t="shared" si="9"/>
        <v>1.3636156838857591E-2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2.4554537444878134E-4</v>
      </c>
      <c r="D88" s="599">
        <f t="shared" si="8"/>
        <v>5.6309975512303123E-4</v>
      </c>
      <c r="E88" s="599">
        <f t="shared" si="9"/>
        <v>3.1755438067424988E-4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3.01857345819972E-3</v>
      </c>
      <c r="D89" s="599">
        <f t="shared" si="8"/>
        <v>2.9867509438314538E-3</v>
      </c>
      <c r="E89" s="599">
        <f t="shared" si="9"/>
        <v>-3.1822514368266223E-5</v>
      </c>
    </row>
    <row r="90" spans="1:5" s="421" customFormat="1" x14ac:dyDescent="0.2">
      <c r="A90" s="588"/>
      <c r="B90" s="592" t="s">
        <v>797</v>
      </c>
      <c r="C90" s="600">
        <f>SUM(C84+C85+C88)</f>
        <v>0.3115506948096195</v>
      </c>
      <c r="D90" s="600">
        <f>SUM(D84+D85+D88)</f>
        <v>0.32104341704874539</v>
      </c>
      <c r="E90" s="601">
        <f t="shared" si="9"/>
        <v>9.4927222391258947E-3</v>
      </c>
    </row>
    <row r="91" spans="1:5" s="421" customFormat="1" x14ac:dyDescent="0.2">
      <c r="A91" s="588"/>
      <c r="B91" s="592" t="s">
        <v>798</v>
      </c>
      <c r="C91" s="600">
        <f>SUM(C83+C90)</f>
        <v>0.43437978212227479</v>
      </c>
      <c r="D91" s="600">
        <f>SUM(D83+D90)</f>
        <v>0.43881444792826174</v>
      </c>
      <c r="E91" s="601">
        <f t="shared" si="9"/>
        <v>4.4346658059869482E-3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0.24709571116260234</v>
      </c>
      <c r="D95" s="599">
        <f t="shared" si="10"/>
        <v>0.23492998126436596</v>
      </c>
      <c r="E95" s="599">
        <f t="shared" ref="E95:E103" si="11">D95-C95</f>
        <v>-1.2165729898236388E-2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0.16039399613347996</v>
      </c>
      <c r="D96" s="599">
        <f t="shared" si="10"/>
        <v>0.15595635862882262</v>
      </c>
      <c r="E96" s="599">
        <f t="shared" si="11"/>
        <v>-4.437637504657338E-3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0.15697970747090903</v>
      </c>
      <c r="D97" s="599">
        <f t="shared" si="10"/>
        <v>0.16922977820478707</v>
      </c>
      <c r="E97" s="599">
        <f t="shared" si="11"/>
        <v>1.2250070733878043E-2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0.15697970747090903</v>
      </c>
      <c r="D98" s="599">
        <f t="shared" si="10"/>
        <v>0.16922977820478707</v>
      </c>
      <c r="E98" s="599">
        <f t="shared" si="11"/>
        <v>1.2250070733878043E-2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1.1508031107338793E-3</v>
      </c>
      <c r="D100" s="599">
        <f t="shared" si="10"/>
        <v>1.0694339737626283E-3</v>
      </c>
      <c r="E100" s="599">
        <f t="shared" si="11"/>
        <v>-8.1369136971250937E-5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1.7041610204140283E-2</v>
      </c>
      <c r="D101" s="599">
        <f t="shared" si="10"/>
        <v>1.8002409745469884E-2</v>
      </c>
      <c r="E101" s="599">
        <f t="shared" si="11"/>
        <v>9.6079954132960096E-4</v>
      </c>
    </row>
    <row r="102" spans="1:5" s="421" customFormat="1" x14ac:dyDescent="0.2">
      <c r="A102" s="588"/>
      <c r="B102" s="592" t="s">
        <v>800</v>
      </c>
      <c r="C102" s="600">
        <f>SUM(C96+C97+C100)</f>
        <v>0.31852450671512289</v>
      </c>
      <c r="D102" s="600">
        <f>SUM(D96+D97+D100)</f>
        <v>0.32625557080737233</v>
      </c>
      <c r="E102" s="601">
        <f t="shared" si="11"/>
        <v>7.73106409224944E-3</v>
      </c>
    </row>
    <row r="103" spans="1:5" s="421" customFormat="1" x14ac:dyDescent="0.2">
      <c r="A103" s="588"/>
      <c r="B103" s="592" t="s">
        <v>801</v>
      </c>
      <c r="C103" s="600">
        <f>SUM(C95+C102)</f>
        <v>0.56562021787772521</v>
      </c>
      <c r="D103" s="600">
        <f>SUM(D95+D102)</f>
        <v>0.56118555207173826</v>
      </c>
      <c r="E103" s="601">
        <f t="shared" si="11"/>
        <v>-4.4346658059869482E-3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0.18146416203733556</v>
      </c>
      <c r="D109" s="599">
        <f t="shared" si="12"/>
        <v>0.1621118223834794</v>
      </c>
      <c r="E109" s="599">
        <f t="shared" ref="E109:E117" si="13">D109-C109</f>
        <v>-1.935233965385616E-2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0.31247495135486042</v>
      </c>
      <c r="D110" s="599">
        <f t="shared" si="12"/>
        <v>0.29981638423846546</v>
      </c>
      <c r="E110" s="599">
        <f t="shared" si="13"/>
        <v>-1.2658567116394959E-2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9.2720601409222045E-2</v>
      </c>
      <c r="D111" s="599">
        <f t="shared" si="12"/>
        <v>0.1024538083816587</v>
      </c>
      <c r="E111" s="599">
        <f t="shared" si="13"/>
        <v>9.7332069724366532E-3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9.2720601409222045E-2</v>
      </c>
      <c r="D112" s="599">
        <f t="shared" si="12"/>
        <v>0.1024538083816587</v>
      </c>
      <c r="E112" s="599">
        <f t="shared" si="13"/>
        <v>9.7332069724366532E-3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2.5115715217071137E-4</v>
      </c>
      <c r="D114" s="599">
        <f t="shared" si="12"/>
        <v>4.5711351640823951E-4</v>
      </c>
      <c r="E114" s="599">
        <f t="shared" si="13"/>
        <v>2.0595636423752814E-4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4.5757545975655005E-4</v>
      </c>
      <c r="D115" s="599">
        <f t="shared" si="12"/>
        <v>1.7692170766164995E-4</v>
      </c>
      <c r="E115" s="599">
        <f t="shared" si="13"/>
        <v>-2.806537520949001E-4</v>
      </c>
    </row>
    <row r="116" spans="1:5" s="421" customFormat="1" x14ac:dyDescent="0.2">
      <c r="A116" s="588"/>
      <c r="B116" s="592" t="s">
        <v>797</v>
      </c>
      <c r="C116" s="600">
        <f>SUM(C110+C111+C114)</f>
        <v>0.4054467099162532</v>
      </c>
      <c r="D116" s="600">
        <f>SUM(D110+D111+D114)</f>
        <v>0.4027273061365324</v>
      </c>
      <c r="E116" s="601">
        <f t="shared" si="13"/>
        <v>-2.7194037797207971E-3</v>
      </c>
    </row>
    <row r="117" spans="1:5" s="421" customFormat="1" x14ac:dyDescent="0.2">
      <c r="A117" s="588"/>
      <c r="B117" s="592" t="s">
        <v>798</v>
      </c>
      <c r="C117" s="600">
        <f>SUM(C109+C116)</f>
        <v>0.58691087195358871</v>
      </c>
      <c r="D117" s="600">
        <f>SUM(D109+D116)</f>
        <v>0.56483912852001184</v>
      </c>
      <c r="E117" s="601">
        <f t="shared" si="13"/>
        <v>-2.2071743433576874E-2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0.22662008703089637</v>
      </c>
      <c r="D121" s="599">
        <f t="shared" si="14"/>
        <v>0.21651147842140259</v>
      </c>
      <c r="E121" s="599">
        <f t="shared" ref="E121:E129" si="15">D121-C121</f>
        <v>-1.010860860949378E-2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9.3668246707212452E-2</v>
      </c>
      <c r="D122" s="599">
        <f t="shared" si="14"/>
        <v>9.3067855399059748E-2</v>
      </c>
      <c r="E122" s="599">
        <f t="shared" si="15"/>
        <v>-6.0039130815270347E-4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9.2046797747980608E-2</v>
      </c>
      <c r="D123" s="599">
        <f t="shared" si="14"/>
        <v>0.12483904307204935</v>
      </c>
      <c r="E123" s="599">
        <f t="shared" si="15"/>
        <v>3.2792245324068742E-2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9.2046797747980608E-2</v>
      </c>
      <c r="D124" s="599">
        <f t="shared" si="14"/>
        <v>0.12483904307204935</v>
      </c>
      <c r="E124" s="599">
        <f t="shared" si="15"/>
        <v>3.2792245324068742E-2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7.5399656032181569E-4</v>
      </c>
      <c r="D126" s="599">
        <f t="shared" si="14"/>
        <v>7.4249458747651981E-4</v>
      </c>
      <c r="E126" s="599">
        <f t="shared" si="15"/>
        <v>-1.1501972845295882E-5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2.0250151053271361E-3</v>
      </c>
      <c r="D127" s="599">
        <f t="shared" si="14"/>
        <v>9.864938908865817E-4</v>
      </c>
      <c r="E127" s="599">
        <f t="shared" si="15"/>
        <v>-1.0385212144405544E-3</v>
      </c>
    </row>
    <row r="128" spans="1:5" s="421" customFormat="1" x14ac:dyDescent="0.2">
      <c r="A128" s="588"/>
      <c r="B128" s="592" t="s">
        <v>800</v>
      </c>
      <c r="C128" s="600">
        <f>SUM(C122+C123+C126)</f>
        <v>0.18646904101551487</v>
      </c>
      <c r="D128" s="600">
        <f>SUM(D122+D123+D126)</f>
        <v>0.21864939305858563</v>
      </c>
      <c r="E128" s="601">
        <f t="shared" si="15"/>
        <v>3.2180352043070765E-2</v>
      </c>
    </row>
    <row r="129" spans="1:5" s="421" customFormat="1" x14ac:dyDescent="0.2">
      <c r="A129" s="588"/>
      <c r="B129" s="592" t="s">
        <v>801</v>
      </c>
      <c r="C129" s="600">
        <f>SUM(C121+C128)</f>
        <v>0.41308912804641124</v>
      </c>
      <c r="D129" s="600">
        <f>SUM(D121+D128)</f>
        <v>0.43516087147998822</v>
      </c>
      <c r="E129" s="601">
        <f t="shared" si="15"/>
        <v>2.2071743433576985E-2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3627</v>
      </c>
      <c r="D137" s="606">
        <v>3306</v>
      </c>
      <c r="E137" s="607">
        <f t="shared" ref="E137:E145" si="16">D137-C137</f>
        <v>-321</v>
      </c>
    </row>
    <row r="138" spans="1:5" s="421" customFormat="1" x14ac:dyDescent="0.2">
      <c r="A138" s="588">
        <v>2</v>
      </c>
      <c r="B138" s="587" t="s">
        <v>636</v>
      </c>
      <c r="C138" s="606">
        <v>5198</v>
      </c>
      <c r="D138" s="606">
        <v>5053</v>
      </c>
      <c r="E138" s="607">
        <f t="shared" si="16"/>
        <v>-145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3231</v>
      </c>
      <c r="D139" s="606">
        <f>D140+D141</f>
        <v>3345</v>
      </c>
      <c r="E139" s="607">
        <f t="shared" si="16"/>
        <v>114</v>
      </c>
    </row>
    <row r="140" spans="1:5" s="421" customFormat="1" x14ac:dyDescent="0.2">
      <c r="A140" s="588">
        <v>4</v>
      </c>
      <c r="B140" s="587" t="s">
        <v>115</v>
      </c>
      <c r="C140" s="606">
        <v>3231</v>
      </c>
      <c r="D140" s="606">
        <v>3345</v>
      </c>
      <c r="E140" s="607">
        <f t="shared" si="16"/>
        <v>114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22</v>
      </c>
      <c r="D142" s="606">
        <v>25</v>
      </c>
      <c r="E142" s="607">
        <f t="shared" si="16"/>
        <v>3</v>
      </c>
    </row>
    <row r="143" spans="1:5" s="421" customFormat="1" x14ac:dyDescent="0.2">
      <c r="A143" s="588">
        <v>7</v>
      </c>
      <c r="B143" s="587" t="s">
        <v>759</v>
      </c>
      <c r="C143" s="606">
        <v>170</v>
      </c>
      <c r="D143" s="606">
        <v>178</v>
      </c>
      <c r="E143" s="607">
        <f t="shared" si="16"/>
        <v>8</v>
      </c>
    </row>
    <row r="144" spans="1:5" s="421" customFormat="1" x14ac:dyDescent="0.2">
      <c r="A144" s="588"/>
      <c r="B144" s="592" t="s">
        <v>808</v>
      </c>
      <c r="C144" s="608">
        <f>SUM(C138+C139+C142)</f>
        <v>8451</v>
      </c>
      <c r="D144" s="608">
        <f>SUM(D138+D139+D142)</f>
        <v>8423</v>
      </c>
      <c r="E144" s="609">
        <f t="shared" si="16"/>
        <v>-28</v>
      </c>
    </row>
    <row r="145" spans="1:5" s="421" customFormat="1" x14ac:dyDescent="0.2">
      <c r="A145" s="588"/>
      <c r="B145" s="592" t="s">
        <v>138</v>
      </c>
      <c r="C145" s="608">
        <f>SUM(C137+C144)</f>
        <v>12078</v>
      </c>
      <c r="D145" s="608">
        <f>SUM(D137+D144)</f>
        <v>11729</v>
      </c>
      <c r="E145" s="609">
        <f t="shared" si="16"/>
        <v>-349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12720</v>
      </c>
      <c r="D149" s="610">
        <v>12205</v>
      </c>
      <c r="E149" s="607">
        <f t="shared" ref="E149:E157" si="17">D149-C149</f>
        <v>-515</v>
      </c>
    </row>
    <row r="150" spans="1:5" s="421" customFormat="1" x14ac:dyDescent="0.2">
      <c r="A150" s="588">
        <v>2</v>
      </c>
      <c r="B150" s="587" t="s">
        <v>636</v>
      </c>
      <c r="C150" s="610">
        <v>26064</v>
      </c>
      <c r="D150" s="610">
        <v>26610</v>
      </c>
      <c r="E150" s="607">
        <f t="shared" si="17"/>
        <v>546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12716</v>
      </c>
      <c r="D151" s="610">
        <f>D152+D153</f>
        <v>12946</v>
      </c>
      <c r="E151" s="607">
        <f t="shared" si="17"/>
        <v>230</v>
      </c>
    </row>
    <row r="152" spans="1:5" s="421" customFormat="1" x14ac:dyDescent="0.2">
      <c r="A152" s="588">
        <v>4</v>
      </c>
      <c r="B152" s="587" t="s">
        <v>115</v>
      </c>
      <c r="C152" s="610">
        <v>12716</v>
      </c>
      <c r="D152" s="610">
        <v>12946</v>
      </c>
      <c r="E152" s="607">
        <f t="shared" si="17"/>
        <v>230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56</v>
      </c>
      <c r="D154" s="610">
        <v>72</v>
      </c>
      <c r="E154" s="607">
        <f t="shared" si="17"/>
        <v>16</v>
      </c>
    </row>
    <row r="155" spans="1:5" s="421" customFormat="1" x14ac:dyDescent="0.2">
      <c r="A155" s="588">
        <v>7</v>
      </c>
      <c r="B155" s="587" t="s">
        <v>759</v>
      </c>
      <c r="C155" s="610">
        <v>547</v>
      </c>
      <c r="D155" s="610">
        <v>529</v>
      </c>
      <c r="E155" s="607">
        <f t="shared" si="17"/>
        <v>-18</v>
      </c>
    </row>
    <row r="156" spans="1:5" s="421" customFormat="1" x14ac:dyDescent="0.2">
      <c r="A156" s="588"/>
      <c r="B156" s="592" t="s">
        <v>809</v>
      </c>
      <c r="C156" s="608">
        <f>SUM(C150+C151+C154)</f>
        <v>38836</v>
      </c>
      <c r="D156" s="608">
        <f>SUM(D150+D151+D154)</f>
        <v>39628</v>
      </c>
      <c r="E156" s="609">
        <f t="shared" si="17"/>
        <v>792</v>
      </c>
    </row>
    <row r="157" spans="1:5" s="421" customFormat="1" x14ac:dyDescent="0.2">
      <c r="A157" s="588"/>
      <c r="B157" s="592" t="s">
        <v>140</v>
      </c>
      <c r="C157" s="608">
        <f>SUM(C149+C156)</f>
        <v>51556</v>
      </c>
      <c r="D157" s="608">
        <f>SUM(D149+D156)</f>
        <v>51833</v>
      </c>
      <c r="E157" s="609">
        <f t="shared" si="17"/>
        <v>277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3.5070306038047971</v>
      </c>
      <c r="D161" s="612">
        <f t="shared" si="18"/>
        <v>3.691772534785239</v>
      </c>
      <c r="E161" s="613">
        <f t="shared" ref="E161:E169" si="19">D161-C161</f>
        <v>0.18474193098044189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5.0142362447095037</v>
      </c>
      <c r="D162" s="612">
        <f t="shared" si="18"/>
        <v>5.2661785078171386</v>
      </c>
      <c r="E162" s="613">
        <f t="shared" si="19"/>
        <v>0.2519422631076349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3.9356236459300526</v>
      </c>
      <c r="D163" s="612">
        <f t="shared" si="18"/>
        <v>3.870254110612855</v>
      </c>
      <c r="E163" s="613">
        <f t="shared" si="19"/>
        <v>-6.5369535317197691E-2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3.9356236459300526</v>
      </c>
      <c r="D164" s="612">
        <f t="shared" si="18"/>
        <v>3.870254110612855</v>
      </c>
      <c r="E164" s="613">
        <f t="shared" si="19"/>
        <v>-6.5369535317197691E-2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2.5454545454545454</v>
      </c>
      <c r="D166" s="612">
        <f t="shared" si="18"/>
        <v>2.88</v>
      </c>
      <c r="E166" s="613">
        <f t="shared" si="19"/>
        <v>0.33454545454545448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3.2176470588235295</v>
      </c>
      <c r="D167" s="612">
        <f t="shared" si="18"/>
        <v>2.9719101123595504</v>
      </c>
      <c r="E167" s="613">
        <f t="shared" si="19"/>
        <v>-0.24573694646397914</v>
      </c>
    </row>
    <row r="168" spans="1:5" s="421" customFormat="1" x14ac:dyDescent="0.2">
      <c r="A168" s="588"/>
      <c r="B168" s="592" t="s">
        <v>811</v>
      </c>
      <c r="C168" s="614">
        <f t="shared" si="18"/>
        <v>4.5954324931960713</v>
      </c>
      <c r="D168" s="614">
        <f t="shared" si="18"/>
        <v>4.7047370295619135</v>
      </c>
      <c r="E168" s="615">
        <f t="shared" si="19"/>
        <v>0.10930453636584225</v>
      </c>
    </row>
    <row r="169" spans="1:5" s="421" customFormat="1" x14ac:dyDescent="0.2">
      <c r="A169" s="588"/>
      <c r="B169" s="592" t="s">
        <v>745</v>
      </c>
      <c r="C169" s="614">
        <f t="shared" si="18"/>
        <v>4.2685875144891536</v>
      </c>
      <c r="D169" s="614">
        <f t="shared" si="18"/>
        <v>4.4192173245801003</v>
      </c>
      <c r="E169" s="615">
        <f t="shared" si="19"/>
        <v>0.15062981009094667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1.2172000000000001</v>
      </c>
      <c r="D173" s="617">
        <f t="shared" si="20"/>
        <v>1.1974</v>
      </c>
      <c r="E173" s="618">
        <f t="shared" ref="E173:E181" si="21">D173-C173</f>
        <v>-1.980000000000004E-2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1.5007999999999999</v>
      </c>
      <c r="D174" s="617">
        <f t="shared" si="20"/>
        <v>1.49895</v>
      </c>
      <c r="E174" s="618">
        <f t="shared" si="21"/>
        <v>-1.8499999999999073E-3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1.0064</v>
      </c>
      <c r="D175" s="617">
        <f t="shared" si="20"/>
        <v>1.0439700000000001</v>
      </c>
      <c r="E175" s="618">
        <f t="shared" si="21"/>
        <v>3.7570000000000103E-2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1.0064</v>
      </c>
      <c r="D176" s="617">
        <f t="shared" si="20"/>
        <v>1.0439700000000001</v>
      </c>
      <c r="E176" s="618">
        <f t="shared" si="21"/>
        <v>3.7570000000000103E-2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0.63800000000000001</v>
      </c>
      <c r="D178" s="617">
        <f t="shared" si="20"/>
        <v>0.73607</v>
      </c>
      <c r="E178" s="618">
        <f t="shared" si="21"/>
        <v>9.8069999999999991E-2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1.0139</v>
      </c>
      <c r="D179" s="617">
        <f t="shared" si="20"/>
        <v>0.93111999999999984</v>
      </c>
      <c r="E179" s="618">
        <f t="shared" si="21"/>
        <v>-8.2780000000000187E-2</v>
      </c>
    </row>
    <row r="180" spans="1:5" s="421" customFormat="1" x14ac:dyDescent="0.2">
      <c r="A180" s="588"/>
      <c r="B180" s="592" t="s">
        <v>813</v>
      </c>
      <c r="C180" s="619">
        <f t="shared" si="20"/>
        <v>1.3095341143059991</v>
      </c>
      <c r="D180" s="619">
        <f t="shared" si="20"/>
        <v>1.3160009200997269</v>
      </c>
      <c r="E180" s="620">
        <f t="shared" si="21"/>
        <v>6.4668057937278256E-3</v>
      </c>
    </row>
    <row r="181" spans="1:5" s="421" customFormat="1" x14ac:dyDescent="0.2">
      <c r="A181" s="588"/>
      <c r="B181" s="592" t="s">
        <v>724</v>
      </c>
      <c r="C181" s="619">
        <f t="shared" si="20"/>
        <v>1.2818063586686537</v>
      </c>
      <c r="D181" s="619">
        <f t="shared" si="20"/>
        <v>1.2825714170005968</v>
      </c>
      <c r="E181" s="620">
        <f t="shared" si="21"/>
        <v>7.6505833194318029E-4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210325531</v>
      </c>
      <c r="D185" s="589">
        <v>211127757</v>
      </c>
      <c r="E185" s="590">
        <f>D185-C185</f>
        <v>802226</v>
      </c>
    </row>
    <row r="186" spans="1:5" s="421" customFormat="1" ht="25.5" x14ac:dyDescent="0.2">
      <c r="A186" s="588">
        <v>2</v>
      </c>
      <c r="B186" s="587" t="s">
        <v>816</v>
      </c>
      <c r="C186" s="589">
        <v>85486463</v>
      </c>
      <c r="D186" s="589">
        <v>80113195</v>
      </c>
      <c r="E186" s="590">
        <f>D186-C186</f>
        <v>-5373268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124839068</v>
      </c>
      <c r="D188" s="622">
        <f>+D185-D186</f>
        <v>131014562</v>
      </c>
      <c r="E188" s="590">
        <f t="shared" ref="E188:E197" si="22">D188-C188</f>
        <v>6175494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0.59355165968890389</v>
      </c>
      <c r="D189" s="623">
        <f>IF(D185=0,0,+D188/D185)</f>
        <v>0.6205463642565956</v>
      </c>
      <c r="E189" s="599">
        <f t="shared" si="22"/>
        <v>2.6994704567691707E-2</v>
      </c>
    </row>
    <row r="190" spans="1:5" s="421" customFormat="1" x14ac:dyDescent="0.2">
      <c r="A190" s="588">
        <v>5</v>
      </c>
      <c r="B190" s="587" t="s">
        <v>763</v>
      </c>
      <c r="C190" s="589">
        <v>9490298</v>
      </c>
      <c r="D190" s="589">
        <v>10496927</v>
      </c>
      <c r="E190" s="622">
        <f t="shared" si="22"/>
        <v>1006629</v>
      </c>
    </row>
    <row r="191" spans="1:5" s="421" customFormat="1" x14ac:dyDescent="0.2">
      <c r="A191" s="588">
        <v>6</v>
      </c>
      <c r="B191" s="587" t="s">
        <v>749</v>
      </c>
      <c r="C191" s="589">
        <v>6038912</v>
      </c>
      <c r="D191" s="589">
        <v>6624781</v>
      </c>
      <c r="E191" s="622">
        <f t="shared" si="22"/>
        <v>585869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384059</v>
      </c>
      <c r="D193" s="589">
        <v>248631</v>
      </c>
      <c r="E193" s="622">
        <f t="shared" si="22"/>
        <v>-135428</v>
      </c>
    </row>
    <row r="194" spans="1:5" s="421" customFormat="1" x14ac:dyDescent="0.2">
      <c r="A194" s="588">
        <v>9</v>
      </c>
      <c r="B194" s="587" t="s">
        <v>819</v>
      </c>
      <c r="C194" s="589">
        <v>10501359</v>
      </c>
      <c r="D194" s="589">
        <v>12069248</v>
      </c>
      <c r="E194" s="622">
        <f t="shared" si="22"/>
        <v>1567889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10885418</v>
      </c>
      <c r="D195" s="589">
        <f>+D193+D194</f>
        <v>12317879</v>
      </c>
      <c r="E195" s="625">
        <f t="shared" si="22"/>
        <v>1432461</v>
      </c>
    </row>
    <row r="196" spans="1:5" s="421" customFormat="1" x14ac:dyDescent="0.2">
      <c r="A196" s="588">
        <v>11</v>
      </c>
      <c r="B196" s="587" t="s">
        <v>821</v>
      </c>
      <c r="C196" s="589">
        <v>7571760</v>
      </c>
      <c r="D196" s="589">
        <v>5912911</v>
      </c>
      <c r="E196" s="622">
        <f t="shared" si="22"/>
        <v>-1658849</v>
      </c>
    </row>
    <row r="197" spans="1:5" s="421" customFormat="1" x14ac:dyDescent="0.2">
      <c r="A197" s="588">
        <v>12</v>
      </c>
      <c r="B197" s="587" t="s">
        <v>711</v>
      </c>
      <c r="C197" s="589">
        <v>218384632</v>
      </c>
      <c r="D197" s="589">
        <v>221915377</v>
      </c>
      <c r="E197" s="622">
        <f t="shared" si="22"/>
        <v>3530745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4414.7844000000005</v>
      </c>
      <c r="D203" s="629">
        <v>3958.6044000000002</v>
      </c>
      <c r="E203" s="630">
        <f t="shared" ref="E203:E211" si="23">D203-C203</f>
        <v>-456.18000000000029</v>
      </c>
    </row>
    <row r="204" spans="1:5" s="421" customFormat="1" x14ac:dyDescent="0.2">
      <c r="A204" s="588">
        <v>2</v>
      </c>
      <c r="B204" s="587" t="s">
        <v>636</v>
      </c>
      <c r="C204" s="629">
        <v>7801.1583999999993</v>
      </c>
      <c r="D204" s="629">
        <v>7574.1943499999998</v>
      </c>
      <c r="E204" s="630">
        <f t="shared" si="23"/>
        <v>-226.96404999999959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3251.6783999999998</v>
      </c>
      <c r="D205" s="629">
        <f>D206+D207</f>
        <v>3492.0796500000001</v>
      </c>
      <c r="E205" s="630">
        <f t="shared" si="23"/>
        <v>240.40125000000035</v>
      </c>
    </row>
    <row r="206" spans="1:5" s="421" customFormat="1" x14ac:dyDescent="0.2">
      <c r="A206" s="588">
        <v>4</v>
      </c>
      <c r="B206" s="587" t="s">
        <v>115</v>
      </c>
      <c r="C206" s="629">
        <v>3251.6783999999998</v>
      </c>
      <c r="D206" s="629">
        <v>3492.0796500000001</v>
      </c>
      <c r="E206" s="630">
        <f t="shared" si="23"/>
        <v>240.40125000000035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14.036</v>
      </c>
      <c r="D208" s="629">
        <v>18.40175</v>
      </c>
      <c r="E208" s="630">
        <f t="shared" si="23"/>
        <v>4.3657500000000002</v>
      </c>
    </row>
    <row r="209" spans="1:5" s="421" customFormat="1" x14ac:dyDescent="0.2">
      <c r="A209" s="588">
        <v>7</v>
      </c>
      <c r="B209" s="587" t="s">
        <v>759</v>
      </c>
      <c r="C209" s="629">
        <v>172.363</v>
      </c>
      <c r="D209" s="629">
        <v>165.73935999999998</v>
      </c>
      <c r="E209" s="630">
        <f t="shared" si="23"/>
        <v>-6.6236400000000231</v>
      </c>
    </row>
    <row r="210" spans="1:5" s="421" customFormat="1" x14ac:dyDescent="0.2">
      <c r="A210" s="588"/>
      <c r="B210" s="592" t="s">
        <v>824</v>
      </c>
      <c r="C210" s="631">
        <f>C204+C205+C208</f>
        <v>11066.872799999999</v>
      </c>
      <c r="D210" s="631">
        <f>D204+D205+D208</f>
        <v>11084.67575</v>
      </c>
      <c r="E210" s="632">
        <f t="shared" si="23"/>
        <v>17.802950000001147</v>
      </c>
    </row>
    <row r="211" spans="1:5" s="421" customFormat="1" x14ac:dyDescent="0.2">
      <c r="A211" s="588"/>
      <c r="B211" s="592" t="s">
        <v>725</v>
      </c>
      <c r="C211" s="631">
        <f>C210+C203</f>
        <v>15481.6572</v>
      </c>
      <c r="D211" s="631">
        <f>D210+D203</f>
        <v>15043.280150000001</v>
      </c>
      <c r="E211" s="632">
        <f t="shared" si="23"/>
        <v>-438.37704999999914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7296.4487809429475</v>
      </c>
      <c r="D215" s="633">
        <f>IF(D14*D137=0,0,D25/D14*D137)</f>
        <v>6594.8180317327924</v>
      </c>
      <c r="E215" s="633">
        <f t="shared" ref="E215:E223" si="24">D215-C215</f>
        <v>-701.63074921015505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3577.6154500462781</v>
      </c>
      <c r="D216" s="633">
        <f>IF(D15*D138=0,0,D26/D15*D138)</f>
        <v>3447.5913030162283</v>
      </c>
      <c r="E216" s="633">
        <f t="shared" si="24"/>
        <v>-130.02414703004979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6480.5641007109753</v>
      </c>
      <c r="D217" s="633">
        <f>D218+D219</f>
        <v>6159.5908724602468</v>
      </c>
      <c r="E217" s="633">
        <f t="shared" si="24"/>
        <v>-320.97322825072843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6480.5641007109753</v>
      </c>
      <c r="D218" s="633">
        <f t="shared" si="25"/>
        <v>6159.5908724602468</v>
      </c>
      <c r="E218" s="633">
        <f t="shared" si="24"/>
        <v>-320.97322825072843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103.10790212595268</v>
      </c>
      <c r="D220" s="633">
        <f t="shared" si="25"/>
        <v>47.479774410884289</v>
      </c>
      <c r="E220" s="633">
        <f t="shared" si="24"/>
        <v>-55.628127715068388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959.74929045843578</v>
      </c>
      <c r="D221" s="633">
        <f t="shared" si="25"/>
        <v>1072.8811993218774</v>
      </c>
      <c r="E221" s="633">
        <f t="shared" si="24"/>
        <v>113.13190886344159</v>
      </c>
    </row>
    <row r="222" spans="1:5" s="421" customFormat="1" x14ac:dyDescent="0.2">
      <c r="A222" s="588"/>
      <c r="B222" s="592" t="s">
        <v>826</v>
      </c>
      <c r="C222" s="634">
        <f>C216+C218+C219+C220</f>
        <v>10161.287452883205</v>
      </c>
      <c r="D222" s="634">
        <f>D216+D218+D219+D220</f>
        <v>9654.6619498873588</v>
      </c>
      <c r="E222" s="634">
        <f t="shared" si="24"/>
        <v>-506.62550299584655</v>
      </c>
    </row>
    <row r="223" spans="1:5" s="421" customFormat="1" x14ac:dyDescent="0.2">
      <c r="A223" s="588"/>
      <c r="B223" s="592" t="s">
        <v>827</v>
      </c>
      <c r="C223" s="634">
        <f>C215+C222</f>
        <v>17457.736233826152</v>
      </c>
      <c r="D223" s="634">
        <f>D215+D222</f>
        <v>16249.479981620152</v>
      </c>
      <c r="E223" s="634">
        <f t="shared" si="24"/>
        <v>-1208.2562522059998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8610.5101757630564</v>
      </c>
      <c r="D227" s="636">
        <f t="shared" si="26"/>
        <v>8665.0146197988361</v>
      </c>
      <c r="E227" s="636">
        <f t="shared" ref="E227:E235" si="27">D227-C227</f>
        <v>54.50444403577967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8390.8050117274906</v>
      </c>
      <c r="D228" s="636">
        <f t="shared" si="26"/>
        <v>8375.5942967056289</v>
      </c>
      <c r="E228" s="636">
        <f t="shared" si="27"/>
        <v>-15.210715021861688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5973.3253448434507</v>
      </c>
      <c r="D229" s="636">
        <f t="shared" si="26"/>
        <v>6207.8423669402846</v>
      </c>
      <c r="E229" s="636">
        <f t="shared" si="27"/>
        <v>234.5170220968339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5973.3253448434507</v>
      </c>
      <c r="D230" s="636">
        <f t="shared" si="26"/>
        <v>6207.8423669402846</v>
      </c>
      <c r="E230" s="636">
        <f t="shared" si="27"/>
        <v>234.5170220968339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3748.4326018808779</v>
      </c>
      <c r="D232" s="636">
        <f t="shared" si="26"/>
        <v>5256.0761884059939</v>
      </c>
      <c r="E232" s="636">
        <f t="shared" si="27"/>
        <v>1507.643586525116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556.11703207765004</v>
      </c>
      <c r="D233" s="636">
        <f t="shared" si="26"/>
        <v>225.86668610280626</v>
      </c>
      <c r="E233" s="636">
        <f t="shared" si="27"/>
        <v>-330.25034597484375</v>
      </c>
    </row>
    <row r="234" spans="1:5" x14ac:dyDescent="0.2">
      <c r="A234" s="588"/>
      <c r="B234" s="592" t="s">
        <v>829</v>
      </c>
      <c r="C234" s="637">
        <f t="shared" si="26"/>
        <v>7674.611115074893</v>
      </c>
      <c r="D234" s="637">
        <f t="shared" si="26"/>
        <v>7687.4941515542296</v>
      </c>
      <c r="E234" s="637">
        <f t="shared" si="27"/>
        <v>12.883036479336624</v>
      </c>
    </row>
    <row r="235" spans="1:5" s="421" customFormat="1" x14ac:dyDescent="0.2">
      <c r="A235" s="588"/>
      <c r="B235" s="592" t="s">
        <v>830</v>
      </c>
      <c r="C235" s="637">
        <f t="shared" si="26"/>
        <v>7941.4942090308004</v>
      </c>
      <c r="D235" s="637">
        <f t="shared" si="26"/>
        <v>7944.7264033037363</v>
      </c>
      <c r="E235" s="637">
        <f t="shared" si="27"/>
        <v>3.2321942729358852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6506.3044263383281</v>
      </c>
      <c r="D239" s="636">
        <f t="shared" si="28"/>
        <v>6946.6404955472162</v>
      </c>
      <c r="E239" s="638">
        <f t="shared" ref="E239:E247" si="29">D239-C239</f>
        <v>440.33606920888815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5484.6162965184485</v>
      </c>
      <c r="D240" s="636">
        <f t="shared" si="28"/>
        <v>5711.9006486562384</v>
      </c>
      <c r="E240" s="638">
        <f t="shared" si="29"/>
        <v>227.28435213778994</v>
      </c>
    </row>
    <row r="241" spans="1:5" x14ac:dyDescent="0.2">
      <c r="A241" s="588">
        <v>3</v>
      </c>
      <c r="B241" s="587" t="s">
        <v>778</v>
      </c>
      <c r="C241" s="636">
        <f t="shared" si="28"/>
        <v>2975.3865096226073</v>
      </c>
      <c r="D241" s="636">
        <f t="shared" si="28"/>
        <v>4288.3999192383826</v>
      </c>
      <c r="E241" s="638">
        <f t="shared" si="29"/>
        <v>1313.0134096157753</v>
      </c>
    </row>
    <row r="242" spans="1:5" x14ac:dyDescent="0.2">
      <c r="A242" s="588">
        <v>4</v>
      </c>
      <c r="B242" s="587" t="s">
        <v>115</v>
      </c>
      <c r="C242" s="636">
        <f t="shared" si="28"/>
        <v>2975.3865096226073</v>
      </c>
      <c r="D242" s="636">
        <f t="shared" si="28"/>
        <v>4288.3999192383826</v>
      </c>
      <c r="E242" s="638">
        <f t="shared" si="29"/>
        <v>1313.0134096157753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1531.8806487504278</v>
      </c>
      <c r="D244" s="636">
        <f t="shared" si="28"/>
        <v>3308.8826126348476</v>
      </c>
      <c r="E244" s="638">
        <f t="shared" si="29"/>
        <v>1777.0019638844199</v>
      </c>
    </row>
    <row r="245" spans="1:5" x14ac:dyDescent="0.2">
      <c r="A245" s="588">
        <v>7</v>
      </c>
      <c r="B245" s="587" t="s">
        <v>759</v>
      </c>
      <c r="C245" s="636">
        <f t="shared" si="28"/>
        <v>441.99563804561228</v>
      </c>
      <c r="D245" s="636">
        <f t="shared" si="28"/>
        <v>194.55369348622312</v>
      </c>
      <c r="E245" s="638">
        <f t="shared" si="29"/>
        <v>-247.44194455938916</v>
      </c>
    </row>
    <row r="246" spans="1:5" ht="25.5" x14ac:dyDescent="0.2">
      <c r="A246" s="588"/>
      <c r="B246" s="592" t="s">
        <v>832</v>
      </c>
      <c r="C246" s="637">
        <f t="shared" si="28"/>
        <v>3844.1959428001805</v>
      </c>
      <c r="D246" s="637">
        <f t="shared" si="28"/>
        <v>4791.9019060568726</v>
      </c>
      <c r="E246" s="639">
        <f t="shared" si="29"/>
        <v>947.70596325669203</v>
      </c>
    </row>
    <row r="247" spans="1:5" x14ac:dyDescent="0.2">
      <c r="A247" s="588"/>
      <c r="B247" s="592" t="s">
        <v>833</v>
      </c>
      <c r="C247" s="637">
        <f t="shared" si="28"/>
        <v>4956.8223417380868</v>
      </c>
      <c r="D247" s="637">
        <f t="shared" si="28"/>
        <v>5666.3981311492762</v>
      </c>
      <c r="E247" s="639">
        <f t="shared" si="29"/>
        <v>709.57578941118936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16261224.477391839</v>
      </c>
      <c r="D251" s="622">
        <f>((IF((IF(D15=0,0,D26/D15)*D138)=0,0,D59/(IF(D15=0,0,D26/D15)*D138)))-(IF((IF(D17=0,0,D28/D17)*D140)=0,0,D61/(IF(D17=0,0,D28/D17)*D140))))*(IF(D17=0,0,D28/D17)*D140)</f>
        <v>8768182.0998627283</v>
      </c>
      <c r="E251" s="622">
        <f>D251-C251</f>
        <v>-7493042.3775291108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6190061.92325674</v>
      </c>
      <c r="D253" s="622">
        <f>IF(D233=0,0,(D228-D233)*D209+IF(D221=0,0,(D240-D245)*D221))</f>
        <v>7270188.456693355</v>
      </c>
      <c r="E253" s="622">
        <f>D253-C253</f>
        <v>1080126.533436615</v>
      </c>
    </row>
    <row r="254" spans="1:5" ht="15" customHeight="1" x14ac:dyDescent="0.2">
      <c r="A254" s="588"/>
      <c r="B254" s="592" t="s">
        <v>760</v>
      </c>
      <c r="C254" s="640">
        <f>+C251+C252+C253</f>
        <v>22451286.400648579</v>
      </c>
      <c r="D254" s="640">
        <f>+D251+D252+D253</f>
        <v>16038370.556556083</v>
      </c>
      <c r="E254" s="640">
        <f>D254-C254</f>
        <v>-6412915.8440924957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568562940</v>
      </c>
      <c r="D258" s="625">
        <f>+D44</f>
        <v>598602640</v>
      </c>
      <c r="E258" s="622">
        <f t="shared" ref="E258:E271" si="30">D258-C258</f>
        <v>30039700</v>
      </c>
    </row>
    <row r="259" spans="1:5" x14ac:dyDescent="0.2">
      <c r="A259" s="588">
        <v>2</v>
      </c>
      <c r="B259" s="587" t="s">
        <v>743</v>
      </c>
      <c r="C259" s="622">
        <f>+(C43-C76)</f>
        <v>234241484</v>
      </c>
      <c r="D259" s="625">
        <f>+(D43-D76)</f>
        <v>255997310</v>
      </c>
      <c r="E259" s="622">
        <f t="shared" si="30"/>
        <v>21755826</v>
      </c>
    </row>
    <row r="260" spans="1:5" x14ac:dyDescent="0.2">
      <c r="A260" s="588">
        <v>3</v>
      </c>
      <c r="B260" s="587" t="s">
        <v>747</v>
      </c>
      <c r="C260" s="622">
        <f>C195</f>
        <v>10885418</v>
      </c>
      <c r="D260" s="622">
        <f>D195</f>
        <v>12317879</v>
      </c>
      <c r="E260" s="622">
        <f t="shared" si="30"/>
        <v>1432461</v>
      </c>
    </row>
    <row r="261" spans="1:5" x14ac:dyDescent="0.2">
      <c r="A261" s="588">
        <v>4</v>
      </c>
      <c r="B261" s="587" t="s">
        <v>748</v>
      </c>
      <c r="C261" s="622">
        <f>C188</f>
        <v>124839068</v>
      </c>
      <c r="D261" s="622">
        <f>D188</f>
        <v>131014562</v>
      </c>
      <c r="E261" s="622">
        <f t="shared" si="30"/>
        <v>6175494</v>
      </c>
    </row>
    <row r="262" spans="1:5" x14ac:dyDescent="0.2">
      <c r="A262" s="588">
        <v>5</v>
      </c>
      <c r="B262" s="587" t="s">
        <v>749</v>
      </c>
      <c r="C262" s="622">
        <f>C191</f>
        <v>6038912</v>
      </c>
      <c r="D262" s="622">
        <f>D191</f>
        <v>6624781</v>
      </c>
      <c r="E262" s="622">
        <f t="shared" si="30"/>
        <v>585869</v>
      </c>
    </row>
    <row r="263" spans="1:5" x14ac:dyDescent="0.2">
      <c r="A263" s="588">
        <v>6</v>
      </c>
      <c r="B263" s="587" t="s">
        <v>750</v>
      </c>
      <c r="C263" s="622">
        <f>+C259+C260+C261+C262</f>
        <v>376004882</v>
      </c>
      <c r="D263" s="622">
        <f>+D259+D260+D261+D262</f>
        <v>405954532</v>
      </c>
      <c r="E263" s="622">
        <f t="shared" si="30"/>
        <v>29949650</v>
      </c>
    </row>
    <row r="264" spans="1:5" x14ac:dyDescent="0.2">
      <c r="A264" s="588">
        <v>7</v>
      </c>
      <c r="B264" s="587" t="s">
        <v>655</v>
      </c>
      <c r="C264" s="622">
        <f>+C258-C263</f>
        <v>192558058</v>
      </c>
      <c r="D264" s="622">
        <f>+D258-D263</f>
        <v>192648108</v>
      </c>
      <c r="E264" s="622">
        <f t="shared" si="30"/>
        <v>90050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192558058</v>
      </c>
      <c r="D266" s="622">
        <f>+D264+D265</f>
        <v>192648108</v>
      </c>
      <c r="E266" s="641">
        <f t="shared" si="30"/>
        <v>90050</v>
      </c>
    </row>
    <row r="267" spans="1:5" x14ac:dyDescent="0.2">
      <c r="A267" s="588">
        <v>10</v>
      </c>
      <c r="B267" s="587" t="s">
        <v>838</v>
      </c>
      <c r="C267" s="642">
        <f>IF(C258=0,0,C266/C258)</f>
        <v>0.33867500755501229</v>
      </c>
      <c r="D267" s="642">
        <f>IF(D258=0,0,D266/D258)</f>
        <v>0.32182969991579052</v>
      </c>
      <c r="E267" s="643">
        <f t="shared" si="30"/>
        <v>-1.6845307639221763E-2</v>
      </c>
    </row>
    <row r="268" spans="1:5" x14ac:dyDescent="0.2">
      <c r="A268" s="588">
        <v>11</v>
      </c>
      <c r="B268" s="587" t="s">
        <v>717</v>
      </c>
      <c r="C268" s="622">
        <f>+C260*C267</f>
        <v>3686619.0233894666</v>
      </c>
      <c r="D268" s="644">
        <f>+D260*D267</f>
        <v>3964259.302169018</v>
      </c>
      <c r="E268" s="622">
        <f t="shared" si="30"/>
        <v>277640.27877955139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6592750.5657436997</v>
      </c>
      <c r="D269" s="644">
        <f>((D17+D18+D28+D29)*D267)-(D50+D51+D61+D62)</f>
        <v>2213314.1179844067</v>
      </c>
      <c r="E269" s="622">
        <f t="shared" si="30"/>
        <v>-4379436.447759293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10279369.589133166</v>
      </c>
      <c r="D271" s="622">
        <f>+D268+D269+D270</f>
        <v>6177573.4201534241</v>
      </c>
      <c r="E271" s="625">
        <f t="shared" si="30"/>
        <v>-4101796.1689797416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0.54432541282715707</v>
      </c>
      <c r="D276" s="623">
        <f t="shared" si="31"/>
        <v>0.48655764237450538</v>
      </c>
      <c r="E276" s="650">
        <f t="shared" ref="E276:E284" si="32">D276-C276</f>
        <v>-5.776777045265169E-2</v>
      </c>
    </row>
    <row r="277" spans="1:5" x14ac:dyDescent="0.2">
      <c r="A277" s="588">
        <v>2</v>
      </c>
      <c r="B277" s="587" t="s">
        <v>636</v>
      </c>
      <c r="C277" s="623">
        <f t="shared" si="31"/>
        <v>0.49403014694902719</v>
      </c>
      <c r="D277" s="623">
        <f t="shared" si="31"/>
        <v>0.46363566993240224</v>
      </c>
      <c r="E277" s="650">
        <f t="shared" si="32"/>
        <v>-3.0394477016624954E-2</v>
      </c>
    </row>
    <row r="278" spans="1:5" x14ac:dyDescent="0.2">
      <c r="A278" s="588">
        <v>3</v>
      </c>
      <c r="B278" s="587" t="s">
        <v>778</v>
      </c>
      <c r="C278" s="623">
        <f t="shared" si="31"/>
        <v>0.43649326295446783</v>
      </c>
      <c r="D278" s="623">
        <f t="shared" si="31"/>
        <v>0.39406254054208223</v>
      </c>
      <c r="E278" s="650">
        <f t="shared" si="32"/>
        <v>-4.2430722412385602E-2</v>
      </c>
    </row>
    <row r="279" spans="1:5" x14ac:dyDescent="0.2">
      <c r="A279" s="588">
        <v>4</v>
      </c>
      <c r="B279" s="587" t="s">
        <v>115</v>
      </c>
      <c r="C279" s="623">
        <f t="shared" si="31"/>
        <v>0.43649326295446783</v>
      </c>
      <c r="D279" s="623">
        <f t="shared" si="31"/>
        <v>0.39406254054208223</v>
      </c>
      <c r="E279" s="650">
        <f t="shared" si="32"/>
        <v>-4.2430722412385602E-2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0.37686235745802532</v>
      </c>
      <c r="D281" s="623">
        <f t="shared" si="31"/>
        <v>0.28694377775734042</v>
      </c>
      <c r="E281" s="650">
        <f t="shared" si="32"/>
        <v>-8.9918579700684897E-2</v>
      </c>
    </row>
    <row r="282" spans="1:5" x14ac:dyDescent="0.2">
      <c r="A282" s="588">
        <v>7</v>
      </c>
      <c r="B282" s="587" t="s">
        <v>759</v>
      </c>
      <c r="C282" s="623">
        <f t="shared" si="31"/>
        <v>5.5850870124323451E-2</v>
      </c>
      <c r="D282" s="623">
        <f t="shared" si="31"/>
        <v>2.0938241277224327E-2</v>
      </c>
      <c r="E282" s="650">
        <f t="shared" si="32"/>
        <v>-3.4912628847099128E-2</v>
      </c>
    </row>
    <row r="283" spans="1:5" ht="29.25" customHeight="1" x14ac:dyDescent="0.2">
      <c r="A283" s="588"/>
      <c r="B283" s="592" t="s">
        <v>845</v>
      </c>
      <c r="C283" s="651">
        <f t="shared" si="31"/>
        <v>0.47948389470453689</v>
      </c>
      <c r="D283" s="651">
        <f t="shared" si="31"/>
        <v>0.44340990977000072</v>
      </c>
      <c r="E283" s="652">
        <f t="shared" si="32"/>
        <v>-3.6073984934536174E-2</v>
      </c>
    </row>
    <row r="284" spans="1:5" x14ac:dyDescent="0.2">
      <c r="A284" s="588"/>
      <c r="B284" s="592" t="s">
        <v>846</v>
      </c>
      <c r="C284" s="651">
        <f t="shared" si="31"/>
        <v>0.49781905858361103</v>
      </c>
      <c r="D284" s="651">
        <f t="shared" si="31"/>
        <v>0.45499009582116051</v>
      </c>
      <c r="E284" s="652">
        <f t="shared" si="32"/>
        <v>-4.2828962762450518E-2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0.33791086995676772</v>
      </c>
      <c r="D287" s="623">
        <f t="shared" si="33"/>
        <v>0.32576210942400669</v>
      </c>
      <c r="E287" s="650">
        <f t="shared" ref="E287:E295" si="34">D287-C287</f>
        <v>-1.2148760532761038E-2</v>
      </c>
    </row>
    <row r="288" spans="1:5" x14ac:dyDescent="0.2">
      <c r="A288" s="588">
        <v>2</v>
      </c>
      <c r="B288" s="587" t="s">
        <v>636</v>
      </c>
      <c r="C288" s="623">
        <f t="shared" si="33"/>
        <v>0.21516580428980028</v>
      </c>
      <c r="D288" s="623">
        <f t="shared" si="33"/>
        <v>0.21093794319646983</v>
      </c>
      <c r="E288" s="650">
        <f t="shared" si="34"/>
        <v>-4.2278610933304539E-3</v>
      </c>
    </row>
    <row r="289" spans="1:5" x14ac:dyDescent="0.2">
      <c r="A289" s="588">
        <v>3</v>
      </c>
      <c r="B289" s="587" t="s">
        <v>778</v>
      </c>
      <c r="C289" s="623">
        <f t="shared" si="33"/>
        <v>0.21603998411524006</v>
      </c>
      <c r="D289" s="623">
        <f t="shared" si="33"/>
        <v>0.2607544524166065</v>
      </c>
      <c r="E289" s="650">
        <f t="shared" si="34"/>
        <v>4.4714468301366439E-2</v>
      </c>
    </row>
    <row r="290" spans="1:5" x14ac:dyDescent="0.2">
      <c r="A290" s="588">
        <v>4</v>
      </c>
      <c r="B290" s="587" t="s">
        <v>115</v>
      </c>
      <c r="C290" s="623">
        <f t="shared" si="33"/>
        <v>0.21603998411524006</v>
      </c>
      <c r="D290" s="623">
        <f t="shared" si="33"/>
        <v>0.2607544524166065</v>
      </c>
      <c r="E290" s="650">
        <f t="shared" si="34"/>
        <v>4.4714468301366439E-2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0.24140002200811855</v>
      </c>
      <c r="D292" s="623">
        <f t="shared" si="33"/>
        <v>0.24541290852685085</v>
      </c>
      <c r="E292" s="650">
        <f t="shared" si="34"/>
        <v>4.0128865187323004E-3</v>
      </c>
    </row>
    <row r="293" spans="1:5" x14ac:dyDescent="0.2">
      <c r="A293" s="588">
        <v>7</v>
      </c>
      <c r="B293" s="587" t="s">
        <v>759</v>
      </c>
      <c r="C293" s="623">
        <f t="shared" si="33"/>
        <v>4.3781093808505693E-2</v>
      </c>
      <c r="D293" s="623">
        <f t="shared" si="33"/>
        <v>1.9369653192332425E-2</v>
      </c>
      <c r="E293" s="650">
        <f t="shared" si="34"/>
        <v>-2.4411440616173268E-2</v>
      </c>
    </row>
    <row r="294" spans="1:5" ht="29.25" customHeight="1" x14ac:dyDescent="0.2">
      <c r="A294" s="588"/>
      <c r="B294" s="592" t="s">
        <v>848</v>
      </c>
      <c r="C294" s="651">
        <f t="shared" si="33"/>
        <v>0.2156914119247009</v>
      </c>
      <c r="D294" s="651">
        <f t="shared" si="33"/>
        <v>0.23689092687878777</v>
      </c>
      <c r="E294" s="652">
        <f t="shared" si="34"/>
        <v>2.1199514954086868E-2</v>
      </c>
    </row>
    <row r="295" spans="1:5" x14ac:dyDescent="0.2">
      <c r="A295" s="588"/>
      <c r="B295" s="592" t="s">
        <v>849</v>
      </c>
      <c r="C295" s="651">
        <f t="shared" si="33"/>
        <v>0.26908395862972329</v>
      </c>
      <c r="D295" s="651">
        <f t="shared" si="33"/>
        <v>0.27409520837394169</v>
      </c>
      <c r="E295" s="652">
        <f t="shared" si="34"/>
        <v>5.0112497442184045E-3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209482388</v>
      </c>
      <c r="D301" s="590">
        <f>+D48+D47+D50+D51+D52+D59+D58+D61+D62+D63</f>
        <v>211590768</v>
      </c>
      <c r="E301" s="590">
        <f>D301-C301</f>
        <v>2108380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209482388</v>
      </c>
      <c r="D303" s="593">
        <f>+D301+D302</f>
        <v>211590768</v>
      </c>
      <c r="E303" s="593">
        <f>D303-C303</f>
        <v>2108380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16260614</v>
      </c>
      <c r="D305" s="654">
        <v>15900232</v>
      </c>
      <c r="E305" s="655">
        <f>D305-C305</f>
        <v>-360382</v>
      </c>
    </row>
    <row r="306" spans="1:5" x14ac:dyDescent="0.2">
      <c r="A306" s="588">
        <v>4</v>
      </c>
      <c r="B306" s="592" t="s">
        <v>856</v>
      </c>
      <c r="C306" s="593">
        <f>+C303+C305+C194+C190-C191</f>
        <v>239695747</v>
      </c>
      <c r="D306" s="593">
        <f>+D303+D305</f>
        <v>227491000</v>
      </c>
      <c r="E306" s="656">
        <f>D306-C306</f>
        <v>-12204747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225742944</v>
      </c>
      <c r="D308" s="589">
        <v>227491163</v>
      </c>
      <c r="E308" s="590">
        <f>D308-C308</f>
        <v>1748219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13952803</v>
      </c>
      <c r="D310" s="658">
        <f>D306-D308</f>
        <v>-163</v>
      </c>
      <c r="E310" s="656">
        <f>D310-C310</f>
        <v>-13952966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568562940</v>
      </c>
      <c r="D314" s="590">
        <f>+D14+D15+D16+D19+D25+D26+D27+D30</f>
        <v>598602640</v>
      </c>
      <c r="E314" s="590">
        <f>D314-C314</f>
        <v>30039700</v>
      </c>
    </row>
    <row r="315" spans="1:5" x14ac:dyDescent="0.2">
      <c r="A315" s="588">
        <v>2</v>
      </c>
      <c r="B315" s="659" t="s">
        <v>861</v>
      </c>
      <c r="C315" s="589">
        <v>0</v>
      </c>
      <c r="D315" s="589">
        <v>2983595</v>
      </c>
      <c r="E315" s="590">
        <f>D315-C315</f>
        <v>2983595</v>
      </c>
    </row>
    <row r="316" spans="1:5" x14ac:dyDescent="0.2">
      <c r="A316" s="588"/>
      <c r="B316" s="592" t="s">
        <v>862</v>
      </c>
      <c r="C316" s="657">
        <f>C314+C315</f>
        <v>568562940</v>
      </c>
      <c r="D316" s="657">
        <f>D314+D315</f>
        <v>601586235</v>
      </c>
      <c r="E316" s="593">
        <f>D316-C316</f>
        <v>33023295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571618009</v>
      </c>
      <c r="D318" s="589">
        <v>601586237</v>
      </c>
      <c r="E318" s="590">
        <f>D318-C318</f>
        <v>29968228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-3055069</v>
      </c>
      <c r="D320" s="657">
        <f>D316-D318</f>
        <v>-2</v>
      </c>
      <c r="E320" s="593">
        <f>D320-C320</f>
        <v>3055067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10885418</v>
      </c>
      <c r="D324" s="589">
        <f>+D193+D194</f>
        <v>12317879</v>
      </c>
      <c r="E324" s="590">
        <f>D324-C324</f>
        <v>1432461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10885418</v>
      </c>
      <c r="D326" s="657">
        <f>D324+D325</f>
        <v>12317879</v>
      </c>
      <c r="E326" s="593">
        <f>D326-C326</f>
        <v>1432461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10885418</v>
      </c>
      <c r="D328" s="589">
        <v>12317879</v>
      </c>
      <c r="E328" s="590">
        <f>D328-C328</f>
        <v>1432461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2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>
      <selection sqref="A1:F1"/>
    </sheetView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70498050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136828081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55012283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55012283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337073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1787877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192177437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262675487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140629707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93355888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101301392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101301392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640166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10776290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195297446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335927153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211127757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387474883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598602640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34301365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63438379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21678280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21678280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96721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37435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85213380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119514745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45811830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19692299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26414789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26414789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157105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208733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46264193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92076023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80113195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131477573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211590768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3306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5053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3345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3345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178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8423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11729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1.1974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1.49895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1.0439700000000001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1.0439700000000001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0.73607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0.93111999999999995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1.3160009200997269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1.2825714170005968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211127757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80113195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131014562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0.6205463642565956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10496927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6624781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248631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12069248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12317879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5912911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221915377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211590768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211590768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15900232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227491000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227491163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-163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598602640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2983595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601586235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601586237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-2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12317879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12317879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12317879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883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727</v>
      </c>
      <c r="D12" s="185">
        <v>69</v>
      </c>
      <c r="E12" s="185">
        <f>+D12-C12</f>
        <v>-658</v>
      </c>
      <c r="F12" s="77">
        <f>IF(C12=0,0,+E12/C12)</f>
        <v>-0.90508940852819808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466</v>
      </c>
      <c r="D13" s="185">
        <v>62</v>
      </c>
      <c r="E13" s="185">
        <f>+D13-C13</f>
        <v>-404</v>
      </c>
      <c r="F13" s="77">
        <f>IF(C13=0,0,+E13/C13)</f>
        <v>-0.86695278969957079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384059</v>
      </c>
      <c r="D15" s="76">
        <v>248631</v>
      </c>
      <c r="E15" s="76">
        <f>+D15-C15</f>
        <v>-135428</v>
      </c>
      <c r="F15" s="77">
        <f>IF(C15=0,0,+E15/C15)</f>
        <v>-0.35262290429335075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824.16094420600859</v>
      </c>
      <c r="D16" s="79">
        <f>IF(D13=0,0,+D15/+D13)</f>
        <v>4010.1774193548385</v>
      </c>
      <c r="E16" s="79">
        <f>+D16-C16</f>
        <v>3186.0164751488301</v>
      </c>
      <c r="F16" s="80">
        <f>IF(C16=0,0,+E16/C16)</f>
        <v>3.8657697838596539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0.39755000000000001</v>
      </c>
      <c r="D18" s="704">
        <v>0.377052</v>
      </c>
      <c r="E18" s="704">
        <f>+D18-C18</f>
        <v>-2.0498000000000016E-2</v>
      </c>
      <c r="F18" s="77">
        <f>IF(C18=0,0,+E18/C18)</f>
        <v>-5.1560809961011235E-2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152682.65544999999</v>
      </c>
      <c r="D19" s="79">
        <f>+D15*D18</f>
        <v>93746.815812000001</v>
      </c>
      <c r="E19" s="79">
        <f>+D19-C19</f>
        <v>-58935.83963799999</v>
      </c>
      <c r="F19" s="80">
        <f>IF(C19=0,0,+E19/C19)</f>
        <v>-0.38600219169819261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327.64518336909867</v>
      </c>
      <c r="D20" s="79">
        <f>IF(D13=0,0,+D19/D13)</f>
        <v>1512.0454163225806</v>
      </c>
      <c r="E20" s="79">
        <f>+D20-C20</f>
        <v>1184.4002329534819</v>
      </c>
      <c r="F20" s="80">
        <f>IF(C20=0,0,+E20/C20)</f>
        <v>3.6148867527200363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78015</v>
      </c>
      <c r="D22" s="76">
        <v>13575</v>
      </c>
      <c r="E22" s="76">
        <f>+D22-C22</f>
        <v>-64440</v>
      </c>
      <c r="F22" s="77">
        <f>IF(C22=0,0,+E22/C22)</f>
        <v>-0.82599500096135359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136053</v>
      </c>
      <c r="D23" s="185">
        <v>66488</v>
      </c>
      <c r="E23" s="185">
        <f>+D23-C23</f>
        <v>-69565</v>
      </c>
      <c r="F23" s="77">
        <f>IF(C23=0,0,+E23/C23)</f>
        <v>-0.5113080931695736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169991</v>
      </c>
      <c r="D24" s="185">
        <v>168568</v>
      </c>
      <c r="E24" s="185">
        <f>+D24-C24</f>
        <v>-1423</v>
      </c>
      <c r="F24" s="77">
        <f>IF(C24=0,0,+E24/C24)</f>
        <v>-8.3710314075451046E-3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384059</v>
      </c>
      <c r="D25" s="79">
        <f>+D22+D23+D24</f>
        <v>248631</v>
      </c>
      <c r="E25" s="79">
        <f>+E22+E23+E24</f>
        <v>-135428</v>
      </c>
      <c r="F25" s="80">
        <f>IF(C25=0,0,+E25/C25)</f>
        <v>-0.35262290429335075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38</v>
      </c>
      <c r="D27" s="185">
        <v>7</v>
      </c>
      <c r="E27" s="185">
        <f>+D27-C27</f>
        <v>-31</v>
      </c>
      <c r="F27" s="77">
        <f>IF(C27=0,0,+E27/C27)</f>
        <v>-0.81578947368421051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12</v>
      </c>
      <c r="D28" s="185">
        <v>3</v>
      </c>
      <c r="E28" s="185">
        <f>+D28-C28</f>
        <v>-9</v>
      </c>
      <c r="F28" s="77">
        <f>IF(C28=0,0,+E28/C28)</f>
        <v>-0.75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84</v>
      </c>
      <c r="D29" s="185">
        <v>46</v>
      </c>
      <c r="E29" s="185">
        <f>+D29-C29</f>
        <v>-38</v>
      </c>
      <c r="F29" s="77">
        <f>IF(C29=0,0,+E29/C29)</f>
        <v>-0.45238095238095238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375</v>
      </c>
      <c r="D30" s="185">
        <v>12</v>
      </c>
      <c r="E30" s="185">
        <f>+D30-C30</f>
        <v>-363</v>
      </c>
      <c r="F30" s="77">
        <f>IF(C30=0,0,+E30/C30)</f>
        <v>-0.96799999999999997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2680299</v>
      </c>
      <c r="D33" s="76">
        <v>3080477</v>
      </c>
      <c r="E33" s="76">
        <f>+D33-C33</f>
        <v>400178</v>
      </c>
      <c r="F33" s="77">
        <f>IF(C33=0,0,+E33/C33)</f>
        <v>0.14930349188653952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1387548</v>
      </c>
      <c r="D34" s="185">
        <v>1594713</v>
      </c>
      <c r="E34" s="185">
        <f>+D34-C34</f>
        <v>207165</v>
      </c>
      <c r="F34" s="77">
        <f>IF(C34=0,0,+E34/C34)</f>
        <v>0.14930294303332209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6433512</v>
      </c>
      <c r="D35" s="185">
        <v>7394058</v>
      </c>
      <c r="E35" s="185">
        <f>+D35-C35</f>
        <v>960546</v>
      </c>
      <c r="F35" s="77">
        <f>IF(C35=0,0,+E35/C35)</f>
        <v>0.14930352193327687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10501359</v>
      </c>
      <c r="D36" s="79">
        <f>+D33+D34+D35</f>
        <v>12069248</v>
      </c>
      <c r="E36" s="79">
        <f>+E33+E34+E35</f>
        <v>1567889</v>
      </c>
      <c r="F36" s="80">
        <f>IF(C36=0,0,+E36/C36)</f>
        <v>0.14930343777410143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384059</v>
      </c>
      <c r="D39" s="76">
        <f>+D25</f>
        <v>248631</v>
      </c>
      <c r="E39" s="76">
        <f>+D39-C39</f>
        <v>-135428</v>
      </c>
      <c r="F39" s="77">
        <f>IF(C39=0,0,+E39/C39)</f>
        <v>-0.35262290429335075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10501359</v>
      </c>
      <c r="D40" s="185">
        <f>+D36</f>
        <v>12069248</v>
      </c>
      <c r="E40" s="185">
        <f>+D40-C40</f>
        <v>1567889</v>
      </c>
      <c r="F40" s="77">
        <f>IF(C40=0,0,+E40/C40)</f>
        <v>0.14930343777410143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10885418</v>
      </c>
      <c r="D41" s="79">
        <f>+D39+D40</f>
        <v>12317879</v>
      </c>
      <c r="E41" s="79">
        <f>+E39+E40</f>
        <v>1432461</v>
      </c>
      <c r="F41" s="80">
        <f>IF(C41=0,0,+E41/C41)</f>
        <v>0.13159448723053171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2758314</v>
      </c>
      <c r="D43" s="76">
        <f t="shared" si="0"/>
        <v>3094052</v>
      </c>
      <c r="E43" s="76">
        <f>+D43-C43</f>
        <v>335738</v>
      </c>
      <c r="F43" s="77">
        <f>IF(C43=0,0,+E43/C43)</f>
        <v>0.12171855706058121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1523601</v>
      </c>
      <c r="D44" s="185">
        <f t="shared" si="0"/>
        <v>1661201</v>
      </c>
      <c r="E44" s="185">
        <f>+D44-C44</f>
        <v>137600</v>
      </c>
      <c r="F44" s="77">
        <f>IF(C44=0,0,+E44/C44)</f>
        <v>9.0312358681833363E-2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6603503</v>
      </c>
      <c r="D45" s="185">
        <f t="shared" si="0"/>
        <v>7562626</v>
      </c>
      <c r="E45" s="185">
        <f>+D45-C45</f>
        <v>959123</v>
      </c>
      <c r="F45" s="77">
        <f>IF(C45=0,0,+E45/C45)</f>
        <v>0.14524457700708246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10885418</v>
      </c>
      <c r="D46" s="79">
        <f>+D43+D44+D45</f>
        <v>12317879</v>
      </c>
      <c r="E46" s="79">
        <f>+E43+E44+E45</f>
        <v>1432461</v>
      </c>
      <c r="F46" s="80">
        <f>IF(C46=0,0,+E46/C46)</f>
        <v>0.13159448723053171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912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sqref="A1:F1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630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913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914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210325531</v>
      </c>
      <c r="D15" s="76">
        <v>211127757</v>
      </c>
      <c r="E15" s="76">
        <f>+D15-C15</f>
        <v>802226</v>
      </c>
      <c r="F15" s="77">
        <f>IF(C15=0,0,E15/C15)</f>
        <v>3.8142112190840019E-3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124839068</v>
      </c>
      <c r="D17" s="76">
        <v>131014562</v>
      </c>
      <c r="E17" s="76">
        <f>+D17-C17</f>
        <v>6175494</v>
      </c>
      <c r="F17" s="77">
        <f>IF(C17=0,0,E17/C17)</f>
        <v>4.9467639409163162E-2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85486463</v>
      </c>
      <c r="D19" s="79">
        <f>+D15-D17</f>
        <v>80113195</v>
      </c>
      <c r="E19" s="79">
        <f>+D19-C19</f>
        <v>-5373268</v>
      </c>
      <c r="F19" s="80">
        <f>IF(C19=0,0,E19/C19)</f>
        <v>-6.2855191470490485E-2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0.59355165968890389</v>
      </c>
      <c r="D21" s="720">
        <f>IF(D15=0,0,D17/D15)</f>
        <v>0.6205463642565956</v>
      </c>
      <c r="E21" s="720">
        <f>+D21-C21</f>
        <v>2.6994704567691707E-2</v>
      </c>
      <c r="F21" s="80">
        <f>IF(C21=0,0,E21/C21)</f>
        <v>4.5479958023940739E-2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F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250236131</v>
      </c>
      <c r="D10" s="744">
        <v>246972246</v>
      </c>
      <c r="E10" s="744">
        <v>262675487</v>
      </c>
    </row>
    <row r="11" spans="1:6" ht="26.1" customHeight="1" x14ac:dyDescent="0.25">
      <c r="A11" s="742">
        <v>2</v>
      </c>
      <c r="B11" s="743" t="s">
        <v>933</v>
      </c>
      <c r="C11" s="744">
        <v>259334695</v>
      </c>
      <c r="D11" s="744">
        <v>321590694</v>
      </c>
      <c r="E11" s="744">
        <v>335927153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509570826</v>
      </c>
      <c r="D12" s="744">
        <f>+D11+D10</f>
        <v>568562940</v>
      </c>
      <c r="E12" s="744">
        <f>+E11+E10</f>
        <v>598602640</v>
      </c>
    </row>
    <row r="13" spans="1:6" ht="26.1" customHeight="1" x14ac:dyDescent="0.25">
      <c r="A13" s="742">
        <v>4</v>
      </c>
      <c r="B13" s="743" t="s">
        <v>507</v>
      </c>
      <c r="C13" s="744">
        <v>207355344</v>
      </c>
      <c r="D13" s="744">
        <v>225742944</v>
      </c>
      <c r="E13" s="744">
        <v>227491163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205686874</v>
      </c>
      <c r="D16" s="744">
        <v>218384632</v>
      </c>
      <c r="E16" s="744">
        <v>221915377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55915</v>
      </c>
      <c r="D19" s="747">
        <v>51556</v>
      </c>
      <c r="E19" s="747">
        <v>51833</v>
      </c>
    </row>
    <row r="20" spans="1:5" ht="26.1" customHeight="1" x14ac:dyDescent="0.25">
      <c r="A20" s="742">
        <v>2</v>
      </c>
      <c r="B20" s="743" t="s">
        <v>381</v>
      </c>
      <c r="C20" s="748">
        <v>12534</v>
      </c>
      <c r="D20" s="748">
        <v>12078</v>
      </c>
      <c r="E20" s="748">
        <v>11729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4.4610659007499605</v>
      </c>
      <c r="D21" s="749">
        <f>IF(D20=0,0,+D19/D20)</f>
        <v>4.2685875144891536</v>
      </c>
      <c r="E21" s="749">
        <f>IF(E20=0,0,+E19/E20)</f>
        <v>4.4192173245801003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113863.06454598278</v>
      </c>
      <c r="D22" s="748">
        <f>IF(D10=0,0,D19*(D12/D10))</f>
        <v>118688.76527381137</v>
      </c>
      <c r="E22" s="748">
        <f>IF(E10=0,0,E19*(E12/E10))</f>
        <v>118120.54102756837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25523.735151915374</v>
      </c>
      <c r="D23" s="748">
        <f>IF(D10=0,0,D20*(D12/D10))</f>
        <v>27805.16151324955</v>
      </c>
      <c r="E23" s="748">
        <f>IF(E10=0,0,E20*(E12/E10))</f>
        <v>26728.837337455858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1.2993272778043721</v>
      </c>
      <c r="D26" s="750">
        <v>1.2818063586686539</v>
      </c>
      <c r="E26" s="750">
        <v>1.2825714170005968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72651.884738431458</v>
      </c>
      <c r="D27" s="748">
        <f>D19*D26</f>
        <v>66084.808627521124</v>
      </c>
      <c r="E27" s="748">
        <f>E19*E26</f>
        <v>66479.524257391939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16285.768099999999</v>
      </c>
      <c r="D28" s="748">
        <f>D20*D26</f>
        <v>15481.657200000001</v>
      </c>
      <c r="E28" s="748">
        <f>E20*E26</f>
        <v>15043.280150000001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147945.38569899532</v>
      </c>
      <c r="D29" s="748">
        <f>D22*D26</f>
        <v>152136.01403050273</v>
      </c>
      <c r="E29" s="748">
        <f>E22*E26</f>
        <v>151498.0296826055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33163.685314337963</v>
      </c>
      <c r="D30" s="748">
        <f>D23*D26</f>
        <v>35640.832831492204</v>
      </c>
      <c r="E30" s="748">
        <f>E23*E26</f>
        <v>34281.642778679219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9113.3117410355007</v>
      </c>
      <c r="D33" s="744">
        <f>IF(D19=0,0,D12/D19)</f>
        <v>11028.06540460858</v>
      </c>
      <c r="E33" s="744">
        <f>IF(E19=0,0,E12/E19)</f>
        <v>11548.678255165629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40655.084250837725</v>
      </c>
      <c r="D34" s="744">
        <f>IF(D20=0,0,D12/D20)</f>
        <v>47074.262295081964</v>
      </c>
      <c r="E34" s="744">
        <f>IF(E20=0,0,E12/E20)</f>
        <v>51036.119021229431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4475.2951980684966</v>
      </c>
      <c r="D35" s="744">
        <f>IF(D22=0,0,D12/D22)</f>
        <v>4790.3686476840721</v>
      </c>
      <c r="E35" s="744">
        <f>IF(E22=0,0,E12/E22)</f>
        <v>5067.7268728416257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19964.58680389341</v>
      </c>
      <c r="D36" s="744">
        <f>IF(D23=0,0,D12/D23)</f>
        <v>20448.107799304522</v>
      </c>
      <c r="E36" s="744">
        <f>IF(E23=0,0,E12/E23)</f>
        <v>22395.386392701846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3444.3171281918558</v>
      </c>
      <c r="D37" s="744">
        <f>IF(D29=0,0,D12/D29)</f>
        <v>3737.2015010594741</v>
      </c>
      <c r="E37" s="744">
        <f>IF(E29=0,0,E12/E29)</f>
        <v>3951.223928483405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15365.325691945718</v>
      </c>
      <c r="D38" s="744">
        <f>IF(D30=0,0,D12/D30)</f>
        <v>15952.571666552594</v>
      </c>
      <c r="E38" s="744">
        <f>IF(E30=0,0,E12/E30)</f>
        <v>17461.317238049309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2197.6936243354307</v>
      </c>
      <c r="D39" s="744">
        <f>IF(D22=0,0,D10/D22)</f>
        <v>2080.8392894663834</v>
      </c>
      <c r="E39" s="744">
        <f>IF(E22=0,0,E10/E22)</f>
        <v>2223.791769957214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9804.0560878183842</v>
      </c>
      <c r="D40" s="744">
        <f>IF(D23=0,0,D10/D23)</f>
        <v>8882.2446106746847</v>
      </c>
      <c r="E40" s="744">
        <f>IF(E23=0,0,E10/E23)</f>
        <v>9827.4191160535665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3708.4028257176069</v>
      </c>
      <c r="D43" s="744">
        <f>IF(D19=0,0,D13/D19)</f>
        <v>4378.5969431298008</v>
      </c>
      <c r="E43" s="744">
        <f>IF(E19=0,0,E13/E19)</f>
        <v>4388.9252599695174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16543.429392053615</v>
      </c>
      <c r="D44" s="744">
        <f>IF(D20=0,0,D13/D20)</f>
        <v>18690.424242424244</v>
      </c>
      <c r="E44" s="744">
        <f>IF(E20=0,0,E13/E20)</f>
        <v>19395.614545144512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1821.094002930696</v>
      </c>
      <c r="D45" s="744">
        <f>IF(D22=0,0,D13/D22)</f>
        <v>1901.9739861579812</v>
      </c>
      <c r="E45" s="744">
        <f>IF(E22=0,0,E13/E22)</f>
        <v>1925.9238149519263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8124.0203585343761</v>
      </c>
      <c r="D46" s="744">
        <f>IF(D23=0,0,D13/D23)</f>
        <v>8118.7424101971255</v>
      </c>
      <c r="E46" s="744">
        <f>IF(E23=0,0,E13/E23)</f>
        <v>8511.0758888569526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1401.5668215694011</v>
      </c>
      <c r="D47" s="744">
        <f>IF(D29=0,0,D13/D29)</f>
        <v>1483.8231791371854</v>
      </c>
      <c r="E47" s="744">
        <f>IF(E29=0,0,E13/E29)</f>
        <v>1501.6113640329395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6252.4819553257594</v>
      </c>
      <c r="D48" s="744">
        <f>IF(D30=0,0,D13/D30)</f>
        <v>6333.8290961745925</v>
      </c>
      <c r="E48" s="744">
        <f>IF(E30=0,0,E13/E30)</f>
        <v>6635.9469547207218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3678.5634266297056</v>
      </c>
      <c r="D51" s="744">
        <f>IF(D19=0,0,D16/D19)</f>
        <v>4235.8722942043605</v>
      </c>
      <c r="E51" s="744">
        <f>IF(E19=0,0,E16/E19)</f>
        <v>4281.353134103756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16410.313866283708</v>
      </c>
      <c r="D52" s="744">
        <f>IF(D20=0,0,D16/D20)</f>
        <v>18081.191588011261</v>
      </c>
      <c r="E52" s="744">
        <f>IF(E20=0,0,E16/E20)</f>
        <v>18920.229942876631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1806.4406998016011</v>
      </c>
      <c r="D53" s="744">
        <f>IF(D22=0,0,D16/D22)</f>
        <v>1839.9772842542704</v>
      </c>
      <c r="E53" s="744">
        <f>IF(E22=0,0,E16/E22)</f>
        <v>1878.7196119276728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8058.6510076118175</v>
      </c>
      <c r="D54" s="744">
        <f>IF(D23=0,0,D16/D23)</f>
        <v>7854.1040625114392</v>
      </c>
      <c r="E54" s="744">
        <f>IF(E23=0,0,E16/E23)</f>
        <v>8302.4702570591744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1390.2892140109293</v>
      </c>
      <c r="D55" s="744">
        <f>IF(D29=0,0,D16/D29)</f>
        <v>1435.4565116726053</v>
      </c>
      <c r="E55" s="744">
        <f>IF(E29=0,0,E16/E29)</f>
        <v>1464.8070173910623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6202.1718048046214</v>
      </c>
      <c r="D56" s="744">
        <f>IF(D30=0,0,D16/D30)</f>
        <v>6127.3717433178372</v>
      </c>
      <c r="E56" s="744">
        <f>IF(E30=0,0,E16/E30)</f>
        <v>6473.3005484210871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28268013</v>
      </c>
      <c r="D59" s="752">
        <v>30432420</v>
      </c>
      <c r="E59" s="752">
        <v>28956807</v>
      </c>
    </row>
    <row r="60" spans="1:6" ht="26.1" customHeight="1" x14ac:dyDescent="0.25">
      <c r="A60" s="742">
        <v>2</v>
      </c>
      <c r="B60" s="743" t="s">
        <v>969</v>
      </c>
      <c r="C60" s="752">
        <v>6406028</v>
      </c>
      <c r="D60" s="752">
        <v>7090223</v>
      </c>
      <c r="E60" s="752">
        <v>6967392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34674041</v>
      </c>
      <c r="D61" s="755">
        <f>D59+D60</f>
        <v>37522643</v>
      </c>
      <c r="E61" s="755">
        <f>E59+E60</f>
        <v>35924199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2984635</v>
      </c>
      <c r="D64" s="744">
        <v>3151771</v>
      </c>
      <c r="E64" s="752">
        <v>3289143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989413</v>
      </c>
      <c r="D65" s="752">
        <v>1050785</v>
      </c>
      <c r="E65" s="752">
        <v>1124776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3974048</v>
      </c>
      <c r="D66" s="757">
        <f>D64+D65</f>
        <v>4202556</v>
      </c>
      <c r="E66" s="757">
        <f>E64+E65</f>
        <v>4413919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45248376</v>
      </c>
      <c r="D69" s="752">
        <v>51014766</v>
      </c>
      <c r="E69" s="752">
        <v>51910300</v>
      </c>
    </row>
    <row r="70" spans="1:6" ht="26.1" customHeight="1" x14ac:dyDescent="0.25">
      <c r="A70" s="742">
        <v>2</v>
      </c>
      <c r="B70" s="743" t="s">
        <v>977</v>
      </c>
      <c r="C70" s="752">
        <v>15952796</v>
      </c>
      <c r="D70" s="752">
        <v>18431260</v>
      </c>
      <c r="E70" s="752">
        <v>19096852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61201172</v>
      </c>
      <c r="D71" s="755">
        <f>D69+D70</f>
        <v>69446026</v>
      </c>
      <c r="E71" s="755">
        <f>E69+E70</f>
        <v>71007152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76501024</v>
      </c>
      <c r="D75" s="744">
        <f t="shared" si="0"/>
        <v>84598957</v>
      </c>
      <c r="E75" s="744">
        <f t="shared" si="0"/>
        <v>84156250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23348237</v>
      </c>
      <c r="D76" s="744">
        <f t="shared" si="0"/>
        <v>26572268</v>
      </c>
      <c r="E76" s="744">
        <f t="shared" si="0"/>
        <v>27189020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99849261</v>
      </c>
      <c r="D77" s="757">
        <f>D75+D76</f>
        <v>111171225</v>
      </c>
      <c r="E77" s="757">
        <f>E75+E76</f>
        <v>111345270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339.7</v>
      </c>
      <c r="D80" s="749">
        <v>361.6</v>
      </c>
      <c r="E80" s="749">
        <v>347.3</v>
      </c>
    </row>
    <row r="81" spans="1:5" ht="26.1" customHeight="1" x14ac:dyDescent="0.25">
      <c r="A81" s="742">
        <v>2</v>
      </c>
      <c r="B81" s="743" t="s">
        <v>617</v>
      </c>
      <c r="C81" s="749">
        <v>52.5</v>
      </c>
      <c r="D81" s="749">
        <v>53.6</v>
      </c>
      <c r="E81" s="749">
        <v>56.1</v>
      </c>
    </row>
    <row r="82" spans="1:5" ht="26.1" customHeight="1" x14ac:dyDescent="0.25">
      <c r="A82" s="742">
        <v>3</v>
      </c>
      <c r="B82" s="743" t="s">
        <v>983</v>
      </c>
      <c r="C82" s="749">
        <v>845.7</v>
      </c>
      <c r="D82" s="749">
        <v>940</v>
      </c>
      <c r="E82" s="749">
        <v>951.8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1237.9000000000001</v>
      </c>
      <c r="D83" s="759">
        <f>D80+D81+D82</f>
        <v>1355.2</v>
      </c>
      <c r="E83" s="759">
        <f>E80+E81+E82</f>
        <v>1355.2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83214.639387695031</v>
      </c>
      <c r="D86" s="752">
        <f>IF(D80=0,0,D59/D80)</f>
        <v>84160.453539823007</v>
      </c>
      <c r="E86" s="752">
        <f>IF(E80=0,0,E59/E80)</f>
        <v>83376.927728188879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18857.89814542243</v>
      </c>
      <c r="D87" s="752">
        <f>IF(D80=0,0,D60/D80)</f>
        <v>19607.917588495573</v>
      </c>
      <c r="E87" s="752">
        <f>IF(E80=0,0,E60/E80)</f>
        <v>20061.595162683559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102072.53753311746</v>
      </c>
      <c r="D88" s="755">
        <f>+D86+D87</f>
        <v>103768.37112831858</v>
      </c>
      <c r="E88" s="755">
        <f>+E86+E87</f>
        <v>103438.52289087244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56850.190476190473</v>
      </c>
      <c r="D91" s="744">
        <f>IF(D81=0,0,D64/D81)</f>
        <v>58801.697761194031</v>
      </c>
      <c r="E91" s="744">
        <f>IF(E81=0,0,E64/E81)</f>
        <v>58630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18845.961904761905</v>
      </c>
      <c r="D92" s="744">
        <f>IF(D81=0,0,D65/D81)</f>
        <v>19604.197761194031</v>
      </c>
      <c r="E92" s="744">
        <f>IF(E81=0,0,E65/E81)</f>
        <v>20049.483065953653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75696.152380952379</v>
      </c>
      <c r="D93" s="757">
        <f>+D91+D92</f>
        <v>78405.895522388062</v>
      </c>
      <c r="E93" s="757">
        <f>+E91+E92</f>
        <v>78679.483065953653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53504.051081943951</v>
      </c>
      <c r="D96" s="752">
        <f>IF(D82=0,0,D69/D82)</f>
        <v>54271.027659574465</v>
      </c>
      <c r="E96" s="752">
        <f>IF(E82=0,0,E69/E82)</f>
        <v>54539.083841143103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18863.422017263805</v>
      </c>
      <c r="D97" s="752">
        <f>IF(D82=0,0,D70/D82)</f>
        <v>19607.723404255321</v>
      </c>
      <c r="E97" s="752">
        <f>IF(E82=0,0,E70/E82)</f>
        <v>20063.933599495693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72367.473099207753</v>
      </c>
      <c r="D98" s="757">
        <f>+D96+D97</f>
        <v>73878.751063829783</v>
      </c>
      <c r="E98" s="757">
        <f>+E96+E97</f>
        <v>74603.017440638796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61799.033847645202</v>
      </c>
      <c r="D101" s="744">
        <f>IF(D83=0,0,D75/D83)</f>
        <v>62425.440525383703</v>
      </c>
      <c r="E101" s="744">
        <f>IF(E83=0,0,E75/E83)</f>
        <v>62098.767709563159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18861.16568381937</v>
      </c>
      <c r="D102" s="761">
        <f>IF(D83=0,0,D76/D83)</f>
        <v>19607.63577331759</v>
      </c>
      <c r="E102" s="761">
        <f>IF(E83=0,0,E76/E83)</f>
        <v>20062.736127508855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80660.199531464576</v>
      </c>
      <c r="D103" s="757">
        <f>+D101+D102</f>
        <v>82033.076298701286</v>
      </c>
      <c r="E103" s="757">
        <f>+E101+E102</f>
        <v>82161.503837072014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1785.7330054547081</v>
      </c>
      <c r="D108" s="744">
        <f>IF(D19=0,0,D77/D19)</f>
        <v>2156.3198269842501</v>
      </c>
      <c r="E108" s="744">
        <f>IF(E19=0,0,E77/E19)</f>
        <v>2148.1540717303646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7966.2726184777403</v>
      </c>
      <c r="D109" s="744">
        <f>IF(D20=0,0,D77/D20)</f>
        <v>9204.4398907103823</v>
      </c>
      <c r="E109" s="744">
        <f>IF(E20=0,0,E77/E20)</f>
        <v>9493.1596896581123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876.9240613550902</v>
      </c>
      <c r="D110" s="744">
        <f>IF(D22=0,0,D77/D22)</f>
        <v>936.66173663135987</v>
      </c>
      <c r="E110" s="744">
        <f>IF(E22=0,0,E77/E22)</f>
        <v>942.64104305120759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3912.0160276583588</v>
      </c>
      <c r="D111" s="744">
        <f>IF(D23=0,0,D77/D23)</f>
        <v>3998.2225942843506</v>
      </c>
      <c r="E111" s="744">
        <f>IF(E23=0,0,E77/E23)</f>
        <v>4165.7356283121526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674.90621980701667</v>
      </c>
      <c r="D112" s="744">
        <f>IF(D29=0,0,D77/D29)</f>
        <v>730.73575450524527</v>
      </c>
      <c r="E112" s="744">
        <f>IF(E29=0,0,E77/E29)</f>
        <v>734.96183569695825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3010.8011233851398</v>
      </c>
      <c r="D113" s="744">
        <f>IF(D30=0,0,D77/D30)</f>
        <v>3119.2095180719016</v>
      </c>
      <c r="E113" s="744">
        <f>IF(E30=0,0,E77/E30)</f>
        <v>3247.9560772171908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571618009</v>
      </c>
      <c r="D12" s="76">
        <v>601586237</v>
      </c>
      <c r="E12" s="76">
        <f t="shared" ref="E12:E21" si="0">D12-C12</f>
        <v>29968228</v>
      </c>
      <c r="F12" s="77">
        <f t="shared" ref="F12:F21" si="1">IF(C12=0,0,E12/C12)</f>
        <v>5.2427018617602725E-2</v>
      </c>
    </row>
    <row r="13" spans="1:8" ht="23.1" customHeight="1" x14ac:dyDescent="0.2">
      <c r="A13" s="74">
        <v>2</v>
      </c>
      <c r="B13" s="75" t="s">
        <v>72</v>
      </c>
      <c r="C13" s="76">
        <v>345491006</v>
      </c>
      <c r="D13" s="76">
        <v>361777195</v>
      </c>
      <c r="E13" s="76">
        <f t="shared" si="0"/>
        <v>16286189</v>
      </c>
      <c r="F13" s="77">
        <f t="shared" si="1"/>
        <v>4.7139256065033427E-2</v>
      </c>
    </row>
    <row r="14" spans="1:8" ht="23.1" customHeight="1" x14ac:dyDescent="0.2">
      <c r="A14" s="74">
        <v>3</v>
      </c>
      <c r="B14" s="75" t="s">
        <v>73</v>
      </c>
      <c r="C14" s="76">
        <v>384059</v>
      </c>
      <c r="D14" s="76">
        <v>248631</v>
      </c>
      <c r="E14" s="76">
        <f t="shared" si="0"/>
        <v>-135428</v>
      </c>
      <c r="F14" s="77">
        <f t="shared" si="1"/>
        <v>-0.35262290429335075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225742944</v>
      </c>
      <c r="D16" s="79">
        <f>D12-D13-D14-D15</f>
        <v>239560411</v>
      </c>
      <c r="E16" s="79">
        <f t="shared" si="0"/>
        <v>13817467</v>
      </c>
      <c r="F16" s="80">
        <f t="shared" si="1"/>
        <v>6.1208854439321919E-2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12069248</v>
      </c>
      <c r="E17" s="76">
        <f t="shared" si="0"/>
        <v>12069248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225742944</v>
      </c>
      <c r="D18" s="79">
        <f>D16-D17</f>
        <v>227491163</v>
      </c>
      <c r="E18" s="79">
        <f t="shared" si="0"/>
        <v>1748219</v>
      </c>
      <c r="F18" s="80">
        <f t="shared" si="1"/>
        <v>7.7442907805791708E-3</v>
      </c>
    </row>
    <row r="19" spans="1:7" ht="23.1" customHeight="1" x14ac:dyDescent="0.2">
      <c r="A19" s="74">
        <v>6</v>
      </c>
      <c r="B19" s="75" t="s">
        <v>78</v>
      </c>
      <c r="C19" s="76">
        <v>5263891</v>
      </c>
      <c r="D19" s="76">
        <v>5912911</v>
      </c>
      <c r="E19" s="76">
        <f t="shared" si="0"/>
        <v>649020</v>
      </c>
      <c r="F19" s="77">
        <f t="shared" si="1"/>
        <v>0.12329662601296265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231006835</v>
      </c>
      <c r="D21" s="79">
        <f>SUM(D18:D20)</f>
        <v>233404074</v>
      </c>
      <c r="E21" s="79">
        <f t="shared" si="0"/>
        <v>2397239</v>
      </c>
      <c r="F21" s="80">
        <f t="shared" si="1"/>
        <v>1.0377350955871067E-2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84598957</v>
      </c>
      <c r="D24" s="76">
        <v>84156250</v>
      </c>
      <c r="E24" s="76">
        <f t="shared" ref="E24:E33" si="2">D24-C24</f>
        <v>-442707</v>
      </c>
      <c r="F24" s="77">
        <f t="shared" ref="F24:F33" si="3">IF(C24=0,0,E24/C24)</f>
        <v>-5.2330077780982573E-3</v>
      </c>
    </row>
    <row r="25" spans="1:7" ht="23.1" customHeight="1" x14ac:dyDescent="0.2">
      <c r="A25" s="74">
        <v>2</v>
      </c>
      <c r="B25" s="75" t="s">
        <v>83</v>
      </c>
      <c r="C25" s="76">
        <v>26572268</v>
      </c>
      <c r="D25" s="76">
        <v>27189020</v>
      </c>
      <c r="E25" s="76">
        <f t="shared" si="2"/>
        <v>616752</v>
      </c>
      <c r="F25" s="77">
        <f t="shared" si="3"/>
        <v>2.3210363526365158E-2</v>
      </c>
    </row>
    <row r="26" spans="1:7" ht="23.1" customHeight="1" x14ac:dyDescent="0.2">
      <c r="A26" s="74">
        <v>3</v>
      </c>
      <c r="B26" s="75" t="s">
        <v>84</v>
      </c>
      <c r="C26" s="76">
        <v>2850080</v>
      </c>
      <c r="D26" s="76">
        <v>5267664</v>
      </c>
      <c r="E26" s="76">
        <f t="shared" si="2"/>
        <v>2417584</v>
      </c>
      <c r="F26" s="77">
        <f t="shared" si="3"/>
        <v>0.84825127715713244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33137667</v>
      </c>
      <c r="D27" s="76">
        <v>33669967</v>
      </c>
      <c r="E27" s="76">
        <f t="shared" si="2"/>
        <v>532300</v>
      </c>
      <c r="F27" s="77">
        <f t="shared" si="3"/>
        <v>1.6063291359648221E-2</v>
      </c>
    </row>
    <row r="28" spans="1:7" ht="23.1" customHeight="1" x14ac:dyDescent="0.2">
      <c r="A28" s="74">
        <v>5</v>
      </c>
      <c r="B28" s="75" t="s">
        <v>86</v>
      </c>
      <c r="C28" s="76">
        <v>8637599</v>
      </c>
      <c r="D28" s="76">
        <v>9245153</v>
      </c>
      <c r="E28" s="76">
        <f t="shared" si="2"/>
        <v>607554</v>
      </c>
      <c r="F28" s="77">
        <f t="shared" si="3"/>
        <v>7.0338296556716751E-2</v>
      </c>
    </row>
    <row r="29" spans="1:7" ht="23.1" customHeight="1" x14ac:dyDescent="0.2">
      <c r="A29" s="74">
        <v>6</v>
      </c>
      <c r="B29" s="75" t="s">
        <v>87</v>
      </c>
      <c r="C29" s="76">
        <v>10501359</v>
      </c>
      <c r="D29" s="76">
        <v>0</v>
      </c>
      <c r="E29" s="76">
        <f t="shared" si="2"/>
        <v>-10501359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1616544</v>
      </c>
      <c r="D30" s="76">
        <v>1471201</v>
      </c>
      <c r="E30" s="76">
        <f t="shared" si="2"/>
        <v>-145343</v>
      </c>
      <c r="F30" s="77">
        <f t="shared" si="3"/>
        <v>-8.9909708612942174E-2</v>
      </c>
    </row>
    <row r="31" spans="1:7" ht="23.1" customHeight="1" x14ac:dyDescent="0.2">
      <c r="A31" s="74">
        <v>8</v>
      </c>
      <c r="B31" s="75" t="s">
        <v>89</v>
      </c>
      <c r="C31" s="76">
        <v>3299973</v>
      </c>
      <c r="D31" s="76">
        <v>12792515</v>
      </c>
      <c r="E31" s="76">
        <f t="shared" si="2"/>
        <v>9492542</v>
      </c>
      <c r="F31" s="77">
        <f t="shared" si="3"/>
        <v>2.8765514142085404</v>
      </c>
    </row>
    <row r="32" spans="1:7" ht="23.1" customHeight="1" x14ac:dyDescent="0.2">
      <c r="A32" s="74">
        <v>9</v>
      </c>
      <c r="B32" s="75" t="s">
        <v>90</v>
      </c>
      <c r="C32" s="76">
        <v>47170185</v>
      </c>
      <c r="D32" s="76">
        <v>48123607</v>
      </c>
      <c r="E32" s="76">
        <f t="shared" si="2"/>
        <v>953422</v>
      </c>
      <c r="F32" s="77">
        <f t="shared" si="3"/>
        <v>2.0212386277475909E-2</v>
      </c>
    </row>
    <row r="33" spans="1:6" ht="23.1" customHeight="1" x14ac:dyDescent="0.25">
      <c r="A33" s="71"/>
      <c r="B33" s="78" t="s">
        <v>91</v>
      </c>
      <c r="C33" s="79">
        <f>SUM(C24:C32)</f>
        <v>218384632</v>
      </c>
      <c r="D33" s="79">
        <f>SUM(D24:D32)</f>
        <v>221915377</v>
      </c>
      <c r="E33" s="79">
        <f t="shared" si="2"/>
        <v>3530745</v>
      </c>
      <c r="F33" s="80">
        <f t="shared" si="3"/>
        <v>1.6167552486019254E-2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12622203</v>
      </c>
      <c r="D35" s="79">
        <f>+D21-D33</f>
        <v>11488697</v>
      </c>
      <c r="E35" s="79">
        <f>D35-C35</f>
        <v>-1133506</v>
      </c>
      <c r="F35" s="80">
        <f>IF(C35=0,0,E35/C35)</f>
        <v>-8.9802548730994108E-2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1224594</v>
      </c>
      <c r="D38" s="76">
        <v>1458556</v>
      </c>
      <c r="E38" s="76">
        <f>D38-C38</f>
        <v>233962</v>
      </c>
      <c r="F38" s="77">
        <f>IF(C38=0,0,E38/C38)</f>
        <v>0.19105270808120894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1189130</v>
      </c>
      <c r="D40" s="76">
        <v>5489277</v>
      </c>
      <c r="E40" s="76">
        <f>D40-C40</f>
        <v>4300147</v>
      </c>
      <c r="F40" s="77">
        <f>IF(C40=0,0,E40/C40)</f>
        <v>3.616212693313599</v>
      </c>
    </row>
    <row r="41" spans="1:6" ht="23.1" customHeight="1" x14ac:dyDescent="0.25">
      <c r="A41" s="83"/>
      <c r="B41" s="78" t="s">
        <v>97</v>
      </c>
      <c r="C41" s="79">
        <f>SUM(C38:C40)</f>
        <v>2413724</v>
      </c>
      <c r="D41" s="79">
        <f>SUM(D38:D40)</f>
        <v>6947833</v>
      </c>
      <c r="E41" s="79">
        <f>D41-C41</f>
        <v>4534109</v>
      </c>
      <c r="F41" s="80">
        <f>IF(C41=0,0,E41/C41)</f>
        <v>1.8784703636372675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15035927</v>
      </c>
      <c r="D43" s="79">
        <f>D35+D41</f>
        <v>18436530</v>
      </c>
      <c r="E43" s="79">
        <f>D43-C43</f>
        <v>3400603</v>
      </c>
      <c r="F43" s="80">
        <f>IF(C43=0,0,E43/C43)</f>
        <v>0.22616517092694052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15035927</v>
      </c>
      <c r="D50" s="79">
        <f>D43+D48</f>
        <v>18436530</v>
      </c>
      <c r="E50" s="79">
        <f>D50-C50</f>
        <v>3400603</v>
      </c>
      <c r="F50" s="80">
        <f>IF(C50=0,0,E50/C50)</f>
        <v>0.22616517092694052</v>
      </c>
    </row>
    <row r="51" spans="1:6" ht="23.1" customHeight="1" x14ac:dyDescent="0.2">
      <c r="A51" s="85"/>
      <c r="B51" s="75" t="s">
        <v>104</v>
      </c>
      <c r="C51" s="76">
        <v>2310000</v>
      </c>
      <c r="D51" s="76">
        <v>1705000</v>
      </c>
      <c r="E51" s="76">
        <f>D51-C51</f>
        <v>-605000</v>
      </c>
      <c r="F51" s="77">
        <f>IF(C51=0,0,E51/C51)</f>
        <v>-0.26190476190476192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sqref="A1:F1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105687037</v>
      </c>
      <c r="D14" s="113">
        <v>108805169</v>
      </c>
      <c r="E14" s="113">
        <f t="shared" ref="E14:E25" si="0">D14-C14</f>
        <v>3118132</v>
      </c>
      <c r="F14" s="114">
        <f t="shared" ref="F14:F25" si="1">IF(C14=0,0,E14/C14)</f>
        <v>2.9503447996181403E-2</v>
      </c>
    </row>
    <row r="15" spans="1:6" x14ac:dyDescent="0.2">
      <c r="A15" s="115">
        <v>2</v>
      </c>
      <c r="B15" s="116" t="s">
        <v>114</v>
      </c>
      <c r="C15" s="113">
        <v>26810948</v>
      </c>
      <c r="D15" s="113">
        <v>28022912</v>
      </c>
      <c r="E15" s="113">
        <f t="shared" si="0"/>
        <v>1211964</v>
      </c>
      <c r="F15" s="114">
        <f t="shared" si="1"/>
        <v>4.5204071113039347E-2</v>
      </c>
    </row>
    <row r="16" spans="1:6" x14ac:dyDescent="0.2">
      <c r="A16" s="115">
        <v>3</v>
      </c>
      <c r="B16" s="116" t="s">
        <v>115</v>
      </c>
      <c r="C16" s="113">
        <v>41055863</v>
      </c>
      <c r="D16" s="113">
        <v>55012283</v>
      </c>
      <c r="E16" s="113">
        <f t="shared" si="0"/>
        <v>13956420</v>
      </c>
      <c r="F16" s="114">
        <f t="shared" si="1"/>
        <v>0.33993731906207891</v>
      </c>
    </row>
    <row r="17" spans="1:6" x14ac:dyDescent="0.2">
      <c r="A17" s="115">
        <v>4</v>
      </c>
      <c r="B17" s="116" t="s">
        <v>116</v>
      </c>
      <c r="C17" s="113">
        <v>3442723</v>
      </c>
      <c r="D17" s="113">
        <v>0</v>
      </c>
      <c r="E17" s="113">
        <f t="shared" si="0"/>
        <v>-3442723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139608</v>
      </c>
      <c r="D18" s="113">
        <v>337073</v>
      </c>
      <c r="E18" s="113">
        <f t="shared" si="0"/>
        <v>197465</v>
      </c>
      <c r="F18" s="114">
        <f t="shared" si="1"/>
        <v>1.4144246748037361</v>
      </c>
    </row>
    <row r="19" spans="1:6" x14ac:dyDescent="0.2">
      <c r="A19" s="115">
        <v>6</v>
      </c>
      <c r="B19" s="116" t="s">
        <v>118</v>
      </c>
      <c r="C19" s="113">
        <v>3544985</v>
      </c>
      <c r="D19" s="113">
        <v>3705002</v>
      </c>
      <c r="E19" s="113">
        <f t="shared" si="0"/>
        <v>160017</v>
      </c>
      <c r="F19" s="114">
        <f t="shared" si="1"/>
        <v>4.5138978021063557E-2</v>
      </c>
    </row>
    <row r="20" spans="1:6" x14ac:dyDescent="0.2">
      <c r="A20" s="115">
        <v>7</v>
      </c>
      <c r="B20" s="116" t="s">
        <v>119</v>
      </c>
      <c r="C20" s="113">
        <v>58126164</v>
      </c>
      <c r="D20" s="113">
        <v>58361829</v>
      </c>
      <c r="E20" s="113">
        <f t="shared" si="0"/>
        <v>235665</v>
      </c>
      <c r="F20" s="114">
        <f t="shared" si="1"/>
        <v>4.0543704208658941E-3</v>
      </c>
    </row>
    <row r="21" spans="1:6" x14ac:dyDescent="0.2">
      <c r="A21" s="115">
        <v>8</v>
      </c>
      <c r="B21" s="116" t="s">
        <v>120</v>
      </c>
      <c r="C21" s="113">
        <v>6448669</v>
      </c>
      <c r="D21" s="113">
        <v>6643342</v>
      </c>
      <c r="E21" s="113">
        <f t="shared" si="0"/>
        <v>194673</v>
      </c>
      <c r="F21" s="114">
        <f t="shared" si="1"/>
        <v>3.018808997639668E-2</v>
      </c>
    </row>
    <row r="22" spans="1:6" x14ac:dyDescent="0.2">
      <c r="A22" s="115">
        <v>9</v>
      </c>
      <c r="B22" s="116" t="s">
        <v>121</v>
      </c>
      <c r="C22" s="113">
        <v>1716249</v>
      </c>
      <c r="D22" s="113">
        <v>1787877</v>
      </c>
      <c r="E22" s="113">
        <f t="shared" si="0"/>
        <v>71628</v>
      </c>
      <c r="F22" s="114">
        <f t="shared" si="1"/>
        <v>4.1735202759040212E-2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246972246</v>
      </c>
      <c r="D25" s="119">
        <f>SUM(D14:D24)</f>
        <v>262675487</v>
      </c>
      <c r="E25" s="119">
        <f t="shared" si="0"/>
        <v>15703241</v>
      </c>
      <c r="F25" s="120">
        <f t="shared" si="1"/>
        <v>6.3583018959952289E-2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70525808</v>
      </c>
      <c r="D27" s="113">
        <v>69983080</v>
      </c>
      <c r="E27" s="113">
        <f t="shared" ref="E27:E38" si="2">D27-C27</f>
        <v>-542728</v>
      </c>
      <c r="F27" s="114">
        <f t="shared" ref="F27:F38" si="3">IF(C27=0,0,E27/C27)</f>
        <v>-7.6954524221828132E-3</v>
      </c>
    </row>
    <row r="28" spans="1:6" x14ac:dyDescent="0.2">
      <c r="A28" s="115">
        <v>2</v>
      </c>
      <c r="B28" s="116" t="s">
        <v>114</v>
      </c>
      <c r="C28" s="113">
        <v>20668274</v>
      </c>
      <c r="D28" s="113">
        <v>23372808</v>
      </c>
      <c r="E28" s="113">
        <f t="shared" si="2"/>
        <v>2704534</v>
      </c>
      <c r="F28" s="114">
        <f t="shared" si="3"/>
        <v>0.1308543712938971</v>
      </c>
    </row>
    <row r="29" spans="1:6" x14ac:dyDescent="0.2">
      <c r="A29" s="115">
        <v>3</v>
      </c>
      <c r="B29" s="116" t="s">
        <v>115</v>
      </c>
      <c r="C29" s="113">
        <v>78313865</v>
      </c>
      <c r="D29" s="113">
        <v>101301392</v>
      </c>
      <c r="E29" s="113">
        <f t="shared" si="2"/>
        <v>22987527</v>
      </c>
      <c r="F29" s="114">
        <f t="shared" si="3"/>
        <v>0.29353074324706102</v>
      </c>
    </row>
    <row r="30" spans="1:6" x14ac:dyDescent="0.2">
      <c r="A30" s="115">
        <v>4</v>
      </c>
      <c r="B30" s="116" t="s">
        <v>116</v>
      </c>
      <c r="C30" s="113">
        <v>10938979</v>
      </c>
      <c r="D30" s="113">
        <v>0</v>
      </c>
      <c r="E30" s="113">
        <f t="shared" si="2"/>
        <v>-10938979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654304</v>
      </c>
      <c r="D31" s="113">
        <v>640166</v>
      </c>
      <c r="E31" s="113">
        <f t="shared" si="2"/>
        <v>-14138</v>
      </c>
      <c r="F31" s="114">
        <f t="shared" si="3"/>
        <v>-2.1607693060106618E-2</v>
      </c>
    </row>
    <row r="32" spans="1:6" x14ac:dyDescent="0.2">
      <c r="A32" s="115">
        <v>6</v>
      </c>
      <c r="B32" s="116" t="s">
        <v>118</v>
      </c>
      <c r="C32" s="113">
        <v>8796265</v>
      </c>
      <c r="D32" s="113">
        <v>8217427</v>
      </c>
      <c r="E32" s="113">
        <f t="shared" si="2"/>
        <v>-578838</v>
      </c>
      <c r="F32" s="114">
        <f t="shared" si="3"/>
        <v>-6.5804975179806435E-2</v>
      </c>
    </row>
    <row r="33" spans="1:6" x14ac:dyDescent="0.2">
      <c r="A33" s="115">
        <v>7</v>
      </c>
      <c r="B33" s="116" t="s">
        <v>119</v>
      </c>
      <c r="C33" s="113">
        <v>114026268</v>
      </c>
      <c r="D33" s="113">
        <v>113199265</v>
      </c>
      <c r="E33" s="113">
        <f t="shared" si="2"/>
        <v>-827003</v>
      </c>
      <c r="F33" s="114">
        <f t="shared" si="3"/>
        <v>-7.252741096463843E-3</v>
      </c>
    </row>
    <row r="34" spans="1:6" x14ac:dyDescent="0.2">
      <c r="A34" s="115">
        <v>8</v>
      </c>
      <c r="B34" s="116" t="s">
        <v>120</v>
      </c>
      <c r="C34" s="113">
        <v>7977703</v>
      </c>
      <c r="D34" s="113">
        <v>8436725</v>
      </c>
      <c r="E34" s="113">
        <f t="shared" si="2"/>
        <v>459022</v>
      </c>
      <c r="F34" s="114">
        <f t="shared" si="3"/>
        <v>5.7538115921337257E-2</v>
      </c>
    </row>
    <row r="35" spans="1:6" x14ac:dyDescent="0.2">
      <c r="A35" s="115">
        <v>9</v>
      </c>
      <c r="B35" s="116" t="s">
        <v>121</v>
      </c>
      <c r="C35" s="113">
        <v>9689228</v>
      </c>
      <c r="D35" s="113">
        <v>10776290</v>
      </c>
      <c r="E35" s="113">
        <f t="shared" si="2"/>
        <v>1087062</v>
      </c>
      <c r="F35" s="114">
        <f t="shared" si="3"/>
        <v>0.11219283930567017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321590694</v>
      </c>
      <c r="D38" s="119">
        <f>SUM(D27:D37)</f>
        <v>335927153</v>
      </c>
      <c r="E38" s="119">
        <f t="shared" si="2"/>
        <v>14336459</v>
      </c>
      <c r="F38" s="120">
        <f t="shared" si="3"/>
        <v>4.4579831653959491E-2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176212845</v>
      </c>
      <c r="D41" s="119">
        <f t="shared" si="4"/>
        <v>178788249</v>
      </c>
      <c r="E41" s="123">
        <f t="shared" ref="E41:E52" si="5">D41-C41</f>
        <v>2575404</v>
      </c>
      <c r="F41" s="124">
        <f t="shared" ref="F41:F52" si="6">IF(C41=0,0,E41/C41)</f>
        <v>1.461530230670755E-2</v>
      </c>
    </row>
    <row r="42" spans="1:6" ht="15.75" x14ac:dyDescent="0.25">
      <c r="A42" s="121">
        <v>2</v>
      </c>
      <c r="B42" s="122" t="s">
        <v>114</v>
      </c>
      <c r="C42" s="119">
        <f t="shared" si="4"/>
        <v>47479222</v>
      </c>
      <c r="D42" s="119">
        <f t="shared" si="4"/>
        <v>51395720</v>
      </c>
      <c r="E42" s="123">
        <f t="shared" si="5"/>
        <v>3916498</v>
      </c>
      <c r="F42" s="124">
        <f t="shared" si="6"/>
        <v>8.2488672623995396E-2</v>
      </c>
    </row>
    <row r="43" spans="1:6" ht="15.75" x14ac:dyDescent="0.25">
      <c r="A43" s="121">
        <v>3</v>
      </c>
      <c r="B43" s="122" t="s">
        <v>115</v>
      </c>
      <c r="C43" s="119">
        <f t="shared" si="4"/>
        <v>119369728</v>
      </c>
      <c r="D43" s="119">
        <f t="shared" si="4"/>
        <v>156313675</v>
      </c>
      <c r="E43" s="123">
        <f t="shared" si="5"/>
        <v>36943947</v>
      </c>
      <c r="F43" s="124">
        <f t="shared" si="6"/>
        <v>0.30949175824544056</v>
      </c>
    </row>
    <row r="44" spans="1:6" ht="15.75" x14ac:dyDescent="0.25">
      <c r="A44" s="121">
        <v>4</v>
      </c>
      <c r="B44" s="122" t="s">
        <v>116</v>
      </c>
      <c r="C44" s="119">
        <f t="shared" si="4"/>
        <v>14381702</v>
      </c>
      <c r="D44" s="119">
        <f t="shared" si="4"/>
        <v>0</v>
      </c>
      <c r="E44" s="123">
        <f t="shared" si="5"/>
        <v>-14381702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793912</v>
      </c>
      <c r="D45" s="119">
        <f t="shared" si="4"/>
        <v>977239</v>
      </c>
      <c r="E45" s="123">
        <f t="shared" si="5"/>
        <v>183327</v>
      </c>
      <c r="F45" s="124">
        <f t="shared" si="6"/>
        <v>0.23091602091919508</v>
      </c>
    </row>
    <row r="46" spans="1:6" ht="15.75" x14ac:dyDescent="0.25">
      <c r="A46" s="121">
        <v>6</v>
      </c>
      <c r="B46" s="122" t="s">
        <v>118</v>
      </c>
      <c r="C46" s="119">
        <f t="shared" si="4"/>
        <v>12341250</v>
      </c>
      <c r="D46" s="119">
        <f t="shared" si="4"/>
        <v>11922429</v>
      </c>
      <c r="E46" s="123">
        <f t="shared" si="5"/>
        <v>-418821</v>
      </c>
      <c r="F46" s="124">
        <f t="shared" si="6"/>
        <v>-3.3936675782436948E-2</v>
      </c>
    </row>
    <row r="47" spans="1:6" ht="15.75" x14ac:dyDescent="0.25">
      <c r="A47" s="121">
        <v>7</v>
      </c>
      <c r="B47" s="122" t="s">
        <v>119</v>
      </c>
      <c r="C47" s="119">
        <f t="shared" si="4"/>
        <v>172152432</v>
      </c>
      <c r="D47" s="119">
        <f t="shared" si="4"/>
        <v>171561094</v>
      </c>
      <c r="E47" s="123">
        <f t="shared" si="5"/>
        <v>-591338</v>
      </c>
      <c r="F47" s="124">
        <f t="shared" si="6"/>
        <v>-3.434967447918482E-3</v>
      </c>
    </row>
    <row r="48" spans="1:6" ht="15.75" x14ac:dyDescent="0.25">
      <c r="A48" s="121">
        <v>8</v>
      </c>
      <c r="B48" s="122" t="s">
        <v>120</v>
      </c>
      <c r="C48" s="119">
        <f t="shared" si="4"/>
        <v>14426372</v>
      </c>
      <c r="D48" s="119">
        <f t="shared" si="4"/>
        <v>15080067</v>
      </c>
      <c r="E48" s="123">
        <f t="shared" si="5"/>
        <v>653695</v>
      </c>
      <c r="F48" s="124">
        <f t="shared" si="6"/>
        <v>4.5312501299703073E-2</v>
      </c>
    </row>
    <row r="49" spans="1:6" ht="15.75" x14ac:dyDescent="0.25">
      <c r="A49" s="121">
        <v>9</v>
      </c>
      <c r="B49" s="122" t="s">
        <v>121</v>
      </c>
      <c r="C49" s="119">
        <f t="shared" si="4"/>
        <v>11405477</v>
      </c>
      <c r="D49" s="119">
        <f t="shared" si="4"/>
        <v>12564167</v>
      </c>
      <c r="E49" s="123">
        <f t="shared" si="5"/>
        <v>1158690</v>
      </c>
      <c r="F49" s="124">
        <f t="shared" si="6"/>
        <v>0.10159066560740949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568562940</v>
      </c>
      <c r="D52" s="128">
        <f>SUM(D41:D51)</f>
        <v>598602640</v>
      </c>
      <c r="E52" s="127">
        <f t="shared" si="5"/>
        <v>30039700</v>
      </c>
      <c r="F52" s="129">
        <f t="shared" si="6"/>
        <v>5.2834432015565418E-2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54388916</v>
      </c>
      <c r="D57" s="113">
        <v>52163319</v>
      </c>
      <c r="E57" s="113">
        <f t="shared" ref="E57:E68" si="7">D57-C57</f>
        <v>-2225597</v>
      </c>
      <c r="F57" s="114">
        <f t="shared" ref="F57:F68" si="8">IF(C57=0,0,E57/C57)</f>
        <v>-4.092004701840353E-2</v>
      </c>
    </row>
    <row r="58" spans="1:6" x14ac:dyDescent="0.2">
      <c r="A58" s="115">
        <v>2</v>
      </c>
      <c r="B58" s="116" t="s">
        <v>114</v>
      </c>
      <c r="C58" s="113">
        <v>11069083</v>
      </c>
      <c r="D58" s="113">
        <v>11275060</v>
      </c>
      <c r="E58" s="113">
        <f t="shared" si="7"/>
        <v>205977</v>
      </c>
      <c r="F58" s="114">
        <f t="shared" si="8"/>
        <v>1.8608316515469257E-2</v>
      </c>
    </row>
    <row r="59" spans="1:6" x14ac:dyDescent="0.2">
      <c r="A59" s="115">
        <v>3</v>
      </c>
      <c r="B59" s="116" t="s">
        <v>115</v>
      </c>
      <c r="C59" s="113">
        <v>18145100</v>
      </c>
      <c r="D59" s="113">
        <v>21678280</v>
      </c>
      <c r="E59" s="113">
        <f t="shared" si="7"/>
        <v>3533180</v>
      </c>
      <c r="F59" s="114">
        <f t="shared" si="8"/>
        <v>0.19471813327013904</v>
      </c>
    </row>
    <row r="60" spans="1:6" x14ac:dyDescent="0.2">
      <c r="A60" s="115">
        <v>4</v>
      </c>
      <c r="B60" s="116" t="s">
        <v>116</v>
      </c>
      <c r="C60" s="113">
        <v>1278233</v>
      </c>
      <c r="D60" s="113">
        <v>0</v>
      </c>
      <c r="E60" s="113">
        <f t="shared" si="7"/>
        <v>-1278233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52613</v>
      </c>
      <c r="D61" s="113">
        <v>96721</v>
      </c>
      <c r="E61" s="113">
        <f t="shared" si="7"/>
        <v>44108</v>
      </c>
      <c r="F61" s="114">
        <f t="shared" si="8"/>
        <v>0.83834793682169806</v>
      </c>
    </row>
    <row r="62" spans="1:6" x14ac:dyDescent="0.2">
      <c r="A62" s="115">
        <v>6</v>
      </c>
      <c r="B62" s="116" t="s">
        <v>118</v>
      </c>
      <c r="C62" s="113">
        <v>1287249</v>
      </c>
      <c r="D62" s="113">
        <v>1423361</v>
      </c>
      <c r="E62" s="113">
        <f t="shared" si="7"/>
        <v>136112</v>
      </c>
      <c r="F62" s="114">
        <f t="shared" si="8"/>
        <v>0.10573867216055324</v>
      </c>
    </row>
    <row r="63" spans="1:6" x14ac:dyDescent="0.2">
      <c r="A63" s="115">
        <v>7</v>
      </c>
      <c r="B63" s="116" t="s">
        <v>119</v>
      </c>
      <c r="C63" s="113">
        <v>32536089</v>
      </c>
      <c r="D63" s="113">
        <v>27920990</v>
      </c>
      <c r="E63" s="113">
        <f t="shared" si="7"/>
        <v>-4615099</v>
      </c>
      <c r="F63" s="114">
        <f t="shared" si="8"/>
        <v>-0.14184553650563225</v>
      </c>
    </row>
    <row r="64" spans="1:6" x14ac:dyDescent="0.2">
      <c r="A64" s="115">
        <v>8</v>
      </c>
      <c r="B64" s="116" t="s">
        <v>120</v>
      </c>
      <c r="C64" s="113">
        <v>4094354</v>
      </c>
      <c r="D64" s="113">
        <v>4919579</v>
      </c>
      <c r="E64" s="113">
        <f t="shared" si="7"/>
        <v>825225</v>
      </c>
      <c r="F64" s="114">
        <f t="shared" si="8"/>
        <v>0.20155194201576121</v>
      </c>
    </row>
    <row r="65" spans="1:6" x14ac:dyDescent="0.2">
      <c r="A65" s="115">
        <v>9</v>
      </c>
      <c r="B65" s="116" t="s">
        <v>121</v>
      </c>
      <c r="C65" s="113">
        <v>95854</v>
      </c>
      <c r="D65" s="113">
        <v>37435</v>
      </c>
      <c r="E65" s="113">
        <f t="shared" si="7"/>
        <v>-58419</v>
      </c>
      <c r="F65" s="114">
        <f t="shared" si="8"/>
        <v>-0.60945813424583217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122947491</v>
      </c>
      <c r="D68" s="119">
        <f>SUM(D57:D67)</f>
        <v>119514745</v>
      </c>
      <c r="E68" s="119">
        <f t="shared" si="7"/>
        <v>-3432746</v>
      </c>
      <c r="F68" s="120">
        <f t="shared" si="8"/>
        <v>-2.7920423361872428E-2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14694300</v>
      </c>
      <c r="D70" s="113">
        <v>14461873</v>
      </c>
      <c r="E70" s="113">
        <f t="shared" ref="E70:E81" si="9">D70-C70</f>
        <v>-232427</v>
      </c>
      <c r="F70" s="114">
        <f t="shared" ref="F70:F81" si="10">IF(C70=0,0,E70/C70)</f>
        <v>-1.5817493858162689E-2</v>
      </c>
    </row>
    <row r="71" spans="1:6" x14ac:dyDescent="0.2">
      <c r="A71" s="115">
        <v>2</v>
      </c>
      <c r="B71" s="116" t="s">
        <v>114</v>
      </c>
      <c r="C71" s="113">
        <v>4927548</v>
      </c>
      <c r="D71" s="113">
        <v>5230426</v>
      </c>
      <c r="E71" s="113">
        <f t="shared" si="9"/>
        <v>302878</v>
      </c>
      <c r="F71" s="114">
        <f t="shared" si="10"/>
        <v>6.1466270851141376E-2</v>
      </c>
    </row>
    <row r="72" spans="1:6" x14ac:dyDescent="0.2">
      <c r="A72" s="115">
        <v>3</v>
      </c>
      <c r="B72" s="116" t="s">
        <v>115</v>
      </c>
      <c r="C72" s="113">
        <v>17086845</v>
      </c>
      <c r="D72" s="113">
        <v>26414789</v>
      </c>
      <c r="E72" s="113">
        <f t="shared" si="9"/>
        <v>9327944</v>
      </c>
      <c r="F72" s="114">
        <f t="shared" si="10"/>
        <v>0.54591377167639787</v>
      </c>
    </row>
    <row r="73" spans="1:6" x14ac:dyDescent="0.2">
      <c r="A73" s="115">
        <v>4</v>
      </c>
      <c r="B73" s="116" t="s">
        <v>116</v>
      </c>
      <c r="C73" s="113">
        <v>2195338</v>
      </c>
      <c r="D73" s="113">
        <v>0</v>
      </c>
      <c r="E73" s="113">
        <f t="shared" si="9"/>
        <v>-2195338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157949</v>
      </c>
      <c r="D74" s="113">
        <v>157105</v>
      </c>
      <c r="E74" s="113">
        <f t="shared" si="9"/>
        <v>-844</v>
      </c>
      <c r="F74" s="114">
        <f t="shared" si="10"/>
        <v>-5.3434969515476511E-3</v>
      </c>
    </row>
    <row r="75" spans="1:6" x14ac:dyDescent="0.2">
      <c r="A75" s="115">
        <v>6</v>
      </c>
      <c r="B75" s="116" t="s">
        <v>118</v>
      </c>
      <c r="C75" s="113">
        <v>2565808</v>
      </c>
      <c r="D75" s="113">
        <v>2113427</v>
      </c>
      <c r="E75" s="113">
        <f t="shared" si="9"/>
        <v>-452381</v>
      </c>
      <c r="F75" s="114">
        <f t="shared" si="10"/>
        <v>-0.17631132181363532</v>
      </c>
    </row>
    <row r="76" spans="1:6" x14ac:dyDescent="0.2">
      <c r="A76" s="115">
        <v>7</v>
      </c>
      <c r="B76" s="116" t="s">
        <v>119</v>
      </c>
      <c r="C76" s="113">
        <v>38794165</v>
      </c>
      <c r="D76" s="113">
        <v>38004442</v>
      </c>
      <c r="E76" s="113">
        <f t="shared" si="9"/>
        <v>-789723</v>
      </c>
      <c r="F76" s="114">
        <f t="shared" si="10"/>
        <v>-2.0356746948929045E-2</v>
      </c>
    </row>
    <row r="77" spans="1:6" x14ac:dyDescent="0.2">
      <c r="A77" s="115">
        <v>8</v>
      </c>
      <c r="B77" s="116" t="s">
        <v>120</v>
      </c>
      <c r="C77" s="113">
        <v>5688739</v>
      </c>
      <c r="D77" s="113">
        <v>5485228</v>
      </c>
      <c r="E77" s="113">
        <f t="shared" si="9"/>
        <v>-203511</v>
      </c>
      <c r="F77" s="114">
        <f t="shared" si="10"/>
        <v>-3.5774360539304051E-2</v>
      </c>
    </row>
    <row r="78" spans="1:6" x14ac:dyDescent="0.2">
      <c r="A78" s="115">
        <v>9</v>
      </c>
      <c r="B78" s="116" t="s">
        <v>121</v>
      </c>
      <c r="C78" s="113">
        <v>424205</v>
      </c>
      <c r="D78" s="113">
        <v>208733</v>
      </c>
      <c r="E78" s="113">
        <f t="shared" si="9"/>
        <v>-215472</v>
      </c>
      <c r="F78" s="114">
        <f t="shared" si="10"/>
        <v>-0.50794309355146683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86534897</v>
      </c>
      <c r="D81" s="119">
        <f>SUM(D70:D80)</f>
        <v>92076023</v>
      </c>
      <c r="E81" s="119">
        <f t="shared" si="9"/>
        <v>5541126</v>
      </c>
      <c r="F81" s="120">
        <f t="shared" si="10"/>
        <v>6.403342688441635E-2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69083216</v>
      </c>
      <c r="D84" s="119">
        <f t="shared" si="11"/>
        <v>66625192</v>
      </c>
      <c r="E84" s="119">
        <f t="shared" ref="E84:E95" si="12">D84-C84</f>
        <v>-2458024</v>
      </c>
      <c r="F84" s="120">
        <f t="shared" ref="F84:F95" si="13">IF(C84=0,0,E84/C84)</f>
        <v>-3.5580624966851569E-2</v>
      </c>
    </row>
    <row r="85" spans="1:6" ht="15.75" x14ac:dyDescent="0.25">
      <c r="A85" s="130">
        <v>2</v>
      </c>
      <c r="B85" s="122" t="s">
        <v>114</v>
      </c>
      <c r="C85" s="119">
        <f t="shared" si="11"/>
        <v>15996631</v>
      </c>
      <c r="D85" s="119">
        <f t="shared" si="11"/>
        <v>16505486</v>
      </c>
      <c r="E85" s="119">
        <f t="shared" si="12"/>
        <v>508855</v>
      </c>
      <c r="F85" s="120">
        <f t="shared" si="13"/>
        <v>3.181013552166078E-2</v>
      </c>
    </row>
    <row r="86" spans="1:6" ht="15.75" x14ac:dyDescent="0.25">
      <c r="A86" s="130">
        <v>3</v>
      </c>
      <c r="B86" s="122" t="s">
        <v>115</v>
      </c>
      <c r="C86" s="119">
        <f t="shared" si="11"/>
        <v>35231945</v>
      </c>
      <c r="D86" s="119">
        <f t="shared" si="11"/>
        <v>48093069</v>
      </c>
      <c r="E86" s="119">
        <f t="shared" si="12"/>
        <v>12861124</v>
      </c>
      <c r="F86" s="120">
        <f t="shared" si="13"/>
        <v>0.36504155532713278</v>
      </c>
    </row>
    <row r="87" spans="1:6" ht="15.75" x14ac:dyDescent="0.25">
      <c r="A87" s="130">
        <v>4</v>
      </c>
      <c r="B87" s="122" t="s">
        <v>116</v>
      </c>
      <c r="C87" s="119">
        <f t="shared" si="11"/>
        <v>3473571</v>
      </c>
      <c r="D87" s="119">
        <f t="shared" si="11"/>
        <v>0</v>
      </c>
      <c r="E87" s="119">
        <f t="shared" si="12"/>
        <v>-3473571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210562</v>
      </c>
      <c r="D88" s="119">
        <f t="shared" si="11"/>
        <v>253826</v>
      </c>
      <c r="E88" s="119">
        <f t="shared" si="12"/>
        <v>43264</v>
      </c>
      <c r="F88" s="120">
        <f t="shared" si="13"/>
        <v>0.20546917297518072</v>
      </c>
    </row>
    <row r="89" spans="1:6" ht="15.75" x14ac:dyDescent="0.25">
      <c r="A89" s="130">
        <v>6</v>
      </c>
      <c r="B89" s="122" t="s">
        <v>118</v>
      </c>
      <c r="C89" s="119">
        <f t="shared" si="11"/>
        <v>3853057</v>
      </c>
      <c r="D89" s="119">
        <f t="shared" si="11"/>
        <v>3536788</v>
      </c>
      <c r="E89" s="119">
        <f t="shared" si="12"/>
        <v>-316269</v>
      </c>
      <c r="F89" s="120">
        <f t="shared" si="13"/>
        <v>-8.2082616478292431E-2</v>
      </c>
    </row>
    <row r="90" spans="1:6" ht="15.75" x14ac:dyDescent="0.25">
      <c r="A90" s="130">
        <v>7</v>
      </c>
      <c r="B90" s="122" t="s">
        <v>119</v>
      </c>
      <c r="C90" s="119">
        <f t="shared" si="11"/>
        <v>71330254</v>
      </c>
      <c r="D90" s="119">
        <f t="shared" si="11"/>
        <v>65925432</v>
      </c>
      <c r="E90" s="119">
        <f t="shared" si="12"/>
        <v>-5404822</v>
      </c>
      <c r="F90" s="120">
        <f t="shared" si="13"/>
        <v>-7.577180364449565E-2</v>
      </c>
    </row>
    <row r="91" spans="1:6" ht="15.75" x14ac:dyDescent="0.25">
      <c r="A91" s="130">
        <v>8</v>
      </c>
      <c r="B91" s="122" t="s">
        <v>120</v>
      </c>
      <c r="C91" s="119">
        <f t="shared" si="11"/>
        <v>9783093</v>
      </c>
      <c r="D91" s="119">
        <f t="shared" si="11"/>
        <v>10404807</v>
      </c>
      <c r="E91" s="119">
        <f t="shared" si="12"/>
        <v>621714</v>
      </c>
      <c r="F91" s="120">
        <f t="shared" si="13"/>
        <v>6.3549840525895032E-2</v>
      </c>
    </row>
    <row r="92" spans="1:6" ht="15.75" x14ac:dyDescent="0.25">
      <c r="A92" s="130">
        <v>9</v>
      </c>
      <c r="B92" s="122" t="s">
        <v>121</v>
      </c>
      <c r="C92" s="119">
        <f t="shared" si="11"/>
        <v>520059</v>
      </c>
      <c r="D92" s="119">
        <f t="shared" si="11"/>
        <v>246168</v>
      </c>
      <c r="E92" s="119">
        <f t="shared" si="12"/>
        <v>-273891</v>
      </c>
      <c r="F92" s="120">
        <f t="shared" si="13"/>
        <v>-0.52665370659867439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209482388</v>
      </c>
      <c r="D95" s="128">
        <f>SUM(D84:D94)</f>
        <v>211590768</v>
      </c>
      <c r="E95" s="128">
        <f t="shared" si="12"/>
        <v>2108380</v>
      </c>
      <c r="F95" s="129">
        <f t="shared" si="13"/>
        <v>1.0064712456877282E-2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4187</v>
      </c>
      <c r="D100" s="133">
        <v>4045</v>
      </c>
      <c r="E100" s="133">
        <f t="shared" ref="E100:E111" si="14">D100-C100</f>
        <v>-142</v>
      </c>
      <c r="F100" s="114">
        <f t="shared" ref="F100:F111" si="15">IF(C100=0,0,E100/C100)</f>
        <v>-3.391449725340339E-2</v>
      </c>
    </row>
    <row r="101" spans="1:6" x14ac:dyDescent="0.2">
      <c r="A101" s="115">
        <v>2</v>
      </c>
      <c r="B101" s="116" t="s">
        <v>114</v>
      </c>
      <c r="C101" s="133">
        <v>1011</v>
      </c>
      <c r="D101" s="133">
        <v>1008</v>
      </c>
      <c r="E101" s="133">
        <f t="shared" si="14"/>
        <v>-3</v>
      </c>
      <c r="F101" s="114">
        <f t="shared" si="15"/>
        <v>-2.967359050445104E-3</v>
      </c>
    </row>
    <row r="102" spans="1:6" x14ac:dyDescent="0.2">
      <c r="A102" s="115">
        <v>3</v>
      </c>
      <c r="B102" s="116" t="s">
        <v>115</v>
      </c>
      <c r="C102" s="133">
        <v>2962</v>
      </c>
      <c r="D102" s="133">
        <v>3345</v>
      </c>
      <c r="E102" s="133">
        <f t="shared" si="14"/>
        <v>383</v>
      </c>
      <c r="F102" s="114">
        <f t="shared" si="15"/>
        <v>0.12930452397029035</v>
      </c>
    </row>
    <row r="103" spans="1:6" x14ac:dyDescent="0.2">
      <c r="A103" s="115">
        <v>4</v>
      </c>
      <c r="B103" s="116" t="s">
        <v>116</v>
      </c>
      <c r="C103" s="133">
        <v>269</v>
      </c>
      <c r="D103" s="133">
        <v>0</v>
      </c>
      <c r="E103" s="133">
        <f t="shared" si="14"/>
        <v>-269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22</v>
      </c>
      <c r="D104" s="133">
        <v>25</v>
      </c>
      <c r="E104" s="133">
        <f t="shared" si="14"/>
        <v>3</v>
      </c>
      <c r="F104" s="114">
        <f t="shared" si="15"/>
        <v>0.13636363636363635</v>
      </c>
    </row>
    <row r="105" spans="1:6" x14ac:dyDescent="0.2">
      <c r="A105" s="115">
        <v>6</v>
      </c>
      <c r="B105" s="116" t="s">
        <v>118</v>
      </c>
      <c r="C105" s="133">
        <v>167</v>
      </c>
      <c r="D105" s="133">
        <v>175</v>
      </c>
      <c r="E105" s="133">
        <f t="shared" si="14"/>
        <v>8</v>
      </c>
      <c r="F105" s="114">
        <f t="shared" si="15"/>
        <v>4.790419161676647E-2</v>
      </c>
    </row>
    <row r="106" spans="1:6" x14ac:dyDescent="0.2">
      <c r="A106" s="115">
        <v>7</v>
      </c>
      <c r="B106" s="116" t="s">
        <v>119</v>
      </c>
      <c r="C106" s="133">
        <v>3131</v>
      </c>
      <c r="D106" s="133">
        <v>2798</v>
      </c>
      <c r="E106" s="133">
        <f t="shared" si="14"/>
        <v>-333</v>
      </c>
      <c r="F106" s="114">
        <f t="shared" si="15"/>
        <v>-0.10635579687000958</v>
      </c>
    </row>
    <row r="107" spans="1:6" x14ac:dyDescent="0.2">
      <c r="A107" s="115">
        <v>8</v>
      </c>
      <c r="B107" s="116" t="s">
        <v>120</v>
      </c>
      <c r="C107" s="133">
        <v>159</v>
      </c>
      <c r="D107" s="133">
        <v>155</v>
      </c>
      <c r="E107" s="133">
        <f t="shared" si="14"/>
        <v>-4</v>
      </c>
      <c r="F107" s="114">
        <f t="shared" si="15"/>
        <v>-2.5157232704402517E-2</v>
      </c>
    </row>
    <row r="108" spans="1:6" x14ac:dyDescent="0.2">
      <c r="A108" s="115">
        <v>9</v>
      </c>
      <c r="B108" s="116" t="s">
        <v>121</v>
      </c>
      <c r="C108" s="133">
        <v>170</v>
      </c>
      <c r="D108" s="133">
        <v>178</v>
      </c>
      <c r="E108" s="133">
        <f t="shared" si="14"/>
        <v>8</v>
      </c>
      <c r="F108" s="114">
        <f t="shared" si="15"/>
        <v>4.7058823529411764E-2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12078</v>
      </c>
      <c r="D111" s="134">
        <f>SUM(D100:D110)</f>
        <v>11729</v>
      </c>
      <c r="E111" s="134">
        <f t="shared" si="14"/>
        <v>-349</v>
      </c>
      <c r="F111" s="120">
        <f t="shared" si="15"/>
        <v>-2.889551250206988E-2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21019</v>
      </c>
      <c r="D113" s="133">
        <v>21351</v>
      </c>
      <c r="E113" s="133">
        <f t="shared" ref="E113:E124" si="16">D113-C113</f>
        <v>332</v>
      </c>
      <c r="F113" s="114">
        <f t="shared" ref="F113:F124" si="17">IF(C113=0,0,E113/C113)</f>
        <v>1.579523288453304E-2</v>
      </c>
    </row>
    <row r="114" spans="1:6" x14ac:dyDescent="0.2">
      <c r="A114" s="115">
        <v>2</v>
      </c>
      <c r="B114" s="116" t="s">
        <v>114</v>
      </c>
      <c r="C114" s="133">
        <v>5045</v>
      </c>
      <c r="D114" s="133">
        <v>5259</v>
      </c>
      <c r="E114" s="133">
        <f t="shared" si="16"/>
        <v>214</v>
      </c>
      <c r="F114" s="114">
        <f t="shared" si="17"/>
        <v>4.2418235877106046E-2</v>
      </c>
    </row>
    <row r="115" spans="1:6" x14ac:dyDescent="0.2">
      <c r="A115" s="115">
        <v>3</v>
      </c>
      <c r="B115" s="116" t="s">
        <v>115</v>
      </c>
      <c r="C115" s="133">
        <v>11865</v>
      </c>
      <c r="D115" s="133">
        <v>12946</v>
      </c>
      <c r="E115" s="133">
        <f t="shared" si="16"/>
        <v>1081</v>
      </c>
      <c r="F115" s="114">
        <f t="shared" si="17"/>
        <v>9.1108301727770749E-2</v>
      </c>
    </row>
    <row r="116" spans="1:6" x14ac:dyDescent="0.2">
      <c r="A116" s="115">
        <v>4</v>
      </c>
      <c r="B116" s="116" t="s">
        <v>116</v>
      </c>
      <c r="C116" s="133">
        <v>851</v>
      </c>
      <c r="D116" s="133">
        <v>0</v>
      </c>
      <c r="E116" s="133">
        <f t="shared" si="16"/>
        <v>-851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56</v>
      </c>
      <c r="D117" s="133">
        <v>72</v>
      </c>
      <c r="E117" s="133">
        <f t="shared" si="16"/>
        <v>16</v>
      </c>
      <c r="F117" s="114">
        <f t="shared" si="17"/>
        <v>0.2857142857142857</v>
      </c>
    </row>
    <row r="118" spans="1:6" x14ac:dyDescent="0.2">
      <c r="A118" s="115">
        <v>6</v>
      </c>
      <c r="B118" s="116" t="s">
        <v>118</v>
      </c>
      <c r="C118" s="133">
        <v>648</v>
      </c>
      <c r="D118" s="133">
        <v>601</v>
      </c>
      <c r="E118" s="133">
        <f t="shared" si="16"/>
        <v>-47</v>
      </c>
      <c r="F118" s="114">
        <f t="shared" si="17"/>
        <v>-7.2530864197530867E-2</v>
      </c>
    </row>
    <row r="119" spans="1:6" x14ac:dyDescent="0.2">
      <c r="A119" s="115">
        <v>7</v>
      </c>
      <c r="B119" s="116" t="s">
        <v>119</v>
      </c>
      <c r="C119" s="133">
        <v>11060</v>
      </c>
      <c r="D119" s="133">
        <v>10630</v>
      </c>
      <c r="E119" s="133">
        <f t="shared" si="16"/>
        <v>-430</v>
      </c>
      <c r="F119" s="114">
        <f t="shared" si="17"/>
        <v>-3.8878842676311032E-2</v>
      </c>
    </row>
    <row r="120" spans="1:6" x14ac:dyDescent="0.2">
      <c r="A120" s="115">
        <v>8</v>
      </c>
      <c r="B120" s="116" t="s">
        <v>120</v>
      </c>
      <c r="C120" s="133">
        <v>465</v>
      </c>
      <c r="D120" s="133">
        <v>445</v>
      </c>
      <c r="E120" s="133">
        <f t="shared" si="16"/>
        <v>-20</v>
      </c>
      <c r="F120" s="114">
        <f t="shared" si="17"/>
        <v>-4.3010752688172046E-2</v>
      </c>
    </row>
    <row r="121" spans="1:6" x14ac:dyDescent="0.2">
      <c r="A121" s="115">
        <v>9</v>
      </c>
      <c r="B121" s="116" t="s">
        <v>121</v>
      </c>
      <c r="C121" s="133">
        <v>547</v>
      </c>
      <c r="D121" s="133">
        <v>529</v>
      </c>
      <c r="E121" s="133">
        <f t="shared" si="16"/>
        <v>-18</v>
      </c>
      <c r="F121" s="114">
        <f t="shared" si="17"/>
        <v>-3.2906764168190127E-2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51556</v>
      </c>
      <c r="D124" s="134">
        <f>SUM(D113:D123)</f>
        <v>51833</v>
      </c>
      <c r="E124" s="134">
        <f t="shared" si="16"/>
        <v>277</v>
      </c>
      <c r="F124" s="120">
        <f t="shared" si="17"/>
        <v>5.3727985103576691E-3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50365</v>
      </c>
      <c r="D126" s="133">
        <v>45771</v>
      </c>
      <c r="E126" s="133">
        <f t="shared" ref="E126:E137" si="18">D126-C126</f>
        <v>-4594</v>
      </c>
      <c r="F126" s="114">
        <f t="shared" ref="F126:F137" si="19">IF(C126=0,0,E126/C126)</f>
        <v>-9.121413680135014E-2</v>
      </c>
    </row>
    <row r="127" spans="1:6" x14ac:dyDescent="0.2">
      <c r="A127" s="115">
        <v>2</v>
      </c>
      <c r="B127" s="116" t="s">
        <v>114</v>
      </c>
      <c r="C127" s="133">
        <v>15685</v>
      </c>
      <c r="D127" s="133">
        <v>16485</v>
      </c>
      <c r="E127" s="133">
        <f t="shared" si="18"/>
        <v>800</v>
      </c>
      <c r="F127" s="114">
        <f t="shared" si="19"/>
        <v>5.1004144086707046E-2</v>
      </c>
    </row>
    <row r="128" spans="1:6" x14ac:dyDescent="0.2">
      <c r="A128" s="115">
        <v>3</v>
      </c>
      <c r="B128" s="116" t="s">
        <v>115</v>
      </c>
      <c r="C128" s="133">
        <v>55237</v>
      </c>
      <c r="D128" s="133">
        <v>63839</v>
      </c>
      <c r="E128" s="133">
        <f t="shared" si="18"/>
        <v>8602</v>
      </c>
      <c r="F128" s="114">
        <f t="shared" si="19"/>
        <v>0.15572894979814256</v>
      </c>
    </row>
    <row r="129" spans="1:6" x14ac:dyDescent="0.2">
      <c r="A129" s="115">
        <v>4</v>
      </c>
      <c r="B129" s="116" t="s">
        <v>116</v>
      </c>
      <c r="C129" s="133">
        <v>9145</v>
      </c>
      <c r="D129" s="133">
        <v>0</v>
      </c>
      <c r="E129" s="133">
        <f t="shared" si="18"/>
        <v>-9145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407</v>
      </c>
      <c r="D130" s="133">
        <v>436</v>
      </c>
      <c r="E130" s="133">
        <f t="shared" si="18"/>
        <v>29</v>
      </c>
      <c r="F130" s="114">
        <f t="shared" si="19"/>
        <v>7.125307125307126E-2</v>
      </c>
    </row>
    <row r="131" spans="1:6" x14ac:dyDescent="0.2">
      <c r="A131" s="115">
        <v>6</v>
      </c>
      <c r="B131" s="116" t="s">
        <v>118</v>
      </c>
      <c r="C131" s="133">
        <v>4404</v>
      </c>
      <c r="D131" s="133">
        <v>5218</v>
      </c>
      <c r="E131" s="133">
        <f t="shared" si="18"/>
        <v>814</v>
      </c>
      <c r="F131" s="114">
        <f t="shared" si="19"/>
        <v>0.18483197093551318</v>
      </c>
    </row>
    <row r="132" spans="1:6" x14ac:dyDescent="0.2">
      <c r="A132" s="115">
        <v>7</v>
      </c>
      <c r="B132" s="116" t="s">
        <v>119</v>
      </c>
      <c r="C132" s="133">
        <v>80742</v>
      </c>
      <c r="D132" s="133">
        <v>73998</v>
      </c>
      <c r="E132" s="133">
        <f t="shared" si="18"/>
        <v>-6744</v>
      </c>
      <c r="F132" s="114">
        <f t="shared" si="19"/>
        <v>-8.35253028163781E-2</v>
      </c>
    </row>
    <row r="133" spans="1:6" x14ac:dyDescent="0.2">
      <c r="A133" s="115">
        <v>8</v>
      </c>
      <c r="B133" s="116" t="s">
        <v>120</v>
      </c>
      <c r="C133" s="133">
        <v>2973</v>
      </c>
      <c r="D133" s="133">
        <v>2941</v>
      </c>
      <c r="E133" s="133">
        <f t="shared" si="18"/>
        <v>-32</v>
      </c>
      <c r="F133" s="114">
        <f t="shared" si="19"/>
        <v>-1.0763538513286243E-2</v>
      </c>
    </row>
    <row r="134" spans="1:6" x14ac:dyDescent="0.2">
      <c r="A134" s="115">
        <v>9</v>
      </c>
      <c r="B134" s="116" t="s">
        <v>121</v>
      </c>
      <c r="C134" s="133">
        <v>7224</v>
      </c>
      <c r="D134" s="133">
        <v>9232</v>
      </c>
      <c r="E134" s="133">
        <f t="shared" si="18"/>
        <v>2008</v>
      </c>
      <c r="F134" s="114">
        <f t="shared" si="19"/>
        <v>0.27796234772978962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226182</v>
      </c>
      <c r="D137" s="134">
        <f>SUM(D126:D136)</f>
        <v>217920</v>
      </c>
      <c r="E137" s="134">
        <f t="shared" si="18"/>
        <v>-8262</v>
      </c>
      <c r="F137" s="120">
        <f t="shared" si="19"/>
        <v>-3.6528105684802505E-2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17323957</v>
      </c>
      <c r="D142" s="113">
        <v>16040513</v>
      </c>
      <c r="E142" s="113">
        <f t="shared" ref="E142:E153" si="20">D142-C142</f>
        <v>-1283444</v>
      </c>
      <c r="F142" s="114">
        <f t="shared" ref="F142:F153" si="21">IF(C142=0,0,E142/C142)</f>
        <v>-7.4084921822421976E-2</v>
      </c>
    </row>
    <row r="143" spans="1:6" x14ac:dyDescent="0.2">
      <c r="A143" s="115">
        <v>2</v>
      </c>
      <c r="B143" s="116" t="s">
        <v>114</v>
      </c>
      <c r="C143" s="113">
        <v>4234441</v>
      </c>
      <c r="D143" s="113">
        <v>4385560</v>
      </c>
      <c r="E143" s="113">
        <f t="shared" si="20"/>
        <v>151119</v>
      </c>
      <c r="F143" s="114">
        <f t="shared" si="21"/>
        <v>3.5688063666491042E-2</v>
      </c>
    </row>
    <row r="144" spans="1:6" x14ac:dyDescent="0.2">
      <c r="A144" s="115">
        <v>3</v>
      </c>
      <c r="B144" s="116" t="s">
        <v>115</v>
      </c>
      <c r="C144" s="113">
        <v>44322108</v>
      </c>
      <c r="D144" s="113">
        <v>57819476</v>
      </c>
      <c r="E144" s="113">
        <f t="shared" si="20"/>
        <v>13497368</v>
      </c>
      <c r="F144" s="114">
        <f t="shared" si="21"/>
        <v>0.30452901743752803</v>
      </c>
    </row>
    <row r="145" spans="1:6" x14ac:dyDescent="0.2">
      <c r="A145" s="115">
        <v>4</v>
      </c>
      <c r="B145" s="116" t="s">
        <v>116</v>
      </c>
      <c r="C145" s="113">
        <v>7133810</v>
      </c>
      <c r="D145" s="113">
        <v>0</v>
      </c>
      <c r="E145" s="113">
        <f t="shared" si="20"/>
        <v>-7133810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253539</v>
      </c>
      <c r="D146" s="113">
        <v>232413</v>
      </c>
      <c r="E146" s="113">
        <f t="shared" si="20"/>
        <v>-21126</v>
      </c>
      <c r="F146" s="114">
        <f t="shared" si="21"/>
        <v>-8.3324458958976722E-2</v>
      </c>
    </row>
    <row r="147" spans="1:6" x14ac:dyDescent="0.2">
      <c r="A147" s="115">
        <v>6</v>
      </c>
      <c r="B147" s="116" t="s">
        <v>118</v>
      </c>
      <c r="C147" s="113">
        <v>3756204</v>
      </c>
      <c r="D147" s="113">
        <v>3691450</v>
      </c>
      <c r="E147" s="113">
        <f t="shared" si="20"/>
        <v>-64754</v>
      </c>
      <c r="F147" s="114">
        <f t="shared" si="21"/>
        <v>-1.7239212779710581E-2</v>
      </c>
    </row>
    <row r="148" spans="1:6" x14ac:dyDescent="0.2">
      <c r="A148" s="115">
        <v>7</v>
      </c>
      <c r="B148" s="116" t="s">
        <v>119</v>
      </c>
      <c r="C148" s="113">
        <v>21802709</v>
      </c>
      <c r="D148" s="113">
        <v>20540384</v>
      </c>
      <c r="E148" s="113">
        <f t="shared" si="20"/>
        <v>-1262325</v>
      </c>
      <c r="F148" s="114">
        <f t="shared" si="21"/>
        <v>-5.7897621804703259E-2</v>
      </c>
    </row>
    <row r="149" spans="1:6" x14ac:dyDescent="0.2">
      <c r="A149" s="115">
        <v>8</v>
      </c>
      <c r="B149" s="116" t="s">
        <v>120</v>
      </c>
      <c r="C149" s="113">
        <v>1382390</v>
      </c>
      <c r="D149" s="113">
        <v>1315491</v>
      </c>
      <c r="E149" s="113">
        <f t="shared" si="20"/>
        <v>-66899</v>
      </c>
      <c r="F149" s="114">
        <f t="shared" si="21"/>
        <v>-4.8393723912933395E-2</v>
      </c>
    </row>
    <row r="150" spans="1:6" x14ac:dyDescent="0.2">
      <c r="A150" s="115">
        <v>9</v>
      </c>
      <c r="B150" s="116" t="s">
        <v>121</v>
      </c>
      <c r="C150" s="113">
        <v>8318663</v>
      </c>
      <c r="D150" s="113">
        <v>8759076</v>
      </c>
      <c r="E150" s="113">
        <f t="shared" si="20"/>
        <v>440413</v>
      </c>
      <c r="F150" s="114">
        <f t="shared" si="21"/>
        <v>5.2942762556915698E-2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108527821</v>
      </c>
      <c r="D153" s="119">
        <f>SUM(D142:D152)</f>
        <v>112784363</v>
      </c>
      <c r="E153" s="119">
        <f t="shared" si="20"/>
        <v>4256542</v>
      </c>
      <c r="F153" s="120">
        <f t="shared" si="21"/>
        <v>3.9220745065912638E-2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2781129</v>
      </c>
      <c r="D155" s="113">
        <v>2516398</v>
      </c>
      <c r="E155" s="113">
        <f t="shared" ref="E155:E166" si="22">D155-C155</f>
        <v>-264731</v>
      </c>
      <c r="F155" s="114">
        <f t="shared" ref="F155:F166" si="23">IF(C155=0,0,E155/C155)</f>
        <v>-9.5188321002010329E-2</v>
      </c>
    </row>
    <row r="156" spans="1:6" x14ac:dyDescent="0.2">
      <c r="A156" s="115">
        <v>2</v>
      </c>
      <c r="B156" s="116" t="s">
        <v>114</v>
      </c>
      <c r="C156" s="113">
        <v>801573</v>
      </c>
      <c r="D156" s="113">
        <v>784045</v>
      </c>
      <c r="E156" s="113">
        <f t="shared" si="22"/>
        <v>-17528</v>
      </c>
      <c r="F156" s="114">
        <f t="shared" si="23"/>
        <v>-2.1867004003378359E-2</v>
      </c>
    </row>
    <row r="157" spans="1:6" x14ac:dyDescent="0.2">
      <c r="A157" s="115">
        <v>3</v>
      </c>
      <c r="B157" s="116" t="s">
        <v>115</v>
      </c>
      <c r="C157" s="113">
        <v>5972223</v>
      </c>
      <c r="D157" s="113">
        <v>9182305</v>
      </c>
      <c r="E157" s="113">
        <f t="shared" si="22"/>
        <v>3210082</v>
      </c>
      <c r="F157" s="114">
        <f t="shared" si="23"/>
        <v>0.53750203232531668</v>
      </c>
    </row>
    <row r="158" spans="1:6" x14ac:dyDescent="0.2">
      <c r="A158" s="115">
        <v>4</v>
      </c>
      <c r="B158" s="116" t="s">
        <v>116</v>
      </c>
      <c r="C158" s="113">
        <v>1071578</v>
      </c>
      <c r="D158" s="113">
        <v>0</v>
      </c>
      <c r="E158" s="113">
        <f t="shared" si="22"/>
        <v>-1071578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47270</v>
      </c>
      <c r="D159" s="113">
        <v>38427</v>
      </c>
      <c r="E159" s="113">
        <f t="shared" si="22"/>
        <v>-8843</v>
      </c>
      <c r="F159" s="114">
        <f t="shared" si="23"/>
        <v>-0.18707425428390098</v>
      </c>
    </row>
    <row r="160" spans="1:6" x14ac:dyDescent="0.2">
      <c r="A160" s="115">
        <v>6</v>
      </c>
      <c r="B160" s="116" t="s">
        <v>118</v>
      </c>
      <c r="C160" s="113">
        <v>746005</v>
      </c>
      <c r="D160" s="113">
        <v>679023</v>
      </c>
      <c r="E160" s="113">
        <f t="shared" si="22"/>
        <v>-66982</v>
      </c>
      <c r="F160" s="114">
        <f t="shared" si="23"/>
        <v>-8.9787601959772381E-2</v>
      </c>
    </row>
    <row r="161" spans="1:6" x14ac:dyDescent="0.2">
      <c r="A161" s="115">
        <v>7</v>
      </c>
      <c r="B161" s="116" t="s">
        <v>119</v>
      </c>
      <c r="C161" s="113">
        <v>6361304</v>
      </c>
      <c r="D161" s="113">
        <v>6265200</v>
      </c>
      <c r="E161" s="113">
        <f t="shared" si="22"/>
        <v>-96104</v>
      </c>
      <c r="F161" s="114">
        <f t="shared" si="23"/>
        <v>-1.5107594291987932E-2</v>
      </c>
    </row>
    <row r="162" spans="1:6" x14ac:dyDescent="0.2">
      <c r="A162" s="115">
        <v>8</v>
      </c>
      <c r="B162" s="116" t="s">
        <v>120</v>
      </c>
      <c r="C162" s="113">
        <v>911644</v>
      </c>
      <c r="D162" s="113">
        <v>725944</v>
      </c>
      <c r="E162" s="113">
        <f t="shared" si="22"/>
        <v>-185700</v>
      </c>
      <c r="F162" s="114">
        <f t="shared" si="23"/>
        <v>-0.20369793472013198</v>
      </c>
    </row>
    <row r="163" spans="1:6" x14ac:dyDescent="0.2">
      <c r="A163" s="115">
        <v>9</v>
      </c>
      <c r="B163" s="116" t="s">
        <v>121</v>
      </c>
      <c r="C163" s="113">
        <v>134790</v>
      </c>
      <c r="D163" s="113">
        <v>105459</v>
      </c>
      <c r="E163" s="113">
        <f t="shared" si="22"/>
        <v>-29331</v>
      </c>
      <c r="F163" s="114">
        <f t="shared" si="23"/>
        <v>-0.21760516358780324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18827516</v>
      </c>
      <c r="D166" s="119">
        <f>SUM(D155:D165)</f>
        <v>20296801</v>
      </c>
      <c r="E166" s="119">
        <f t="shared" si="22"/>
        <v>1469285</v>
      </c>
      <c r="F166" s="120">
        <f t="shared" si="23"/>
        <v>7.8039237889905397E-2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8017</v>
      </c>
      <c r="D168" s="133">
        <v>7325</v>
      </c>
      <c r="E168" s="133">
        <f t="shared" ref="E168:E179" si="24">D168-C168</f>
        <v>-692</v>
      </c>
      <c r="F168" s="114">
        <f t="shared" ref="F168:F179" si="25">IF(C168=0,0,E168/C168)</f>
        <v>-8.6316577273294254E-2</v>
      </c>
    </row>
    <row r="169" spans="1:6" x14ac:dyDescent="0.2">
      <c r="A169" s="115">
        <v>2</v>
      </c>
      <c r="B169" s="116" t="s">
        <v>114</v>
      </c>
      <c r="C169" s="133">
        <v>1910</v>
      </c>
      <c r="D169" s="133">
        <v>1903</v>
      </c>
      <c r="E169" s="133">
        <f t="shared" si="24"/>
        <v>-7</v>
      </c>
      <c r="F169" s="114">
        <f t="shared" si="25"/>
        <v>-3.6649214659685864E-3</v>
      </c>
    </row>
    <row r="170" spans="1:6" x14ac:dyDescent="0.2">
      <c r="A170" s="115">
        <v>3</v>
      </c>
      <c r="B170" s="116" t="s">
        <v>115</v>
      </c>
      <c r="C170" s="133">
        <v>28558</v>
      </c>
      <c r="D170" s="133">
        <v>34306</v>
      </c>
      <c r="E170" s="133">
        <f t="shared" si="24"/>
        <v>5748</v>
      </c>
      <c r="F170" s="114">
        <f t="shared" si="25"/>
        <v>0.20127459906155892</v>
      </c>
    </row>
    <row r="171" spans="1:6" x14ac:dyDescent="0.2">
      <c r="A171" s="115">
        <v>4</v>
      </c>
      <c r="B171" s="116" t="s">
        <v>116</v>
      </c>
      <c r="C171" s="133">
        <v>5088</v>
      </c>
      <c r="D171" s="133">
        <v>0</v>
      </c>
      <c r="E171" s="133">
        <f t="shared" si="24"/>
        <v>-5088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149</v>
      </c>
      <c r="D172" s="133">
        <v>140</v>
      </c>
      <c r="E172" s="133">
        <f t="shared" si="24"/>
        <v>-9</v>
      </c>
      <c r="F172" s="114">
        <f t="shared" si="25"/>
        <v>-6.0402684563758392E-2</v>
      </c>
    </row>
    <row r="173" spans="1:6" x14ac:dyDescent="0.2">
      <c r="A173" s="115">
        <v>6</v>
      </c>
      <c r="B173" s="116" t="s">
        <v>118</v>
      </c>
      <c r="C173" s="133">
        <v>1964</v>
      </c>
      <c r="D173" s="133">
        <v>1807</v>
      </c>
      <c r="E173" s="133">
        <f t="shared" si="24"/>
        <v>-157</v>
      </c>
      <c r="F173" s="114">
        <f t="shared" si="25"/>
        <v>-7.9938900203665994E-2</v>
      </c>
    </row>
    <row r="174" spans="1:6" x14ac:dyDescent="0.2">
      <c r="A174" s="115">
        <v>7</v>
      </c>
      <c r="B174" s="116" t="s">
        <v>119</v>
      </c>
      <c r="C174" s="133">
        <v>11111</v>
      </c>
      <c r="D174" s="133">
        <v>10376</v>
      </c>
      <c r="E174" s="133">
        <f t="shared" si="24"/>
        <v>-735</v>
      </c>
      <c r="F174" s="114">
        <f t="shared" si="25"/>
        <v>-6.6150661506615069E-2</v>
      </c>
    </row>
    <row r="175" spans="1:6" x14ac:dyDescent="0.2">
      <c r="A175" s="115">
        <v>8</v>
      </c>
      <c r="B175" s="116" t="s">
        <v>120</v>
      </c>
      <c r="C175" s="133">
        <v>887</v>
      </c>
      <c r="D175" s="133">
        <v>864</v>
      </c>
      <c r="E175" s="133">
        <f t="shared" si="24"/>
        <v>-23</v>
      </c>
      <c r="F175" s="114">
        <f t="shared" si="25"/>
        <v>-2.5930101465614429E-2</v>
      </c>
    </row>
    <row r="176" spans="1:6" x14ac:dyDescent="0.2">
      <c r="A176" s="115">
        <v>9</v>
      </c>
      <c r="B176" s="116" t="s">
        <v>121</v>
      </c>
      <c r="C176" s="133">
        <v>5284</v>
      </c>
      <c r="D176" s="133">
        <v>5282</v>
      </c>
      <c r="E176" s="133">
        <f t="shared" si="24"/>
        <v>-2</v>
      </c>
      <c r="F176" s="114">
        <f t="shared" si="25"/>
        <v>-3.7850113550340651E-4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62968</v>
      </c>
      <c r="D179" s="134">
        <f>SUM(D168:D178)</f>
        <v>62003</v>
      </c>
      <c r="E179" s="134">
        <f t="shared" si="24"/>
        <v>-965</v>
      </c>
      <c r="F179" s="120">
        <f t="shared" si="25"/>
        <v>-1.5325244568669801E-2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30432420</v>
      </c>
      <c r="D15" s="157">
        <v>28956807</v>
      </c>
      <c r="E15" s="157">
        <f>+D15-C15</f>
        <v>-1475613</v>
      </c>
      <c r="F15" s="161">
        <f>IF(C15=0,0,E15/C15)</f>
        <v>-4.8488191211872075E-2</v>
      </c>
    </row>
    <row r="16" spans="1:6" ht="15" customHeight="1" x14ac:dyDescent="0.2">
      <c r="A16" s="147">
        <v>2</v>
      </c>
      <c r="B16" s="160" t="s">
        <v>157</v>
      </c>
      <c r="C16" s="157">
        <v>3151771</v>
      </c>
      <c r="D16" s="157">
        <v>3289143</v>
      </c>
      <c r="E16" s="157">
        <f>+D16-C16</f>
        <v>137372</v>
      </c>
      <c r="F16" s="161">
        <f>IF(C16=0,0,E16/C16)</f>
        <v>4.3585653906962146E-2</v>
      </c>
    </row>
    <row r="17" spans="1:6" ht="15" customHeight="1" x14ac:dyDescent="0.2">
      <c r="A17" s="147">
        <v>3</v>
      </c>
      <c r="B17" s="160" t="s">
        <v>158</v>
      </c>
      <c r="C17" s="157">
        <v>51014766</v>
      </c>
      <c r="D17" s="157">
        <v>51910300</v>
      </c>
      <c r="E17" s="157">
        <f>+D17-C17</f>
        <v>895534</v>
      </c>
      <c r="F17" s="161">
        <f>IF(C17=0,0,E17/C17)</f>
        <v>1.7554407678749325E-2</v>
      </c>
    </row>
    <row r="18" spans="1:6" ht="15.75" customHeight="1" x14ac:dyDescent="0.25">
      <c r="A18" s="147"/>
      <c r="B18" s="162" t="s">
        <v>159</v>
      </c>
      <c r="C18" s="158">
        <f>SUM(C15:C17)</f>
        <v>84598957</v>
      </c>
      <c r="D18" s="158">
        <f>SUM(D15:D17)</f>
        <v>84156250</v>
      </c>
      <c r="E18" s="158">
        <f>+D18-C18</f>
        <v>-442707</v>
      </c>
      <c r="F18" s="159">
        <f>IF(C18=0,0,E18/C18)</f>
        <v>-5.2330077780982573E-3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7090223</v>
      </c>
      <c r="D21" s="157">
        <v>6967392</v>
      </c>
      <c r="E21" s="157">
        <f>+D21-C21</f>
        <v>-122831</v>
      </c>
      <c r="F21" s="161">
        <f>IF(C21=0,0,E21/C21)</f>
        <v>-1.7323996720554489E-2</v>
      </c>
    </row>
    <row r="22" spans="1:6" ht="15" customHeight="1" x14ac:dyDescent="0.2">
      <c r="A22" s="147">
        <v>2</v>
      </c>
      <c r="B22" s="160" t="s">
        <v>162</v>
      </c>
      <c r="C22" s="157">
        <v>1050785</v>
      </c>
      <c r="D22" s="157">
        <v>1124776</v>
      </c>
      <c r="E22" s="157">
        <f>+D22-C22</f>
        <v>73991</v>
      </c>
      <c r="F22" s="161">
        <f>IF(C22=0,0,E22/C22)</f>
        <v>7.041497547071951E-2</v>
      </c>
    </row>
    <row r="23" spans="1:6" ht="15" customHeight="1" x14ac:dyDescent="0.2">
      <c r="A23" s="147">
        <v>3</v>
      </c>
      <c r="B23" s="160" t="s">
        <v>163</v>
      </c>
      <c r="C23" s="157">
        <v>18431260</v>
      </c>
      <c r="D23" s="157">
        <v>19096852</v>
      </c>
      <c r="E23" s="157">
        <f>+D23-C23</f>
        <v>665592</v>
      </c>
      <c r="F23" s="161">
        <f>IF(C23=0,0,E23/C23)</f>
        <v>3.6112126897455736E-2</v>
      </c>
    </row>
    <row r="24" spans="1:6" ht="15.75" customHeight="1" x14ac:dyDescent="0.25">
      <c r="A24" s="147"/>
      <c r="B24" s="162" t="s">
        <v>164</v>
      </c>
      <c r="C24" s="158">
        <f>SUM(C21:C23)</f>
        <v>26572268</v>
      </c>
      <c r="D24" s="158">
        <f>SUM(D21:D23)</f>
        <v>27189020</v>
      </c>
      <c r="E24" s="158">
        <f>+D24-C24</f>
        <v>616752</v>
      </c>
      <c r="F24" s="159">
        <f>IF(C24=0,0,E24/C24)</f>
        <v>2.3210363526365158E-2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2850080</v>
      </c>
      <c r="D28" s="157">
        <v>5267664</v>
      </c>
      <c r="E28" s="157">
        <f>+D28-C28</f>
        <v>2417584</v>
      </c>
      <c r="F28" s="161">
        <f>IF(C28=0,0,E28/C28)</f>
        <v>0.84825127715713244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2850080</v>
      </c>
      <c r="D30" s="158">
        <f>SUM(D27:D29)</f>
        <v>5267664</v>
      </c>
      <c r="E30" s="158">
        <f>+D30-C30</f>
        <v>2417584</v>
      </c>
      <c r="F30" s="159">
        <f>IF(C30=0,0,E30/C30)</f>
        <v>0.84825127715713244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26872228</v>
      </c>
      <c r="D33" s="157">
        <v>27775245</v>
      </c>
      <c r="E33" s="157">
        <f>+D33-C33</f>
        <v>903017</v>
      </c>
      <c r="F33" s="161">
        <f>IF(C33=0,0,E33/C33)</f>
        <v>3.3604098625540091E-2</v>
      </c>
    </row>
    <row r="34" spans="1:6" ht="15" customHeight="1" x14ac:dyDescent="0.2">
      <c r="A34" s="147">
        <v>2</v>
      </c>
      <c r="B34" s="160" t="s">
        <v>173</v>
      </c>
      <c r="C34" s="157">
        <v>6265439</v>
      </c>
      <c r="D34" s="157">
        <v>5894722</v>
      </c>
      <c r="E34" s="157">
        <f>+D34-C34</f>
        <v>-370717</v>
      </c>
      <c r="F34" s="161">
        <f>IF(C34=0,0,E34/C34)</f>
        <v>-5.9168559457685246E-2</v>
      </c>
    </row>
    <row r="35" spans="1:6" ht="15.75" customHeight="1" x14ac:dyDescent="0.25">
      <c r="A35" s="147"/>
      <c r="B35" s="162" t="s">
        <v>174</v>
      </c>
      <c r="C35" s="158">
        <f>SUM(C33:C34)</f>
        <v>33137667</v>
      </c>
      <c r="D35" s="158">
        <f>SUM(D33:D34)</f>
        <v>33669967</v>
      </c>
      <c r="E35" s="158">
        <f>+D35-C35</f>
        <v>532300</v>
      </c>
      <c r="F35" s="159">
        <f>IF(C35=0,0,E35/C35)</f>
        <v>1.6063291359648221E-2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3737654</v>
      </c>
      <c r="D38" s="157">
        <v>3696791</v>
      </c>
      <c r="E38" s="157">
        <f>+D38-C38</f>
        <v>-40863</v>
      </c>
      <c r="F38" s="161">
        <f>IF(C38=0,0,E38/C38)</f>
        <v>-1.0932793672180464E-2</v>
      </c>
    </row>
    <row r="39" spans="1:6" ht="15" customHeight="1" x14ac:dyDescent="0.2">
      <c r="A39" s="147">
        <v>2</v>
      </c>
      <c r="B39" s="160" t="s">
        <v>178</v>
      </c>
      <c r="C39" s="157">
        <v>4843917</v>
      </c>
      <c r="D39" s="157">
        <v>5492746</v>
      </c>
      <c r="E39" s="157">
        <f>+D39-C39</f>
        <v>648829</v>
      </c>
      <c r="F39" s="161">
        <f>IF(C39=0,0,E39/C39)</f>
        <v>0.13394717539544959</v>
      </c>
    </row>
    <row r="40" spans="1:6" ht="15" customHeight="1" x14ac:dyDescent="0.2">
      <c r="A40" s="147">
        <v>3</v>
      </c>
      <c r="B40" s="160" t="s">
        <v>179</v>
      </c>
      <c r="C40" s="157">
        <v>56028</v>
      </c>
      <c r="D40" s="157">
        <v>55616</v>
      </c>
      <c r="E40" s="157">
        <f>+D40-C40</f>
        <v>-412</v>
      </c>
      <c r="F40" s="161">
        <f>IF(C40=0,0,E40/C40)</f>
        <v>-7.3534661240808171E-3</v>
      </c>
    </row>
    <row r="41" spans="1:6" ht="15.75" customHeight="1" x14ac:dyDescent="0.25">
      <c r="A41" s="147"/>
      <c r="B41" s="162" t="s">
        <v>180</v>
      </c>
      <c r="C41" s="158">
        <f>SUM(C38:C40)</f>
        <v>8637599</v>
      </c>
      <c r="D41" s="158">
        <f>SUM(D38:D40)</f>
        <v>9245153</v>
      </c>
      <c r="E41" s="158">
        <f>+D41-C41</f>
        <v>607554</v>
      </c>
      <c r="F41" s="159">
        <f>IF(C41=0,0,E41/C41)</f>
        <v>7.0338296556716751E-2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10501359</v>
      </c>
      <c r="D44" s="157">
        <v>0</v>
      </c>
      <c r="E44" s="157">
        <f>+D44-C44</f>
        <v>-10501359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1616544</v>
      </c>
      <c r="D47" s="157">
        <v>1471201</v>
      </c>
      <c r="E47" s="157">
        <f>+D47-C47</f>
        <v>-145343</v>
      </c>
      <c r="F47" s="161">
        <f>IF(C47=0,0,E47/C47)</f>
        <v>-8.9909708612942174E-2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3299973</v>
      </c>
      <c r="D50" s="157">
        <v>12792515</v>
      </c>
      <c r="E50" s="157">
        <f>+D50-C50</f>
        <v>9492542</v>
      </c>
      <c r="F50" s="161">
        <f>IF(C50=0,0,E50/C50)</f>
        <v>2.8765514142085404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163254</v>
      </c>
      <c r="D53" s="157">
        <v>167012</v>
      </c>
      <c r="E53" s="157">
        <f t="shared" ref="E53:E59" si="0">+D53-C53</f>
        <v>3758</v>
      </c>
      <c r="F53" s="161">
        <f t="shared" ref="F53:F59" si="1">IF(C53=0,0,E53/C53)</f>
        <v>2.3019344089578203E-2</v>
      </c>
    </row>
    <row r="54" spans="1:6" ht="15" customHeight="1" x14ac:dyDescent="0.2">
      <c r="A54" s="147">
        <v>2</v>
      </c>
      <c r="B54" s="160" t="s">
        <v>189</v>
      </c>
      <c r="C54" s="157">
        <v>827202</v>
      </c>
      <c r="D54" s="157">
        <v>962237</v>
      </c>
      <c r="E54" s="157">
        <f t="shared" si="0"/>
        <v>135035</v>
      </c>
      <c r="F54" s="161">
        <f t="shared" si="1"/>
        <v>0.16324307726528708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2060234</v>
      </c>
      <c r="D56" s="157">
        <v>1830517</v>
      </c>
      <c r="E56" s="157">
        <f t="shared" si="0"/>
        <v>-229717</v>
      </c>
      <c r="F56" s="161">
        <f t="shared" si="1"/>
        <v>-0.11150044121201766</v>
      </c>
    </row>
    <row r="57" spans="1:6" ht="15" customHeight="1" x14ac:dyDescent="0.2">
      <c r="A57" s="147">
        <v>5</v>
      </c>
      <c r="B57" s="160" t="s">
        <v>192</v>
      </c>
      <c r="C57" s="157">
        <v>564802</v>
      </c>
      <c r="D57" s="157">
        <v>635194</v>
      </c>
      <c r="E57" s="157">
        <f t="shared" si="0"/>
        <v>70392</v>
      </c>
      <c r="F57" s="161">
        <f t="shared" si="1"/>
        <v>0.12463128671640682</v>
      </c>
    </row>
    <row r="58" spans="1:6" ht="15" customHeight="1" x14ac:dyDescent="0.2">
      <c r="A58" s="147">
        <v>6</v>
      </c>
      <c r="B58" s="160" t="s">
        <v>193</v>
      </c>
      <c r="C58" s="157">
        <v>270641</v>
      </c>
      <c r="D58" s="157">
        <v>162365</v>
      </c>
      <c r="E58" s="157">
        <f t="shared" si="0"/>
        <v>-108276</v>
      </c>
      <c r="F58" s="161">
        <f t="shared" si="1"/>
        <v>-0.40007242066057991</v>
      </c>
    </row>
    <row r="59" spans="1:6" ht="15.75" customHeight="1" x14ac:dyDescent="0.25">
      <c r="A59" s="147"/>
      <c r="B59" s="162" t="s">
        <v>194</v>
      </c>
      <c r="C59" s="158">
        <f>SUM(C53:C58)</f>
        <v>3886133</v>
      </c>
      <c r="D59" s="158">
        <f>SUM(D53:D58)</f>
        <v>3757325</v>
      </c>
      <c r="E59" s="158">
        <f t="shared" si="0"/>
        <v>-128808</v>
      </c>
      <c r="F59" s="159">
        <f t="shared" si="1"/>
        <v>-3.3145545970763225E-2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302691</v>
      </c>
      <c r="D62" s="157">
        <v>237442</v>
      </c>
      <c r="E62" s="157">
        <f t="shared" ref="E62:E90" si="2">+D62-C62</f>
        <v>-65249</v>
      </c>
      <c r="F62" s="161">
        <f t="shared" ref="F62:F90" si="3">IF(C62=0,0,E62/C62)</f>
        <v>-0.21556306596496097</v>
      </c>
    </row>
    <row r="63" spans="1:6" ht="15" customHeight="1" x14ac:dyDescent="0.2">
      <c r="A63" s="147">
        <v>2</v>
      </c>
      <c r="B63" s="160" t="s">
        <v>198</v>
      </c>
      <c r="C63" s="157">
        <v>1424164</v>
      </c>
      <c r="D63" s="157">
        <v>1488530</v>
      </c>
      <c r="E63" s="157">
        <f t="shared" si="2"/>
        <v>64366</v>
      </c>
      <c r="F63" s="161">
        <f t="shared" si="3"/>
        <v>4.5195637581065103E-2</v>
      </c>
    </row>
    <row r="64" spans="1:6" ht="15" customHeight="1" x14ac:dyDescent="0.2">
      <c r="A64" s="147">
        <v>3</v>
      </c>
      <c r="B64" s="160" t="s">
        <v>199</v>
      </c>
      <c r="C64" s="157">
        <v>1207344</v>
      </c>
      <c r="D64" s="157">
        <v>3757021</v>
      </c>
      <c r="E64" s="157">
        <f t="shared" si="2"/>
        <v>2549677</v>
      </c>
      <c r="F64" s="161">
        <f t="shared" si="3"/>
        <v>2.1118065770815941</v>
      </c>
    </row>
    <row r="65" spans="1:6" ht="15" customHeight="1" x14ac:dyDescent="0.2">
      <c r="A65" s="147">
        <v>4</v>
      </c>
      <c r="B65" s="160" t="s">
        <v>200</v>
      </c>
      <c r="C65" s="157">
        <v>640338</v>
      </c>
      <c r="D65" s="157">
        <v>757083</v>
      </c>
      <c r="E65" s="157">
        <f t="shared" si="2"/>
        <v>116745</v>
      </c>
      <c r="F65" s="161">
        <f t="shared" si="3"/>
        <v>0.18231777592458984</v>
      </c>
    </row>
    <row r="66" spans="1:6" ht="15" customHeight="1" x14ac:dyDescent="0.2">
      <c r="A66" s="147">
        <v>5</v>
      </c>
      <c r="B66" s="160" t="s">
        <v>201</v>
      </c>
      <c r="C66" s="157">
        <v>0</v>
      </c>
      <c r="D66" s="157">
        <v>0</v>
      </c>
      <c r="E66" s="157">
        <f t="shared" si="2"/>
        <v>0</v>
      </c>
      <c r="F66" s="161">
        <f t="shared" si="3"/>
        <v>0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4776825</v>
      </c>
      <c r="D68" s="157">
        <v>6083065</v>
      </c>
      <c r="E68" s="157">
        <f t="shared" si="2"/>
        <v>1306240</v>
      </c>
      <c r="F68" s="161">
        <f t="shared" si="3"/>
        <v>0.27345360150309045</v>
      </c>
    </row>
    <row r="69" spans="1:6" ht="15" customHeight="1" x14ac:dyDescent="0.2">
      <c r="A69" s="147">
        <v>8</v>
      </c>
      <c r="B69" s="160" t="s">
        <v>204</v>
      </c>
      <c r="C69" s="157">
        <v>235325</v>
      </c>
      <c r="D69" s="157">
        <v>447002</v>
      </c>
      <c r="E69" s="157">
        <f t="shared" si="2"/>
        <v>211677</v>
      </c>
      <c r="F69" s="161">
        <f t="shared" si="3"/>
        <v>0.8995091894188888</v>
      </c>
    </row>
    <row r="70" spans="1:6" ht="15" customHeight="1" x14ac:dyDescent="0.2">
      <c r="A70" s="147">
        <v>9</v>
      </c>
      <c r="B70" s="160" t="s">
        <v>205</v>
      </c>
      <c r="C70" s="157">
        <v>162634</v>
      </c>
      <c r="D70" s="157">
        <v>286217</v>
      </c>
      <c r="E70" s="157">
        <f t="shared" si="2"/>
        <v>123583</v>
      </c>
      <c r="F70" s="161">
        <f t="shared" si="3"/>
        <v>0.75988415706432855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3268713</v>
      </c>
      <c r="D73" s="157">
        <v>2868764</v>
      </c>
      <c r="E73" s="157">
        <f t="shared" si="2"/>
        <v>-399949</v>
      </c>
      <c r="F73" s="161">
        <f t="shared" si="3"/>
        <v>-0.12235671960187389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197521</v>
      </c>
      <c r="D75" s="157">
        <v>142514</v>
      </c>
      <c r="E75" s="157">
        <f t="shared" si="2"/>
        <v>-55007</v>
      </c>
      <c r="F75" s="161">
        <f t="shared" si="3"/>
        <v>-0.27848684443679406</v>
      </c>
    </row>
    <row r="76" spans="1:6" ht="15" customHeight="1" x14ac:dyDescent="0.2">
      <c r="A76" s="147">
        <v>15</v>
      </c>
      <c r="B76" s="160" t="s">
        <v>211</v>
      </c>
      <c r="C76" s="157">
        <v>405147</v>
      </c>
      <c r="D76" s="157">
        <v>452307</v>
      </c>
      <c r="E76" s="157">
        <f t="shared" si="2"/>
        <v>47160</v>
      </c>
      <c r="F76" s="161">
        <f t="shared" si="3"/>
        <v>0.11640219475893934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0</v>
      </c>
      <c r="D78" s="157">
        <v>743559</v>
      </c>
      <c r="E78" s="157">
        <f t="shared" si="2"/>
        <v>743559</v>
      </c>
      <c r="F78" s="161">
        <f t="shared" si="3"/>
        <v>0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0</v>
      </c>
      <c r="D84" s="157">
        <v>394010</v>
      </c>
      <c r="E84" s="157">
        <f t="shared" si="2"/>
        <v>394010</v>
      </c>
      <c r="F84" s="161">
        <f t="shared" si="3"/>
        <v>0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10474736</v>
      </c>
      <c r="D88" s="157">
        <v>16540910</v>
      </c>
      <c r="E88" s="157">
        <f t="shared" si="2"/>
        <v>6066174</v>
      </c>
      <c r="F88" s="161">
        <f t="shared" si="3"/>
        <v>0.57912428532805027</v>
      </c>
    </row>
    <row r="89" spans="1:6" ht="15" customHeight="1" x14ac:dyDescent="0.2">
      <c r="A89" s="147">
        <v>28</v>
      </c>
      <c r="B89" s="160" t="s">
        <v>224</v>
      </c>
      <c r="C89" s="157">
        <v>9798055</v>
      </c>
      <c r="D89" s="157">
        <v>0</v>
      </c>
      <c r="E89" s="157">
        <f t="shared" si="2"/>
        <v>-9798055</v>
      </c>
      <c r="F89" s="161">
        <f t="shared" si="3"/>
        <v>-1</v>
      </c>
    </row>
    <row r="90" spans="1:6" ht="15.75" customHeight="1" x14ac:dyDescent="0.25">
      <c r="A90" s="147"/>
      <c r="B90" s="162" t="s">
        <v>225</v>
      </c>
      <c r="C90" s="158">
        <f>SUM(C62:C89)</f>
        <v>32893493</v>
      </c>
      <c r="D90" s="158">
        <f>SUM(D62:D89)</f>
        <v>34198424</v>
      </c>
      <c r="E90" s="158">
        <f t="shared" si="2"/>
        <v>1304931</v>
      </c>
      <c r="F90" s="159">
        <f t="shared" si="3"/>
        <v>3.9671402486807957E-2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10390559</v>
      </c>
      <c r="D93" s="157">
        <v>10167858</v>
      </c>
      <c r="E93" s="157">
        <f>+D93-C93</f>
        <v>-222701</v>
      </c>
      <c r="F93" s="161">
        <f>IF(C93=0,0,E93/C93)</f>
        <v>-2.1433014335417371E-2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218384632</v>
      </c>
      <c r="D95" s="158">
        <f>+D93+D90+D59+D50+D47+D44+D41+D35+D30+D24+D18</f>
        <v>221915377</v>
      </c>
      <c r="E95" s="158">
        <f>+D95-C95</f>
        <v>3530745</v>
      </c>
      <c r="F95" s="159">
        <f>IF(C95=0,0,E95/C95)</f>
        <v>1.6167552486019254E-2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15620080</v>
      </c>
      <c r="D103" s="157">
        <v>29266914</v>
      </c>
      <c r="E103" s="157">
        <f t="shared" ref="E103:E121" si="4">D103-C103</f>
        <v>13646834</v>
      </c>
      <c r="F103" s="161">
        <f t="shared" ref="F103:F121" si="5">IF(C103=0,0,E103/C103)</f>
        <v>0.87367247798986947</v>
      </c>
    </row>
    <row r="104" spans="1:6" ht="15" customHeight="1" x14ac:dyDescent="0.2">
      <c r="A104" s="147">
        <v>2</v>
      </c>
      <c r="B104" s="169" t="s">
        <v>234</v>
      </c>
      <c r="C104" s="157">
        <v>1116937</v>
      </c>
      <c r="D104" s="157">
        <v>1029566</v>
      </c>
      <c r="E104" s="157">
        <f t="shared" si="4"/>
        <v>-87371</v>
      </c>
      <c r="F104" s="161">
        <f t="shared" si="5"/>
        <v>-7.8223749414693941E-2</v>
      </c>
    </row>
    <row r="105" spans="1:6" ht="15" customHeight="1" x14ac:dyDescent="0.2">
      <c r="A105" s="147">
        <v>3</v>
      </c>
      <c r="B105" s="169" t="s">
        <v>235</v>
      </c>
      <c r="C105" s="157">
        <v>2026723</v>
      </c>
      <c r="D105" s="157">
        <v>2485993</v>
      </c>
      <c r="E105" s="157">
        <f t="shared" si="4"/>
        <v>459270</v>
      </c>
      <c r="F105" s="161">
        <f t="shared" si="5"/>
        <v>0.22660718805677935</v>
      </c>
    </row>
    <row r="106" spans="1:6" ht="15" customHeight="1" x14ac:dyDescent="0.2">
      <c r="A106" s="147">
        <v>4</v>
      </c>
      <c r="B106" s="169" t="s">
        <v>236</v>
      </c>
      <c r="C106" s="157">
        <v>1118637</v>
      </c>
      <c r="D106" s="157">
        <v>1647774</v>
      </c>
      <c r="E106" s="157">
        <f t="shared" si="4"/>
        <v>529137</v>
      </c>
      <c r="F106" s="161">
        <f t="shared" si="5"/>
        <v>0.47301939771346735</v>
      </c>
    </row>
    <row r="107" spans="1:6" ht="15" customHeight="1" x14ac:dyDescent="0.2">
      <c r="A107" s="147">
        <v>5</v>
      </c>
      <c r="B107" s="169" t="s">
        <v>237</v>
      </c>
      <c r="C107" s="157">
        <v>7268407</v>
      </c>
      <c r="D107" s="157">
        <v>8487861</v>
      </c>
      <c r="E107" s="157">
        <f t="shared" si="4"/>
        <v>1219454</v>
      </c>
      <c r="F107" s="161">
        <f t="shared" si="5"/>
        <v>0.1677745893976493</v>
      </c>
    </row>
    <row r="108" spans="1:6" ht="15" customHeight="1" x14ac:dyDescent="0.2">
      <c r="A108" s="147">
        <v>6</v>
      </c>
      <c r="B108" s="169" t="s">
        <v>238</v>
      </c>
      <c r="C108" s="157">
        <v>656738</v>
      </c>
      <c r="D108" s="157">
        <v>676302</v>
      </c>
      <c r="E108" s="157">
        <f t="shared" si="4"/>
        <v>19564</v>
      </c>
      <c r="F108" s="161">
        <f t="shared" si="5"/>
        <v>2.9789657367169251E-2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910957</v>
      </c>
      <c r="D110" s="157">
        <v>1244437</v>
      </c>
      <c r="E110" s="157">
        <f t="shared" si="4"/>
        <v>333480</v>
      </c>
      <c r="F110" s="161">
        <f t="shared" si="5"/>
        <v>0.3660765546562571</v>
      </c>
    </row>
    <row r="111" spans="1:6" ht="15" customHeight="1" x14ac:dyDescent="0.2">
      <c r="A111" s="147">
        <v>9</v>
      </c>
      <c r="B111" s="169" t="s">
        <v>241</v>
      </c>
      <c r="C111" s="157">
        <v>2402747</v>
      </c>
      <c r="D111" s="157">
        <v>2750842</v>
      </c>
      <c r="E111" s="157">
        <f t="shared" si="4"/>
        <v>348095</v>
      </c>
      <c r="F111" s="161">
        <f t="shared" si="5"/>
        <v>0.14487376323849327</v>
      </c>
    </row>
    <row r="112" spans="1:6" ht="15" customHeight="1" x14ac:dyDescent="0.2">
      <c r="A112" s="147">
        <v>10</v>
      </c>
      <c r="B112" s="169" t="s">
        <v>242</v>
      </c>
      <c r="C112" s="157">
        <v>3710693</v>
      </c>
      <c r="D112" s="157">
        <v>3745523</v>
      </c>
      <c r="E112" s="157">
        <f t="shared" si="4"/>
        <v>34830</v>
      </c>
      <c r="F112" s="161">
        <f t="shared" si="5"/>
        <v>9.3863868555011144E-3</v>
      </c>
    </row>
    <row r="113" spans="1:6" ht="15" customHeight="1" x14ac:dyDescent="0.2">
      <c r="A113" s="147">
        <v>11</v>
      </c>
      <c r="B113" s="169" t="s">
        <v>243</v>
      </c>
      <c r="C113" s="157">
        <v>2434539</v>
      </c>
      <c r="D113" s="157">
        <v>2469753</v>
      </c>
      <c r="E113" s="157">
        <f t="shared" si="4"/>
        <v>35214</v>
      </c>
      <c r="F113" s="161">
        <f t="shared" si="5"/>
        <v>1.446434006602482E-2</v>
      </c>
    </row>
    <row r="114" spans="1:6" ht="15" customHeight="1" x14ac:dyDescent="0.2">
      <c r="A114" s="147">
        <v>12</v>
      </c>
      <c r="B114" s="169" t="s">
        <v>244</v>
      </c>
      <c r="C114" s="157">
        <v>3937356</v>
      </c>
      <c r="D114" s="157">
        <v>3802980</v>
      </c>
      <c r="E114" s="157">
        <f t="shared" si="4"/>
        <v>-134376</v>
      </c>
      <c r="F114" s="161">
        <f t="shared" si="5"/>
        <v>-3.412848622273424E-2</v>
      </c>
    </row>
    <row r="115" spans="1:6" ht="15" customHeight="1" x14ac:dyDescent="0.2">
      <c r="A115" s="147">
        <v>13</v>
      </c>
      <c r="B115" s="169" t="s">
        <v>245</v>
      </c>
      <c r="C115" s="157">
        <v>4714117</v>
      </c>
      <c r="D115" s="157">
        <v>5690632</v>
      </c>
      <c r="E115" s="157">
        <f t="shared" si="4"/>
        <v>976515</v>
      </c>
      <c r="F115" s="161">
        <f t="shared" si="5"/>
        <v>0.20714695880479844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2097370</v>
      </c>
      <c r="D117" s="157">
        <v>2343646</v>
      </c>
      <c r="E117" s="157">
        <f t="shared" si="4"/>
        <v>246276</v>
      </c>
      <c r="F117" s="161">
        <f t="shared" si="5"/>
        <v>0.1174213419663674</v>
      </c>
    </row>
    <row r="118" spans="1:6" ht="15" customHeight="1" x14ac:dyDescent="0.2">
      <c r="A118" s="147">
        <v>16</v>
      </c>
      <c r="B118" s="169" t="s">
        <v>247</v>
      </c>
      <c r="C118" s="157">
        <v>589298</v>
      </c>
      <c r="D118" s="157">
        <v>538810</v>
      </c>
      <c r="E118" s="157">
        <f t="shared" si="4"/>
        <v>-50488</v>
      </c>
      <c r="F118" s="161">
        <f t="shared" si="5"/>
        <v>-8.5674819870422095E-2</v>
      </c>
    </row>
    <row r="119" spans="1:6" ht="15" customHeight="1" x14ac:dyDescent="0.2">
      <c r="A119" s="147">
        <v>17</v>
      </c>
      <c r="B119" s="169" t="s">
        <v>248</v>
      </c>
      <c r="C119" s="157">
        <v>7411477</v>
      </c>
      <c r="D119" s="157">
        <v>7244776</v>
      </c>
      <c r="E119" s="157">
        <f t="shared" si="4"/>
        <v>-166701</v>
      </c>
      <c r="F119" s="161">
        <f t="shared" si="5"/>
        <v>-2.2492277855007847E-2</v>
      </c>
    </row>
    <row r="120" spans="1:6" ht="15" customHeight="1" x14ac:dyDescent="0.2">
      <c r="A120" s="147">
        <v>18</v>
      </c>
      <c r="B120" s="169" t="s">
        <v>249</v>
      </c>
      <c r="C120" s="157">
        <v>48549152</v>
      </c>
      <c r="D120" s="157">
        <v>39115048</v>
      </c>
      <c r="E120" s="157">
        <f t="shared" si="4"/>
        <v>-9434104</v>
      </c>
      <c r="F120" s="161">
        <f t="shared" si="5"/>
        <v>-0.19432067526122804</v>
      </c>
    </row>
    <row r="121" spans="1:6" ht="15.75" customHeight="1" x14ac:dyDescent="0.25">
      <c r="A121" s="147"/>
      <c r="B121" s="165" t="s">
        <v>250</v>
      </c>
      <c r="C121" s="158">
        <f>SUM(C103:C120)</f>
        <v>104565228</v>
      </c>
      <c r="D121" s="158">
        <f>SUM(D103:D120)</f>
        <v>112540857</v>
      </c>
      <c r="E121" s="158">
        <f t="shared" si="4"/>
        <v>7975629</v>
      </c>
      <c r="F121" s="159">
        <f t="shared" si="5"/>
        <v>7.6274198914384805E-2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4791569</v>
      </c>
      <c r="D125" s="157">
        <v>4748379</v>
      </c>
      <c r="E125" s="157">
        <f t="shared" si="6"/>
        <v>-43190</v>
      </c>
      <c r="F125" s="161">
        <f t="shared" si="7"/>
        <v>-9.0137489411088526E-3</v>
      </c>
    </row>
    <row r="126" spans="1:6" ht="15" customHeight="1" x14ac:dyDescent="0.2">
      <c r="A126" s="147">
        <v>3</v>
      </c>
      <c r="B126" s="169" t="s">
        <v>254</v>
      </c>
      <c r="C126" s="157">
        <v>1204511</v>
      </c>
      <c r="D126" s="157">
        <v>1459508</v>
      </c>
      <c r="E126" s="157">
        <f t="shared" si="6"/>
        <v>254997</v>
      </c>
      <c r="F126" s="161">
        <f t="shared" si="7"/>
        <v>0.21170167810837759</v>
      </c>
    </row>
    <row r="127" spans="1:6" ht="15" customHeight="1" x14ac:dyDescent="0.2">
      <c r="A127" s="147">
        <v>4</v>
      </c>
      <c r="B127" s="169" t="s">
        <v>255</v>
      </c>
      <c r="C127" s="157">
        <v>2488088</v>
      </c>
      <c r="D127" s="157">
        <v>2560203</v>
      </c>
      <c r="E127" s="157">
        <f t="shared" si="6"/>
        <v>72115</v>
      </c>
      <c r="F127" s="161">
        <f t="shared" si="7"/>
        <v>2.8984103456147853E-2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2220392</v>
      </c>
      <c r="D129" s="157">
        <v>2482202</v>
      </c>
      <c r="E129" s="157">
        <f t="shared" si="6"/>
        <v>261810</v>
      </c>
      <c r="F129" s="161">
        <f t="shared" si="7"/>
        <v>0.11791161200364621</v>
      </c>
    </row>
    <row r="130" spans="1:6" ht="15.75" customHeight="1" x14ac:dyDescent="0.25">
      <c r="A130" s="147"/>
      <c r="B130" s="165" t="s">
        <v>258</v>
      </c>
      <c r="C130" s="158">
        <f>SUM(C124:C129)</f>
        <v>10704560</v>
      </c>
      <c r="D130" s="158">
        <f>SUM(D124:D129)</f>
        <v>11250292</v>
      </c>
      <c r="E130" s="158">
        <f t="shared" si="6"/>
        <v>545732</v>
      </c>
      <c r="F130" s="159">
        <f t="shared" si="7"/>
        <v>5.0981264059428877E-2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16492878</v>
      </c>
      <c r="D133" s="157">
        <v>17845658</v>
      </c>
      <c r="E133" s="157">
        <f t="shared" ref="E133:E167" si="8">D133-C133</f>
        <v>1352780</v>
      </c>
      <c r="F133" s="161">
        <f t="shared" ref="F133:F167" si="9">IF(C133=0,0,E133/C133)</f>
        <v>8.20220703748612E-2</v>
      </c>
    </row>
    <row r="134" spans="1:6" ht="15" customHeight="1" x14ac:dyDescent="0.2">
      <c r="A134" s="147">
        <v>2</v>
      </c>
      <c r="B134" s="169" t="s">
        <v>261</v>
      </c>
      <c r="C134" s="157">
        <v>706535</v>
      </c>
      <c r="D134" s="157">
        <v>720190</v>
      </c>
      <c r="E134" s="157">
        <f t="shared" si="8"/>
        <v>13655</v>
      </c>
      <c r="F134" s="161">
        <f t="shared" si="9"/>
        <v>1.9326714175518553E-2</v>
      </c>
    </row>
    <row r="135" spans="1:6" ht="15" customHeight="1" x14ac:dyDescent="0.2">
      <c r="A135" s="147">
        <v>3</v>
      </c>
      <c r="B135" s="169" t="s">
        <v>262</v>
      </c>
      <c r="C135" s="157">
        <v>1079681</v>
      </c>
      <c r="D135" s="157">
        <v>1072022</v>
      </c>
      <c r="E135" s="157">
        <f t="shared" si="8"/>
        <v>-7659</v>
      </c>
      <c r="F135" s="161">
        <f t="shared" si="9"/>
        <v>-7.0937619537622685E-3</v>
      </c>
    </row>
    <row r="136" spans="1:6" ht="15" customHeight="1" x14ac:dyDescent="0.2">
      <c r="A136" s="147">
        <v>4</v>
      </c>
      <c r="B136" s="169" t="s">
        <v>263</v>
      </c>
      <c r="C136" s="157">
        <v>4002247</v>
      </c>
      <c r="D136" s="157">
        <v>3538581</v>
      </c>
      <c r="E136" s="157">
        <f t="shared" si="8"/>
        <v>-463666</v>
      </c>
      <c r="F136" s="161">
        <f t="shared" si="9"/>
        <v>-0.11585142046455403</v>
      </c>
    </row>
    <row r="137" spans="1:6" ht="15" customHeight="1" x14ac:dyDescent="0.2">
      <c r="A137" s="147">
        <v>5</v>
      </c>
      <c r="B137" s="169" t="s">
        <v>264</v>
      </c>
      <c r="C137" s="157">
        <v>3941206</v>
      </c>
      <c r="D137" s="157">
        <v>4049234</v>
      </c>
      <c r="E137" s="157">
        <f t="shared" si="8"/>
        <v>108028</v>
      </c>
      <c r="F137" s="161">
        <f t="shared" si="9"/>
        <v>2.7409884182658811E-2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3941</v>
      </c>
      <c r="D139" s="157">
        <v>1656</v>
      </c>
      <c r="E139" s="157">
        <f t="shared" si="8"/>
        <v>-2285</v>
      </c>
      <c r="F139" s="161">
        <f t="shared" si="9"/>
        <v>-0.57980208069018013</v>
      </c>
    </row>
    <row r="140" spans="1:6" ht="15" customHeight="1" x14ac:dyDescent="0.2">
      <c r="A140" s="147">
        <v>8</v>
      </c>
      <c r="B140" s="169" t="s">
        <v>267</v>
      </c>
      <c r="C140" s="157">
        <v>635537</v>
      </c>
      <c r="D140" s="157">
        <v>602204</v>
      </c>
      <c r="E140" s="157">
        <f t="shared" si="8"/>
        <v>-33333</v>
      </c>
      <c r="F140" s="161">
        <f t="shared" si="9"/>
        <v>-5.2448559249894187E-2</v>
      </c>
    </row>
    <row r="141" spans="1:6" ht="15" customHeight="1" x14ac:dyDescent="0.2">
      <c r="A141" s="147">
        <v>9</v>
      </c>
      <c r="B141" s="169" t="s">
        <v>268</v>
      </c>
      <c r="C141" s="157">
        <v>918068</v>
      </c>
      <c r="D141" s="157">
        <v>851809</v>
      </c>
      <c r="E141" s="157">
        <f t="shared" si="8"/>
        <v>-66259</v>
      </c>
      <c r="F141" s="161">
        <f t="shared" si="9"/>
        <v>-7.2172213822941214E-2</v>
      </c>
    </row>
    <row r="142" spans="1:6" ht="15" customHeight="1" x14ac:dyDescent="0.2">
      <c r="A142" s="147">
        <v>10</v>
      </c>
      <c r="B142" s="169" t="s">
        <v>269</v>
      </c>
      <c r="C142" s="157">
        <v>10187739</v>
      </c>
      <c r="D142" s="157">
        <v>9462543</v>
      </c>
      <c r="E142" s="157">
        <f t="shared" si="8"/>
        <v>-725196</v>
      </c>
      <c r="F142" s="161">
        <f t="shared" si="9"/>
        <v>-7.1183213468660717E-2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6572088</v>
      </c>
      <c r="D144" s="157">
        <v>4300885</v>
      </c>
      <c r="E144" s="157">
        <f t="shared" si="8"/>
        <v>-2271203</v>
      </c>
      <c r="F144" s="161">
        <f t="shared" si="9"/>
        <v>-0.34558316930631483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1072978</v>
      </c>
      <c r="E145" s="157">
        <f t="shared" si="8"/>
        <v>1072978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843594</v>
      </c>
      <c r="D146" s="157">
        <v>778563</v>
      </c>
      <c r="E146" s="157">
        <f t="shared" si="8"/>
        <v>-65031</v>
      </c>
      <c r="F146" s="161">
        <f t="shared" si="9"/>
        <v>-7.7088030498083202E-2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1324958</v>
      </c>
      <c r="D150" s="157">
        <v>1408788</v>
      </c>
      <c r="E150" s="157">
        <f t="shared" si="8"/>
        <v>83830</v>
      </c>
      <c r="F150" s="161">
        <f t="shared" si="9"/>
        <v>6.3269930065707747E-2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334332</v>
      </c>
      <c r="D152" s="157">
        <v>253033</v>
      </c>
      <c r="E152" s="157">
        <f t="shared" si="8"/>
        <v>-81299</v>
      </c>
      <c r="F152" s="161">
        <f t="shared" si="9"/>
        <v>-0.24316846727205293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298221</v>
      </c>
      <c r="D155" s="157">
        <v>383198</v>
      </c>
      <c r="E155" s="157">
        <f t="shared" si="8"/>
        <v>84977</v>
      </c>
      <c r="F155" s="161">
        <f t="shared" si="9"/>
        <v>0.28494639881161959</v>
      </c>
    </row>
    <row r="156" spans="1:6" ht="15" customHeight="1" x14ac:dyDescent="0.2">
      <c r="A156" s="147">
        <v>24</v>
      </c>
      <c r="B156" s="169" t="s">
        <v>283</v>
      </c>
      <c r="C156" s="157">
        <v>8096221</v>
      </c>
      <c r="D156" s="157">
        <v>10382413</v>
      </c>
      <c r="E156" s="157">
        <f t="shared" si="8"/>
        <v>2286192</v>
      </c>
      <c r="F156" s="161">
        <f t="shared" si="9"/>
        <v>0.28237766730922981</v>
      </c>
    </row>
    <row r="157" spans="1:6" ht="15" customHeight="1" x14ac:dyDescent="0.2">
      <c r="A157" s="147">
        <v>25</v>
      </c>
      <c r="B157" s="169" t="s">
        <v>284</v>
      </c>
      <c r="C157" s="157">
        <v>771685</v>
      </c>
      <c r="D157" s="157">
        <v>704851</v>
      </c>
      <c r="E157" s="157">
        <f t="shared" si="8"/>
        <v>-66834</v>
      </c>
      <c r="F157" s="161">
        <f t="shared" si="9"/>
        <v>-8.6607877566623692E-2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1816665</v>
      </c>
      <c r="D164" s="157">
        <v>1691911</v>
      </c>
      <c r="E164" s="157">
        <f t="shared" si="8"/>
        <v>-124754</v>
      </c>
      <c r="F164" s="161">
        <f t="shared" si="9"/>
        <v>-6.8671989607329911E-2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58025596</v>
      </c>
      <c r="D167" s="158">
        <f>SUM(D133:D166)</f>
        <v>59120517</v>
      </c>
      <c r="E167" s="158">
        <f t="shared" si="8"/>
        <v>1094921</v>
      </c>
      <c r="F167" s="159">
        <f t="shared" si="9"/>
        <v>1.8869620916948444E-2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20815215</v>
      </c>
      <c r="D170" s="157">
        <v>16888053</v>
      </c>
      <c r="E170" s="157">
        <f t="shared" ref="E170:E183" si="10">D170-C170</f>
        <v>-3927162</v>
      </c>
      <c r="F170" s="161">
        <f t="shared" ref="F170:F183" si="11">IF(C170=0,0,E170/C170)</f>
        <v>-0.18866785666158145</v>
      </c>
    </row>
    <row r="171" spans="1:6" ht="15" customHeight="1" x14ac:dyDescent="0.2">
      <c r="A171" s="147">
        <v>2</v>
      </c>
      <c r="B171" s="169" t="s">
        <v>297</v>
      </c>
      <c r="C171" s="157">
        <v>3802278</v>
      </c>
      <c r="D171" s="157">
        <v>3797540</v>
      </c>
      <c r="E171" s="157">
        <f t="shared" si="10"/>
        <v>-4738</v>
      </c>
      <c r="F171" s="161">
        <f t="shared" si="11"/>
        <v>-1.2460951040402621E-3</v>
      </c>
    </row>
    <row r="172" spans="1:6" ht="15" customHeight="1" x14ac:dyDescent="0.2">
      <c r="A172" s="147">
        <v>3</v>
      </c>
      <c r="B172" s="169" t="s">
        <v>298</v>
      </c>
      <c r="C172" s="157">
        <v>1408122</v>
      </c>
      <c r="D172" s="157">
        <v>1266963</v>
      </c>
      <c r="E172" s="157">
        <f t="shared" si="10"/>
        <v>-141159</v>
      </c>
      <c r="F172" s="161">
        <f t="shared" si="11"/>
        <v>-0.10024628547810488</v>
      </c>
    </row>
    <row r="173" spans="1:6" ht="15" customHeight="1" x14ac:dyDescent="0.2">
      <c r="A173" s="147">
        <v>4</v>
      </c>
      <c r="B173" s="169" t="s">
        <v>299</v>
      </c>
      <c r="C173" s="157">
        <v>1754372</v>
      </c>
      <c r="D173" s="157">
        <v>1393935</v>
      </c>
      <c r="E173" s="157">
        <f t="shared" si="10"/>
        <v>-360437</v>
      </c>
      <c r="F173" s="161">
        <f t="shared" si="11"/>
        <v>-0.20545072538777409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1415737</v>
      </c>
      <c r="D176" s="157">
        <v>1444546</v>
      </c>
      <c r="E176" s="157">
        <f t="shared" si="10"/>
        <v>28809</v>
      </c>
      <c r="F176" s="161">
        <f t="shared" si="11"/>
        <v>2.034911851565651E-2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1153921</v>
      </c>
      <c r="D179" s="157">
        <v>9985986</v>
      </c>
      <c r="E179" s="157">
        <f t="shared" si="10"/>
        <v>8832065</v>
      </c>
      <c r="F179" s="161">
        <f t="shared" si="11"/>
        <v>7.6539598464712926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12780831</v>
      </c>
      <c r="D181" s="157">
        <v>3441631</v>
      </c>
      <c r="E181" s="157">
        <f t="shared" si="10"/>
        <v>-9339200</v>
      </c>
      <c r="F181" s="161">
        <f t="shared" si="11"/>
        <v>-0.73071930925305251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43130476</v>
      </c>
      <c r="D183" s="158">
        <f>SUM(D170:D182)</f>
        <v>38218654</v>
      </c>
      <c r="E183" s="158">
        <f t="shared" si="10"/>
        <v>-4911822</v>
      </c>
      <c r="F183" s="159">
        <f t="shared" si="11"/>
        <v>-0.11388286092645952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1958772</v>
      </c>
      <c r="D186" s="157">
        <v>785057</v>
      </c>
      <c r="E186" s="157">
        <f>D186-C186</f>
        <v>-1173715</v>
      </c>
      <c r="F186" s="161">
        <f>IF(C186=0,0,E186/C186)</f>
        <v>-0.59920960683530289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218384632</v>
      </c>
      <c r="D188" s="158">
        <f>+D186+D183+D167+D130+D121</f>
        <v>221915377</v>
      </c>
      <c r="E188" s="158">
        <f>D188-C188</f>
        <v>3530745</v>
      </c>
      <c r="F188" s="159">
        <f>IF(C188=0,0,E188/C188)</f>
        <v>1.6167552486019254E-2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207355344</v>
      </c>
      <c r="D11" s="183">
        <v>225742944</v>
      </c>
      <c r="E11" s="76">
        <v>227491163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5226127</v>
      </c>
      <c r="D12" s="185">
        <v>5263891</v>
      </c>
      <c r="E12" s="185">
        <v>5912911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212581471</v>
      </c>
      <c r="D13" s="76">
        <f>+D11+D12</f>
        <v>231006835</v>
      </c>
      <c r="E13" s="76">
        <f>+E11+E12</f>
        <v>233404074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205686874</v>
      </c>
      <c r="D14" s="185">
        <v>218384632</v>
      </c>
      <c r="E14" s="185">
        <v>221915377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6894597</v>
      </c>
      <c r="D15" s="76">
        <f>+D13-D14</f>
        <v>12622203</v>
      </c>
      <c r="E15" s="76">
        <f>+E13-E14</f>
        <v>11488697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-1136371</v>
      </c>
      <c r="D16" s="185">
        <v>2413724</v>
      </c>
      <c r="E16" s="185">
        <v>6947833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5758226</v>
      </c>
      <c r="D17" s="76">
        <f>D15+D16</f>
        <v>15035927</v>
      </c>
      <c r="E17" s="76">
        <f>E15+E16</f>
        <v>18436530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3.2607031328699507E-2</v>
      </c>
      <c r="D20" s="189">
        <f>IF(+D27=0,0,+D24/+D27)</f>
        <v>5.4074941188021058E-2</v>
      </c>
      <c r="E20" s="189">
        <f>IF(+E27=0,0,+E24/+E27)</f>
        <v>4.7799483446578188E-2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-5.3743075625777093E-3</v>
      </c>
      <c r="D21" s="189">
        <f>IF(D27=0,0,+D26/D27)</f>
        <v>1.034066583655127E-2</v>
      </c>
      <c r="E21" s="189">
        <f>IF(E27=0,0,+E26/E27)</f>
        <v>2.8906918554218088E-2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2.7232723766121798E-2</v>
      </c>
      <c r="D22" s="189">
        <f>IF(D27=0,0,+D28/D27)</f>
        <v>6.441560702457233E-2</v>
      </c>
      <c r="E22" s="189">
        <f>IF(E27=0,0,+E28/E27)</f>
        <v>7.6706402000796273E-2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6894597</v>
      </c>
      <c r="D24" s="76">
        <f>+D15</f>
        <v>12622203</v>
      </c>
      <c r="E24" s="76">
        <f>+E15</f>
        <v>11488697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212581471</v>
      </c>
      <c r="D25" s="76">
        <f>+D13</f>
        <v>231006835</v>
      </c>
      <c r="E25" s="76">
        <f>+E13</f>
        <v>233404074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-1136371</v>
      </c>
      <c r="D26" s="76">
        <f>+D16</f>
        <v>2413724</v>
      </c>
      <c r="E26" s="76">
        <f>+E16</f>
        <v>6947833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211445100</v>
      </c>
      <c r="D27" s="76">
        <f>+D25+D26</f>
        <v>233420559</v>
      </c>
      <c r="E27" s="76">
        <f>+E25+E26</f>
        <v>240351907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5758226</v>
      </c>
      <c r="D28" s="76">
        <f>+D17</f>
        <v>15035927</v>
      </c>
      <c r="E28" s="76">
        <f>+E17</f>
        <v>18436530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-2602946</v>
      </c>
      <c r="D31" s="76">
        <v>72000</v>
      </c>
      <c r="E31" s="76">
        <v>31173000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13626171</v>
      </c>
      <c r="D32" s="76">
        <v>17924000</v>
      </c>
      <c r="E32" s="76">
        <v>49697000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-10087968</v>
      </c>
      <c r="D33" s="76">
        <f>+D32-C32</f>
        <v>4297829</v>
      </c>
      <c r="E33" s="76">
        <f>+E32-D32</f>
        <v>31773000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0.5746</v>
      </c>
      <c r="D34" s="193">
        <f>IF(C32=0,0,+D33/C32)</f>
        <v>0.31540988293776734</v>
      </c>
      <c r="E34" s="193">
        <f>IF(D32=0,0,+E33/D32)</f>
        <v>1.7726511939299263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0.39755031605392221</v>
      </c>
      <c r="D38" s="195">
        <f>IF((D40+D41)=0,0,+D39/(D40+D41))</f>
        <v>0.37905134337508223</v>
      </c>
      <c r="E38" s="195">
        <f>IF((E40+E41)=0,0,+E39/(E40+E41))</f>
        <v>0.36709622545342924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205686874</v>
      </c>
      <c r="D39" s="76">
        <v>218384632</v>
      </c>
      <c r="E39" s="196">
        <v>221915377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509570826</v>
      </c>
      <c r="D40" s="76">
        <v>568562940</v>
      </c>
      <c r="E40" s="196">
        <v>598602640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7814938</v>
      </c>
      <c r="D41" s="76">
        <v>7571760</v>
      </c>
      <c r="E41" s="196">
        <v>5912911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1.0523341310110557</v>
      </c>
      <c r="D43" s="197">
        <f>IF(D38=0,0,IF((D46-D47)=0,0,((+D44-D45)/(D46-D47)/D38)))</f>
        <v>1.1268617293685561</v>
      </c>
      <c r="E43" s="197">
        <f>IF(E38=0,0,IF((E46-E47)=0,0,((+E44-E45)/(E46-E47)/E38)))</f>
        <v>1.0956907194037737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74070522</v>
      </c>
      <c r="D44" s="76">
        <v>85486463</v>
      </c>
      <c r="E44" s="196">
        <v>80113195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265367</v>
      </c>
      <c r="D45" s="76">
        <v>520059</v>
      </c>
      <c r="E45" s="196">
        <v>246168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184186821</v>
      </c>
      <c r="D46" s="76">
        <v>210325531</v>
      </c>
      <c r="E46" s="196">
        <v>211127757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7769616</v>
      </c>
      <c r="D47" s="76">
        <v>11405477</v>
      </c>
      <c r="E47" s="76">
        <v>12564167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1.0795107881843462</v>
      </c>
      <c r="D49" s="198">
        <f>IF(D38=0,0,IF(D51=0,0,(D50/D51)/D38))</f>
        <v>1.0034091973964543</v>
      </c>
      <c r="E49" s="198">
        <f>IF(E38=0,0,IF(E51=0,0,(E50/E51)/E38))</f>
        <v>0.98379889244915608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87103406</v>
      </c>
      <c r="D50" s="199">
        <v>85079847</v>
      </c>
      <c r="E50" s="199">
        <v>83130678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202962614</v>
      </c>
      <c r="D51" s="199">
        <v>223692067</v>
      </c>
      <c r="E51" s="199">
        <v>230183969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0.67087655231040866</v>
      </c>
      <c r="D53" s="198">
        <f>IF(D38=0,0,IF(D55=0,0,(D54/D55)/D38))</f>
        <v>0.76344259583209284</v>
      </c>
      <c r="E53" s="198">
        <f>IF(E38=0,0,IF(E55=0,0,(E54/E55)/E38))</f>
        <v>0.83811883229170303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32406942</v>
      </c>
      <c r="D54" s="199">
        <v>38705516</v>
      </c>
      <c r="E54" s="199">
        <v>48093069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121507570</v>
      </c>
      <c r="D55" s="199">
        <v>133751430</v>
      </c>
      <c r="E55" s="199">
        <v>156313675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3267541.1846569208</v>
      </c>
      <c r="D57" s="88">
        <f>+D60*D38</f>
        <v>4126132.316099301</v>
      </c>
      <c r="E57" s="88">
        <f>+E60*E38</f>
        <v>4521846.8864920614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629356</v>
      </c>
      <c r="D58" s="199">
        <v>384059</v>
      </c>
      <c r="E58" s="199">
        <v>248631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7589833</v>
      </c>
      <c r="D59" s="199">
        <v>10501359</v>
      </c>
      <c r="E59" s="199">
        <v>12069248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8219189</v>
      </c>
      <c r="D60" s="76">
        <v>10885418</v>
      </c>
      <c r="E60" s="201">
        <v>12317879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1.5885997589991672E-2</v>
      </c>
      <c r="D62" s="202">
        <f>IF(D63=0,0,+D57/D63)</f>
        <v>1.8893876727091773E-2</v>
      </c>
      <c r="E62" s="202">
        <f>IF(E63=0,0,+E57/E63)</f>
        <v>2.0376446858353856E-2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205686874</v>
      </c>
      <c r="D63" s="199">
        <v>218384632</v>
      </c>
      <c r="E63" s="199">
        <v>221915377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1.5396598565508264</v>
      </c>
      <c r="D67" s="203">
        <f>IF(D69=0,0,D68/D69)</f>
        <v>1.5800873727993303</v>
      </c>
      <c r="E67" s="203">
        <f>IF(E69=0,0,E68/E69)</f>
        <v>1.3634924473956158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59842614</v>
      </c>
      <c r="D68" s="204">
        <v>60402000</v>
      </c>
      <c r="E68" s="204">
        <v>62013000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38867425</v>
      </c>
      <c r="D69" s="204">
        <v>38227000</v>
      </c>
      <c r="E69" s="204">
        <v>45481000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43.640479232934126</v>
      </c>
      <c r="D71" s="203">
        <f>IF((D77/365)=0,0,+D74/(D77/365))</f>
        <v>38.016223094798193</v>
      </c>
      <c r="E71" s="203">
        <f>IF((E77/365)=0,0,+E74/(E77/365))</f>
        <v>48.367984038987991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23202053</v>
      </c>
      <c r="D72" s="183">
        <v>21808000</v>
      </c>
      <c r="E72" s="183">
        <v>28153000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497349</v>
      </c>
      <c r="D73" s="206">
        <v>38000</v>
      </c>
      <c r="E73" s="206">
        <v>29000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23699402</v>
      </c>
      <c r="D74" s="204">
        <f>+D72+D73</f>
        <v>21846000</v>
      </c>
      <c r="E74" s="204">
        <f>+E72+E73</f>
        <v>28182000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205686874</v>
      </c>
      <c r="D75" s="204">
        <f>+D14</f>
        <v>218384632</v>
      </c>
      <c r="E75" s="204">
        <f>+E14</f>
        <v>221915377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7469946</v>
      </c>
      <c r="D76" s="204">
        <v>8637599</v>
      </c>
      <c r="E76" s="204">
        <v>9245153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198216928</v>
      </c>
      <c r="D77" s="204">
        <f>+D75-D76</f>
        <v>209747033</v>
      </c>
      <c r="E77" s="204">
        <f>+E75-E76</f>
        <v>212670224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28.417681750222943</v>
      </c>
      <c r="D79" s="203">
        <f>IF((D84/365)=0,0,+D83/(D84/365))</f>
        <v>40.069602352665342</v>
      </c>
      <c r="E79" s="203">
        <f>IF((E84/365)=0,0,+E83/(E84/365))</f>
        <v>36.488582196047766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25440911</v>
      </c>
      <c r="D80" s="212">
        <v>31789000</v>
      </c>
      <c r="E80" s="212">
        <v>28777000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9296916</v>
      </c>
      <c r="D82" s="212">
        <v>7007000</v>
      </c>
      <c r="E82" s="212">
        <v>6035000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16143995</v>
      </c>
      <c r="D83" s="212">
        <f>+D80+D81-D82</f>
        <v>24782000</v>
      </c>
      <c r="E83" s="212">
        <f>+E80+E81-E82</f>
        <v>22742000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207355344</v>
      </c>
      <c r="D84" s="204">
        <f>+D11</f>
        <v>225742944</v>
      </c>
      <c r="E84" s="204">
        <f>+E11</f>
        <v>227491163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71.571133041674415</v>
      </c>
      <c r="D86" s="203">
        <f>IF((D90/365)=0,0,+D87/(D90/365))</f>
        <v>66.522299745713198</v>
      </c>
      <c r="E86" s="203">
        <f>IF((E90/365)=0,0,+E87/(E90/365))</f>
        <v>78.057777378369622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38867425</v>
      </c>
      <c r="D87" s="76">
        <f>+D69</f>
        <v>38227000</v>
      </c>
      <c r="E87" s="76">
        <f>+E69</f>
        <v>45481000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205686874</v>
      </c>
      <c r="D88" s="76">
        <f t="shared" si="0"/>
        <v>218384632</v>
      </c>
      <c r="E88" s="76">
        <f t="shared" si="0"/>
        <v>221915377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7469946</v>
      </c>
      <c r="D89" s="201">
        <f t="shared" si="0"/>
        <v>8637599</v>
      </c>
      <c r="E89" s="201">
        <f t="shared" si="0"/>
        <v>9245153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198216928</v>
      </c>
      <c r="D90" s="76">
        <f>+D88-D89</f>
        <v>209747033</v>
      </c>
      <c r="E90" s="76">
        <f>+E88-E89</f>
        <v>212670224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8.3536860170841578</v>
      </c>
      <c r="D94" s="214">
        <f>IF(D96=0,0,(D95/D96)*100)</f>
        <v>10.529716900771341</v>
      </c>
      <c r="E94" s="214">
        <f>IF(E96=0,0,(E95/E96)*100)</f>
        <v>26.538611471566725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13626171</v>
      </c>
      <c r="D95" s="76">
        <f>+D32</f>
        <v>17924000</v>
      </c>
      <c r="E95" s="76">
        <f>+E32</f>
        <v>49697000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163115671</v>
      </c>
      <c r="D96" s="76">
        <v>170223000</v>
      </c>
      <c r="E96" s="76">
        <v>187263000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21.341093810085578</v>
      </c>
      <c r="D98" s="214">
        <f>IF(D104=0,0,(D101/D104)*100)</f>
        <v>39.742019204942252</v>
      </c>
      <c r="E98" s="214">
        <f>IF(E104=0,0,(E101/E104)*100)</f>
        <v>42.344213972129168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5758226</v>
      </c>
      <c r="D99" s="76">
        <f>+D28</f>
        <v>15035927</v>
      </c>
      <c r="E99" s="76">
        <f>+E28</f>
        <v>18436530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7469946</v>
      </c>
      <c r="D100" s="201">
        <f>+D76</f>
        <v>8637599</v>
      </c>
      <c r="E100" s="201">
        <f>+E76</f>
        <v>9245153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13228172</v>
      </c>
      <c r="D101" s="76">
        <f>+D99+D100</f>
        <v>23673526</v>
      </c>
      <c r="E101" s="76">
        <f>+E99+E100</f>
        <v>27681683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38867425</v>
      </c>
      <c r="D102" s="204">
        <f>+D69</f>
        <v>38227000</v>
      </c>
      <c r="E102" s="204">
        <f>+E69</f>
        <v>45481000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23117083</v>
      </c>
      <c r="D103" s="216">
        <v>21341000</v>
      </c>
      <c r="E103" s="216">
        <v>19892000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61984508</v>
      </c>
      <c r="D104" s="204">
        <f>+D102+D103</f>
        <v>59568000</v>
      </c>
      <c r="E104" s="204">
        <f>+E102+E103</f>
        <v>65373000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62.915176211665958</v>
      </c>
      <c r="D106" s="214">
        <f>IF(D109=0,0,(D107/D109)*100)</f>
        <v>54.351203361772569</v>
      </c>
      <c r="E106" s="214">
        <f>IF(E109=0,0,(E107/E109)*100)</f>
        <v>28.584977510813491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23117083</v>
      </c>
      <c r="D107" s="204">
        <f>+D103</f>
        <v>21341000</v>
      </c>
      <c r="E107" s="204">
        <f>+E103</f>
        <v>19892000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13626171</v>
      </c>
      <c r="D108" s="204">
        <f>+D32</f>
        <v>17924000</v>
      </c>
      <c r="E108" s="204">
        <f>+E32</f>
        <v>49697000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36743254</v>
      </c>
      <c r="D109" s="204">
        <f>+D107+D108</f>
        <v>39265000</v>
      </c>
      <c r="E109" s="204">
        <f>+E107+E108</f>
        <v>69589000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3.3345781893551059</v>
      </c>
      <c r="D111" s="214">
        <f>IF((+D113+D115)=0,0,((+D112+D113+D114)/(+D113+D115)))</f>
        <v>6.4407962829399086</v>
      </c>
      <c r="E111" s="214">
        <f>IF((+E113+E115)=0,0,((+E112+E113+E114)/(+E113+E115)))</f>
        <v>9.1785387637621163</v>
      </c>
    </row>
    <row r="112" spans="1:6" ht="24" customHeight="1" x14ac:dyDescent="0.2">
      <c r="A112" s="85">
        <v>16</v>
      </c>
      <c r="B112" s="75" t="s">
        <v>373</v>
      </c>
      <c r="C112" s="218">
        <f>+C17</f>
        <v>5758226</v>
      </c>
      <c r="D112" s="76">
        <f>+D17</f>
        <v>15035927</v>
      </c>
      <c r="E112" s="76">
        <f>+E17</f>
        <v>18436530</v>
      </c>
    </row>
    <row r="113" spans="1:8" ht="24" customHeight="1" x14ac:dyDescent="0.2">
      <c r="A113" s="85">
        <v>17</v>
      </c>
      <c r="B113" s="75" t="s">
        <v>88</v>
      </c>
      <c r="C113" s="218">
        <v>1198337</v>
      </c>
      <c r="D113" s="76">
        <v>1616544</v>
      </c>
      <c r="E113" s="76">
        <v>1471201</v>
      </c>
    </row>
    <row r="114" spans="1:8" ht="24" customHeight="1" x14ac:dyDescent="0.2">
      <c r="A114" s="85">
        <v>18</v>
      </c>
      <c r="B114" s="75" t="s">
        <v>374</v>
      </c>
      <c r="C114" s="218">
        <v>7469946</v>
      </c>
      <c r="D114" s="76">
        <v>8637599</v>
      </c>
      <c r="E114" s="76">
        <v>9245153</v>
      </c>
    </row>
    <row r="115" spans="1:8" ht="24" customHeight="1" x14ac:dyDescent="0.2">
      <c r="A115" s="85">
        <v>19</v>
      </c>
      <c r="B115" s="75" t="s">
        <v>104</v>
      </c>
      <c r="C115" s="218">
        <v>3128000</v>
      </c>
      <c r="D115" s="76">
        <v>2310000</v>
      </c>
      <c r="E115" s="76">
        <v>1705000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15.253395807680537</v>
      </c>
      <c r="D119" s="214">
        <f>IF(+D121=0,0,(+D120)/(+D121))</f>
        <v>12.915047341280836</v>
      </c>
      <c r="E119" s="214">
        <f>IF(+E121=0,0,(+E120)/(+E121))</f>
        <v>12.965929282078944</v>
      </c>
    </row>
    <row r="120" spans="1:8" ht="24" customHeight="1" x14ac:dyDescent="0.2">
      <c r="A120" s="85">
        <v>21</v>
      </c>
      <c r="B120" s="75" t="s">
        <v>378</v>
      </c>
      <c r="C120" s="218">
        <v>113942043</v>
      </c>
      <c r="D120" s="218">
        <v>111555000</v>
      </c>
      <c r="E120" s="218">
        <v>119872000</v>
      </c>
    </row>
    <row r="121" spans="1:8" ht="24" customHeight="1" x14ac:dyDescent="0.2">
      <c r="A121" s="85">
        <v>22</v>
      </c>
      <c r="B121" s="75" t="s">
        <v>374</v>
      </c>
      <c r="C121" s="218">
        <v>7469946</v>
      </c>
      <c r="D121" s="218">
        <v>8637599</v>
      </c>
      <c r="E121" s="218">
        <v>9245153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55915</v>
      </c>
      <c r="D124" s="218">
        <v>51556</v>
      </c>
      <c r="E124" s="218">
        <v>51833</v>
      </c>
    </row>
    <row r="125" spans="1:8" ht="24" customHeight="1" x14ac:dyDescent="0.2">
      <c r="A125" s="85">
        <v>2</v>
      </c>
      <c r="B125" s="75" t="s">
        <v>381</v>
      </c>
      <c r="C125" s="218">
        <v>12534</v>
      </c>
      <c r="D125" s="218">
        <v>12078</v>
      </c>
      <c r="E125" s="218">
        <v>11729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4.4610659007499605</v>
      </c>
      <c r="D126" s="219">
        <f>IF(D125=0,0,D124/D125)</f>
        <v>4.2685875144891536</v>
      </c>
      <c r="E126" s="219">
        <f>IF(E125=0,0,E124/E125)</f>
        <v>4.4192173245801003</v>
      </c>
    </row>
    <row r="127" spans="1:8" ht="24" customHeight="1" x14ac:dyDescent="0.2">
      <c r="A127" s="85">
        <v>4</v>
      </c>
      <c r="B127" s="75" t="s">
        <v>383</v>
      </c>
      <c r="C127" s="218">
        <v>179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182</v>
      </c>
      <c r="E128" s="218">
        <v>182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181</v>
      </c>
      <c r="D129" s="218">
        <v>379</v>
      </c>
      <c r="E129" s="218">
        <v>379</v>
      </c>
    </row>
    <row r="130" spans="1:7" ht="24" customHeight="1" x14ac:dyDescent="0.2">
      <c r="A130" s="85">
        <v>7</v>
      </c>
      <c r="B130" s="75" t="s">
        <v>386</v>
      </c>
      <c r="C130" s="193">
        <v>0.85580000000000001</v>
      </c>
      <c r="D130" s="193">
        <v>0.77600000000000002</v>
      </c>
      <c r="E130" s="193">
        <v>0.7802</v>
      </c>
    </row>
    <row r="131" spans="1:7" ht="24" customHeight="1" x14ac:dyDescent="0.2">
      <c r="A131" s="85">
        <v>8</v>
      </c>
      <c r="B131" s="75" t="s">
        <v>387</v>
      </c>
      <c r="C131" s="193">
        <v>0.84630000000000005</v>
      </c>
      <c r="D131" s="193">
        <v>0.77600000000000002</v>
      </c>
      <c r="E131" s="193">
        <v>0.7802</v>
      </c>
    </row>
    <row r="132" spans="1:7" ht="24" customHeight="1" x14ac:dyDescent="0.2">
      <c r="A132" s="85">
        <v>9</v>
      </c>
      <c r="B132" s="75" t="s">
        <v>388</v>
      </c>
      <c r="C132" s="219">
        <v>1237.9000000000001</v>
      </c>
      <c r="D132" s="219">
        <v>1355.2</v>
      </c>
      <c r="E132" s="219">
        <v>1355.2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0.34620742789541092</v>
      </c>
      <c r="D135" s="227">
        <f>IF(D149=0,0,D143/D149)</f>
        <v>0.34986461481291764</v>
      </c>
      <c r="E135" s="227">
        <f>IF(E149=0,0,E143/E149)</f>
        <v>0.33171185145458093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0.39830108719764112</v>
      </c>
      <c r="D136" s="227">
        <f>IF(D149=0,0,D144/D149)</f>
        <v>0.39343413237591601</v>
      </c>
      <c r="E136" s="227">
        <f>IF(E149=0,0,E144/E149)</f>
        <v>0.38453550589085272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0.23845079780921366</v>
      </c>
      <c r="D137" s="227">
        <f>IF(D149=0,0,D145/D149)</f>
        <v>0.23524472066364369</v>
      </c>
      <c r="E137" s="227">
        <f>IF(E149=0,0,E145/E149)</f>
        <v>0.26113094823637933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1.5247372109171729E-2</v>
      </c>
      <c r="D139" s="227">
        <f>IF(D149=0,0,D147/D149)</f>
        <v>2.0060183662340005E-2</v>
      </c>
      <c r="E139" s="227">
        <f>IF(E149=0,0,E147/E149)</f>
        <v>2.0989160689301338E-2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1.7933149885625518E-3</v>
      </c>
      <c r="D140" s="227">
        <f>IF(D149=0,0,D148/D149)</f>
        <v>1.3963484851826607E-3</v>
      </c>
      <c r="E140" s="227">
        <f>IF(E149=0,0,E148/E149)</f>
        <v>1.6325337288856595E-3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0.99999999999999989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176417205</v>
      </c>
      <c r="D143" s="229">
        <f>+D46-D147</f>
        <v>198920054</v>
      </c>
      <c r="E143" s="229">
        <f>+E46-E147</f>
        <v>198563590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202962614</v>
      </c>
      <c r="D144" s="229">
        <f>+D51</f>
        <v>223692067</v>
      </c>
      <c r="E144" s="229">
        <f>+E51</f>
        <v>230183969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121507570</v>
      </c>
      <c r="D145" s="229">
        <f>+D55</f>
        <v>133751430</v>
      </c>
      <c r="E145" s="229">
        <f>+E55</f>
        <v>156313675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7769616</v>
      </c>
      <c r="D147" s="229">
        <f>+D47</f>
        <v>11405477</v>
      </c>
      <c r="E147" s="229">
        <f>+E47</f>
        <v>12564167</v>
      </c>
    </row>
    <row r="148" spans="1:7" ht="20.100000000000001" customHeight="1" x14ac:dyDescent="0.2">
      <c r="A148" s="226">
        <v>13</v>
      </c>
      <c r="B148" s="224" t="s">
        <v>402</v>
      </c>
      <c r="C148" s="230">
        <v>913821</v>
      </c>
      <c r="D148" s="229">
        <v>793912</v>
      </c>
      <c r="E148" s="229">
        <v>977239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509570826</v>
      </c>
      <c r="D149" s="229">
        <f>SUM(D143:D148)</f>
        <v>568562940</v>
      </c>
      <c r="E149" s="229">
        <f>SUM(E143:E148)</f>
        <v>598602640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0.38074855664202611</v>
      </c>
      <c r="D152" s="227">
        <f>IF(D166=0,0,D160/D166)</f>
        <v>0.40560165850314822</v>
      </c>
      <c r="E152" s="227">
        <f>IF(E166=0,0,E160/E166)</f>
        <v>0.37745988520633378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0.44935202850132078</v>
      </c>
      <c r="D153" s="227">
        <f>IF(D166=0,0,D161/D166)</f>
        <v>0.40614319806207289</v>
      </c>
      <c r="E153" s="227">
        <f>IF(E166=0,0,E161/E166)</f>
        <v>0.39288423963752522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0.16718204022038644</v>
      </c>
      <c r="D154" s="227">
        <f>IF(D166=0,0,D162/D166)</f>
        <v>0.18476739915720267</v>
      </c>
      <c r="E154" s="227">
        <f>IF(E166=0,0,E162/E166)</f>
        <v>0.22729285145370803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1.368984351166589E-3</v>
      </c>
      <c r="D156" s="227">
        <f>IF(D166=0,0,D164/D166)</f>
        <v>2.4825905650836862E-3</v>
      </c>
      <c r="E156" s="227">
        <f>IF(E166=0,0,E164/E166)</f>
        <v>1.1634155985482315E-3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1.3483902851001339E-3</v>
      </c>
      <c r="D157" s="227">
        <f>IF(D166=0,0,D165/D166)</f>
        <v>1.0051537124925269E-3</v>
      </c>
      <c r="E157" s="227">
        <f>IF(E166=0,0,E165/E166)</f>
        <v>1.1996081038847593E-3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73805155</v>
      </c>
      <c r="D160" s="229">
        <f>+D44-D164</f>
        <v>84966404</v>
      </c>
      <c r="E160" s="229">
        <f>+E44-E164</f>
        <v>79867027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87103406</v>
      </c>
      <c r="D161" s="229">
        <f>+D50</f>
        <v>85079847</v>
      </c>
      <c r="E161" s="229">
        <f>+E50</f>
        <v>83130678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32406942</v>
      </c>
      <c r="D162" s="229">
        <f>+D54</f>
        <v>38705516</v>
      </c>
      <c r="E162" s="229">
        <f>+E54</f>
        <v>48093069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265367</v>
      </c>
      <c r="D164" s="229">
        <f>+D45</f>
        <v>520059</v>
      </c>
      <c r="E164" s="229">
        <f>+E45</f>
        <v>246168</v>
      </c>
    </row>
    <row r="165" spans="1:6" ht="20.100000000000001" customHeight="1" x14ac:dyDescent="0.2">
      <c r="A165" s="226">
        <v>13</v>
      </c>
      <c r="B165" s="224" t="s">
        <v>417</v>
      </c>
      <c r="C165" s="230">
        <v>261375</v>
      </c>
      <c r="D165" s="229">
        <v>210562</v>
      </c>
      <c r="E165" s="229">
        <v>253826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193842245</v>
      </c>
      <c r="D166" s="229">
        <f>SUM(D160:D165)</f>
        <v>209482388</v>
      </c>
      <c r="E166" s="229">
        <f>SUM(E160:E165)</f>
        <v>211590768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3735</v>
      </c>
      <c r="D169" s="218">
        <v>3627</v>
      </c>
      <c r="E169" s="218">
        <v>3306</v>
      </c>
    </row>
    <row r="170" spans="1:6" ht="20.100000000000001" customHeight="1" x14ac:dyDescent="0.2">
      <c r="A170" s="226">
        <v>2</v>
      </c>
      <c r="B170" s="224" t="s">
        <v>420</v>
      </c>
      <c r="C170" s="218">
        <v>5576</v>
      </c>
      <c r="D170" s="218">
        <v>5198</v>
      </c>
      <c r="E170" s="218">
        <v>5053</v>
      </c>
    </row>
    <row r="171" spans="1:6" ht="20.100000000000001" customHeight="1" x14ac:dyDescent="0.2">
      <c r="A171" s="226">
        <v>3</v>
      </c>
      <c r="B171" s="224" t="s">
        <v>421</v>
      </c>
      <c r="C171" s="218">
        <v>3197</v>
      </c>
      <c r="D171" s="218">
        <v>3231</v>
      </c>
      <c r="E171" s="218">
        <v>3345</v>
      </c>
    </row>
    <row r="172" spans="1:6" ht="20.100000000000001" customHeight="1" x14ac:dyDescent="0.2">
      <c r="A172" s="226">
        <v>4</v>
      </c>
      <c r="B172" s="224" t="s">
        <v>422</v>
      </c>
      <c r="C172" s="218">
        <v>3197</v>
      </c>
      <c r="D172" s="218">
        <v>3231</v>
      </c>
      <c r="E172" s="218">
        <v>3345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26</v>
      </c>
      <c r="D174" s="218">
        <v>22</v>
      </c>
      <c r="E174" s="218">
        <v>25</v>
      </c>
    </row>
    <row r="175" spans="1:6" ht="20.100000000000001" customHeight="1" x14ac:dyDescent="0.2">
      <c r="A175" s="226">
        <v>7</v>
      </c>
      <c r="B175" s="224" t="s">
        <v>425</v>
      </c>
      <c r="C175" s="218">
        <v>128</v>
      </c>
      <c r="D175" s="218">
        <v>170</v>
      </c>
      <c r="E175" s="218">
        <v>178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12534</v>
      </c>
      <c r="D176" s="218">
        <f>+D169+D170+D171+D174</f>
        <v>12078</v>
      </c>
      <c r="E176" s="218">
        <f>+E169+E170+E171+E174</f>
        <v>11729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1.20244</v>
      </c>
      <c r="D179" s="231">
        <v>1.2172000000000001</v>
      </c>
      <c r="E179" s="231">
        <v>1.1974</v>
      </c>
    </row>
    <row r="180" spans="1:6" ht="20.100000000000001" customHeight="1" x14ac:dyDescent="0.2">
      <c r="A180" s="226">
        <v>2</v>
      </c>
      <c r="B180" s="224" t="s">
        <v>420</v>
      </c>
      <c r="C180" s="231">
        <v>1.5125999999999999</v>
      </c>
      <c r="D180" s="231">
        <v>1.5007999999999999</v>
      </c>
      <c r="E180" s="231">
        <v>1.49895</v>
      </c>
    </row>
    <row r="181" spans="1:6" ht="20.100000000000001" customHeight="1" x14ac:dyDescent="0.2">
      <c r="A181" s="226">
        <v>3</v>
      </c>
      <c r="B181" s="224" t="s">
        <v>421</v>
      </c>
      <c r="C181" s="231">
        <v>1.0441</v>
      </c>
      <c r="D181" s="231">
        <v>1.0064</v>
      </c>
      <c r="E181" s="231">
        <v>1.0439700000000001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1.0441</v>
      </c>
      <c r="D182" s="231">
        <v>1.0064</v>
      </c>
      <c r="E182" s="231">
        <v>1.0439700000000001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0.8619</v>
      </c>
      <c r="D184" s="231">
        <v>0.63800000000000001</v>
      </c>
      <c r="E184" s="231">
        <v>0.73607</v>
      </c>
    </row>
    <row r="185" spans="1:6" ht="20.100000000000001" customHeight="1" x14ac:dyDescent="0.2">
      <c r="A185" s="226">
        <v>7</v>
      </c>
      <c r="B185" s="224" t="s">
        <v>425</v>
      </c>
      <c r="C185" s="231">
        <v>1.0468999999999999</v>
      </c>
      <c r="D185" s="231">
        <v>1.0139</v>
      </c>
      <c r="E185" s="231">
        <v>0.93111999999999995</v>
      </c>
    </row>
    <row r="186" spans="1:6" ht="20.100000000000001" customHeight="1" x14ac:dyDescent="0.2">
      <c r="A186" s="226">
        <v>8</v>
      </c>
      <c r="B186" s="224" t="s">
        <v>429</v>
      </c>
      <c r="C186" s="231">
        <v>1.2993269999999999</v>
      </c>
      <c r="D186" s="231">
        <v>1.281806</v>
      </c>
      <c r="E186" s="231">
        <v>1.2825709999999999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8191</v>
      </c>
      <c r="D189" s="218">
        <v>7851</v>
      </c>
      <c r="E189" s="218">
        <v>7991</v>
      </c>
    </row>
    <row r="190" spans="1:6" ht="20.100000000000001" customHeight="1" x14ac:dyDescent="0.2">
      <c r="A190" s="226">
        <v>2</v>
      </c>
      <c r="B190" s="224" t="s">
        <v>433</v>
      </c>
      <c r="C190" s="218">
        <v>61021</v>
      </c>
      <c r="D190" s="218">
        <v>62968</v>
      </c>
      <c r="E190" s="218">
        <v>62003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69212</v>
      </c>
      <c r="D191" s="218">
        <f>+D190+D189</f>
        <v>70819</v>
      </c>
      <c r="E191" s="218">
        <f>+E190+E189</f>
        <v>69994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sqref="A1:F1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1638009</v>
      </c>
      <c r="D14" s="258">
        <v>1196623</v>
      </c>
      <c r="E14" s="258">
        <f t="shared" ref="E14:E24" si="0">D14-C14</f>
        <v>-441386</v>
      </c>
      <c r="F14" s="259">
        <f t="shared" ref="F14:F24" si="1">IF(C14=0,0,E14/C14)</f>
        <v>-0.26946494188981868</v>
      </c>
    </row>
    <row r="15" spans="1:7" ht="20.25" customHeight="1" x14ac:dyDescent="0.3">
      <c r="A15" s="256">
        <v>2</v>
      </c>
      <c r="B15" s="257" t="s">
        <v>442</v>
      </c>
      <c r="C15" s="258">
        <v>761129</v>
      </c>
      <c r="D15" s="258">
        <v>442378</v>
      </c>
      <c r="E15" s="258">
        <f t="shared" si="0"/>
        <v>-318751</v>
      </c>
      <c r="F15" s="259">
        <f t="shared" si="1"/>
        <v>-0.41878709128150421</v>
      </c>
    </row>
    <row r="16" spans="1:7" ht="20.25" customHeight="1" x14ac:dyDescent="0.3">
      <c r="A16" s="256">
        <v>3</v>
      </c>
      <c r="B16" s="257" t="s">
        <v>443</v>
      </c>
      <c r="C16" s="258">
        <v>1279582</v>
      </c>
      <c r="D16" s="258">
        <v>775807</v>
      </c>
      <c r="E16" s="258">
        <f t="shared" si="0"/>
        <v>-503775</v>
      </c>
      <c r="F16" s="259">
        <f t="shared" si="1"/>
        <v>-0.39370278731648306</v>
      </c>
    </row>
    <row r="17" spans="1:6" ht="20.25" customHeight="1" x14ac:dyDescent="0.3">
      <c r="A17" s="256">
        <v>4</v>
      </c>
      <c r="B17" s="257" t="s">
        <v>444</v>
      </c>
      <c r="C17" s="258">
        <v>464701</v>
      </c>
      <c r="D17" s="258">
        <v>172585</v>
      </c>
      <c r="E17" s="258">
        <f t="shared" si="0"/>
        <v>-292116</v>
      </c>
      <c r="F17" s="259">
        <f t="shared" si="1"/>
        <v>-0.62861065502333757</v>
      </c>
    </row>
    <row r="18" spans="1:6" ht="20.25" customHeight="1" x14ac:dyDescent="0.3">
      <c r="A18" s="256">
        <v>5</v>
      </c>
      <c r="B18" s="257" t="s">
        <v>381</v>
      </c>
      <c r="C18" s="260">
        <v>50</v>
      </c>
      <c r="D18" s="260">
        <v>34</v>
      </c>
      <c r="E18" s="260">
        <f t="shared" si="0"/>
        <v>-16</v>
      </c>
      <c r="F18" s="259">
        <f t="shared" si="1"/>
        <v>-0.32</v>
      </c>
    </row>
    <row r="19" spans="1:6" ht="20.25" customHeight="1" x14ac:dyDescent="0.3">
      <c r="A19" s="256">
        <v>6</v>
      </c>
      <c r="B19" s="257" t="s">
        <v>380</v>
      </c>
      <c r="C19" s="260">
        <v>254</v>
      </c>
      <c r="D19" s="260">
        <v>166</v>
      </c>
      <c r="E19" s="260">
        <f t="shared" si="0"/>
        <v>-88</v>
      </c>
      <c r="F19" s="259">
        <f t="shared" si="1"/>
        <v>-0.34645669291338582</v>
      </c>
    </row>
    <row r="20" spans="1:6" ht="20.25" customHeight="1" x14ac:dyDescent="0.3">
      <c r="A20" s="256">
        <v>7</v>
      </c>
      <c r="B20" s="257" t="s">
        <v>445</v>
      </c>
      <c r="C20" s="260">
        <v>786</v>
      </c>
      <c r="D20" s="260">
        <v>455</v>
      </c>
      <c r="E20" s="260">
        <f t="shared" si="0"/>
        <v>-331</v>
      </c>
      <c r="F20" s="259">
        <f t="shared" si="1"/>
        <v>-0.42111959287531808</v>
      </c>
    </row>
    <row r="21" spans="1:6" ht="20.25" customHeight="1" x14ac:dyDescent="0.3">
      <c r="A21" s="256">
        <v>8</v>
      </c>
      <c r="B21" s="257" t="s">
        <v>446</v>
      </c>
      <c r="C21" s="260">
        <v>96</v>
      </c>
      <c r="D21" s="260">
        <v>49</v>
      </c>
      <c r="E21" s="260">
        <f t="shared" si="0"/>
        <v>-47</v>
      </c>
      <c r="F21" s="259">
        <f t="shared" si="1"/>
        <v>-0.48958333333333331</v>
      </c>
    </row>
    <row r="22" spans="1:6" ht="20.25" customHeight="1" x14ac:dyDescent="0.3">
      <c r="A22" s="256">
        <v>9</v>
      </c>
      <c r="B22" s="257" t="s">
        <v>447</v>
      </c>
      <c r="C22" s="260">
        <v>25</v>
      </c>
      <c r="D22" s="260">
        <v>27</v>
      </c>
      <c r="E22" s="260">
        <f t="shared" si="0"/>
        <v>2</v>
      </c>
      <c r="F22" s="259">
        <f t="shared" si="1"/>
        <v>0.08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2917591</v>
      </c>
      <c r="D23" s="263">
        <f>+D14+D16</f>
        <v>1972430</v>
      </c>
      <c r="E23" s="263">
        <f t="shared" si="0"/>
        <v>-945161</v>
      </c>
      <c r="F23" s="264">
        <f t="shared" si="1"/>
        <v>-0.32395253481382413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1225830</v>
      </c>
      <c r="D24" s="263">
        <f>+D15+D17</f>
        <v>614963</v>
      </c>
      <c r="E24" s="263">
        <f t="shared" si="0"/>
        <v>-610867</v>
      </c>
      <c r="F24" s="264">
        <f t="shared" si="1"/>
        <v>-0.49832929525301223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5866202</v>
      </c>
      <c r="D40" s="258">
        <v>5878225</v>
      </c>
      <c r="E40" s="258">
        <f t="shared" ref="E40:E50" si="4">D40-C40</f>
        <v>12023</v>
      </c>
      <c r="F40" s="259">
        <f t="shared" ref="F40:F50" si="5">IF(C40=0,0,E40/C40)</f>
        <v>2.0495373326728265E-3</v>
      </c>
    </row>
    <row r="41" spans="1:6" ht="20.25" customHeight="1" x14ac:dyDescent="0.3">
      <c r="A41" s="256">
        <v>2</v>
      </c>
      <c r="B41" s="257" t="s">
        <v>442</v>
      </c>
      <c r="C41" s="258">
        <v>2231040</v>
      </c>
      <c r="D41" s="258">
        <v>2342344</v>
      </c>
      <c r="E41" s="258">
        <f t="shared" si="4"/>
        <v>111304</v>
      </c>
      <c r="F41" s="259">
        <f t="shared" si="5"/>
        <v>4.9888841078600116E-2</v>
      </c>
    </row>
    <row r="42" spans="1:6" ht="20.25" customHeight="1" x14ac:dyDescent="0.3">
      <c r="A42" s="256">
        <v>3</v>
      </c>
      <c r="B42" s="257" t="s">
        <v>443</v>
      </c>
      <c r="C42" s="258">
        <v>4886754</v>
      </c>
      <c r="D42" s="258">
        <v>5756401</v>
      </c>
      <c r="E42" s="258">
        <f t="shared" si="4"/>
        <v>869647</v>
      </c>
      <c r="F42" s="259">
        <f t="shared" si="5"/>
        <v>0.17796005282852381</v>
      </c>
    </row>
    <row r="43" spans="1:6" ht="20.25" customHeight="1" x14ac:dyDescent="0.3">
      <c r="A43" s="256">
        <v>4</v>
      </c>
      <c r="B43" s="257" t="s">
        <v>444</v>
      </c>
      <c r="C43" s="258">
        <v>1295600</v>
      </c>
      <c r="D43" s="258">
        <v>1377395</v>
      </c>
      <c r="E43" s="258">
        <f t="shared" si="4"/>
        <v>81795</v>
      </c>
      <c r="F43" s="259">
        <f t="shared" si="5"/>
        <v>6.3132911392405067E-2</v>
      </c>
    </row>
    <row r="44" spans="1:6" ht="20.25" customHeight="1" x14ac:dyDescent="0.3">
      <c r="A44" s="256">
        <v>5</v>
      </c>
      <c r="B44" s="257" t="s">
        <v>381</v>
      </c>
      <c r="C44" s="260">
        <v>212</v>
      </c>
      <c r="D44" s="260">
        <v>202</v>
      </c>
      <c r="E44" s="260">
        <f t="shared" si="4"/>
        <v>-10</v>
      </c>
      <c r="F44" s="259">
        <f t="shared" si="5"/>
        <v>-4.716981132075472E-2</v>
      </c>
    </row>
    <row r="45" spans="1:6" ht="20.25" customHeight="1" x14ac:dyDescent="0.3">
      <c r="A45" s="256">
        <v>6</v>
      </c>
      <c r="B45" s="257" t="s">
        <v>380</v>
      </c>
      <c r="C45" s="260">
        <v>935</v>
      </c>
      <c r="D45" s="260">
        <v>1004</v>
      </c>
      <c r="E45" s="260">
        <f t="shared" si="4"/>
        <v>69</v>
      </c>
      <c r="F45" s="259">
        <f t="shared" si="5"/>
        <v>7.3796791443850263E-2</v>
      </c>
    </row>
    <row r="46" spans="1:6" ht="20.25" customHeight="1" x14ac:dyDescent="0.3">
      <c r="A46" s="256">
        <v>7</v>
      </c>
      <c r="B46" s="257" t="s">
        <v>445</v>
      </c>
      <c r="C46" s="260">
        <v>3265</v>
      </c>
      <c r="D46" s="260">
        <v>3563</v>
      </c>
      <c r="E46" s="260">
        <f t="shared" si="4"/>
        <v>298</v>
      </c>
      <c r="F46" s="259">
        <f t="shared" si="5"/>
        <v>9.1271056661562017E-2</v>
      </c>
    </row>
    <row r="47" spans="1:6" ht="20.25" customHeight="1" x14ac:dyDescent="0.3">
      <c r="A47" s="256">
        <v>8</v>
      </c>
      <c r="B47" s="257" t="s">
        <v>446</v>
      </c>
      <c r="C47" s="260">
        <v>300</v>
      </c>
      <c r="D47" s="260">
        <v>318</v>
      </c>
      <c r="E47" s="260">
        <f t="shared" si="4"/>
        <v>18</v>
      </c>
      <c r="F47" s="259">
        <f t="shared" si="5"/>
        <v>0.06</v>
      </c>
    </row>
    <row r="48" spans="1:6" ht="20.25" customHeight="1" x14ac:dyDescent="0.3">
      <c r="A48" s="256">
        <v>9</v>
      </c>
      <c r="B48" s="257" t="s">
        <v>447</v>
      </c>
      <c r="C48" s="260">
        <v>119</v>
      </c>
      <c r="D48" s="260">
        <v>170</v>
      </c>
      <c r="E48" s="260">
        <f t="shared" si="4"/>
        <v>51</v>
      </c>
      <c r="F48" s="259">
        <f t="shared" si="5"/>
        <v>0.42857142857142855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10752956</v>
      </c>
      <c r="D49" s="263">
        <f>+D40+D42</f>
        <v>11634626</v>
      </c>
      <c r="E49" s="263">
        <f t="shared" si="4"/>
        <v>881670</v>
      </c>
      <c r="F49" s="264">
        <f t="shared" si="5"/>
        <v>8.1993267711687842E-2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3526640</v>
      </c>
      <c r="D50" s="263">
        <f>+D41+D43</f>
        <v>3719739</v>
      </c>
      <c r="E50" s="263">
        <f t="shared" si="4"/>
        <v>193099</v>
      </c>
      <c r="F50" s="264">
        <f t="shared" si="5"/>
        <v>5.4754383776058797E-2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7715448</v>
      </c>
      <c r="D53" s="258">
        <v>9884355</v>
      </c>
      <c r="E53" s="258">
        <f t="shared" ref="E53:E63" si="6">D53-C53</f>
        <v>2168907</v>
      </c>
      <c r="F53" s="259">
        <f t="shared" ref="F53:F63" si="7">IF(C53=0,0,E53/C53)</f>
        <v>0.28111225686441021</v>
      </c>
    </row>
    <row r="54" spans="1:6" ht="20.25" customHeight="1" x14ac:dyDescent="0.3">
      <c r="A54" s="256">
        <v>2</v>
      </c>
      <c r="B54" s="257" t="s">
        <v>442</v>
      </c>
      <c r="C54" s="258">
        <v>3248257</v>
      </c>
      <c r="D54" s="258">
        <v>4008826</v>
      </c>
      <c r="E54" s="258">
        <f t="shared" si="6"/>
        <v>760569</v>
      </c>
      <c r="F54" s="259">
        <f t="shared" si="7"/>
        <v>0.23414680550215083</v>
      </c>
    </row>
    <row r="55" spans="1:6" ht="20.25" customHeight="1" x14ac:dyDescent="0.3">
      <c r="A55" s="256">
        <v>3</v>
      </c>
      <c r="B55" s="257" t="s">
        <v>443</v>
      </c>
      <c r="C55" s="258">
        <v>6675401</v>
      </c>
      <c r="D55" s="258">
        <v>7681733</v>
      </c>
      <c r="E55" s="258">
        <f t="shared" si="6"/>
        <v>1006332</v>
      </c>
      <c r="F55" s="259">
        <f t="shared" si="7"/>
        <v>0.15075229188478714</v>
      </c>
    </row>
    <row r="56" spans="1:6" ht="20.25" customHeight="1" x14ac:dyDescent="0.3">
      <c r="A56" s="256">
        <v>4</v>
      </c>
      <c r="B56" s="257" t="s">
        <v>444</v>
      </c>
      <c r="C56" s="258">
        <v>1604103</v>
      </c>
      <c r="D56" s="258">
        <v>1740468</v>
      </c>
      <c r="E56" s="258">
        <f t="shared" si="6"/>
        <v>136365</v>
      </c>
      <c r="F56" s="259">
        <f t="shared" si="7"/>
        <v>8.5010127155176446E-2</v>
      </c>
    </row>
    <row r="57" spans="1:6" ht="20.25" customHeight="1" x14ac:dyDescent="0.3">
      <c r="A57" s="256">
        <v>5</v>
      </c>
      <c r="B57" s="257" t="s">
        <v>381</v>
      </c>
      <c r="C57" s="260">
        <v>327</v>
      </c>
      <c r="D57" s="260">
        <v>360</v>
      </c>
      <c r="E57" s="260">
        <f t="shared" si="6"/>
        <v>33</v>
      </c>
      <c r="F57" s="259">
        <f t="shared" si="7"/>
        <v>0.10091743119266056</v>
      </c>
    </row>
    <row r="58" spans="1:6" ht="20.25" customHeight="1" x14ac:dyDescent="0.3">
      <c r="A58" s="256">
        <v>6</v>
      </c>
      <c r="B58" s="257" t="s">
        <v>380</v>
      </c>
      <c r="C58" s="260">
        <v>1608</v>
      </c>
      <c r="D58" s="260">
        <v>1837</v>
      </c>
      <c r="E58" s="260">
        <f t="shared" si="6"/>
        <v>229</v>
      </c>
      <c r="F58" s="259">
        <f t="shared" si="7"/>
        <v>0.14241293532338309</v>
      </c>
    </row>
    <row r="59" spans="1:6" ht="20.25" customHeight="1" x14ac:dyDescent="0.3">
      <c r="A59" s="256">
        <v>7</v>
      </c>
      <c r="B59" s="257" t="s">
        <v>445</v>
      </c>
      <c r="C59" s="260">
        <v>4733</v>
      </c>
      <c r="D59" s="260">
        <v>5117</v>
      </c>
      <c r="E59" s="260">
        <f t="shared" si="6"/>
        <v>384</v>
      </c>
      <c r="F59" s="259">
        <f t="shared" si="7"/>
        <v>8.113247411789562E-2</v>
      </c>
    </row>
    <row r="60" spans="1:6" ht="20.25" customHeight="1" x14ac:dyDescent="0.3">
      <c r="A60" s="256">
        <v>8</v>
      </c>
      <c r="B60" s="257" t="s">
        <v>446</v>
      </c>
      <c r="C60" s="260">
        <v>418</v>
      </c>
      <c r="D60" s="260">
        <v>478</v>
      </c>
      <c r="E60" s="260">
        <f t="shared" si="6"/>
        <v>60</v>
      </c>
      <c r="F60" s="259">
        <f t="shared" si="7"/>
        <v>0.14354066985645933</v>
      </c>
    </row>
    <row r="61" spans="1:6" ht="20.25" customHeight="1" x14ac:dyDescent="0.3">
      <c r="A61" s="256">
        <v>9</v>
      </c>
      <c r="B61" s="257" t="s">
        <v>447</v>
      </c>
      <c r="C61" s="260">
        <v>217</v>
      </c>
      <c r="D61" s="260">
        <v>292</v>
      </c>
      <c r="E61" s="260">
        <f t="shared" si="6"/>
        <v>75</v>
      </c>
      <c r="F61" s="259">
        <f t="shared" si="7"/>
        <v>0.34562211981566821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14390849</v>
      </c>
      <c r="D62" s="263">
        <f>+D53+D55</f>
        <v>17566088</v>
      </c>
      <c r="E62" s="263">
        <f t="shared" si="6"/>
        <v>3175239</v>
      </c>
      <c r="F62" s="264">
        <f t="shared" si="7"/>
        <v>0.22064292384695303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4852360</v>
      </c>
      <c r="D63" s="263">
        <f>+D54+D56</f>
        <v>5749294</v>
      </c>
      <c r="E63" s="263">
        <f t="shared" si="6"/>
        <v>896934</v>
      </c>
      <c r="F63" s="264">
        <f t="shared" si="7"/>
        <v>0.18484490021350436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716935</v>
      </c>
      <c r="D66" s="258">
        <v>601176</v>
      </c>
      <c r="E66" s="258">
        <f t="shared" ref="E66:E76" si="8">D66-C66</f>
        <v>-115759</v>
      </c>
      <c r="F66" s="259">
        <f t="shared" ref="F66:F76" si="9">IF(C66=0,0,E66/C66)</f>
        <v>-0.16146373102164074</v>
      </c>
    </row>
    <row r="67" spans="1:6" ht="20.25" customHeight="1" x14ac:dyDescent="0.3">
      <c r="A67" s="256">
        <v>2</v>
      </c>
      <c r="B67" s="257" t="s">
        <v>442</v>
      </c>
      <c r="C67" s="258">
        <v>240139</v>
      </c>
      <c r="D67" s="258">
        <v>261631</v>
      </c>
      <c r="E67" s="258">
        <f t="shared" si="8"/>
        <v>21492</v>
      </c>
      <c r="F67" s="259">
        <f t="shared" si="9"/>
        <v>8.9498165645730182E-2</v>
      </c>
    </row>
    <row r="68" spans="1:6" ht="20.25" customHeight="1" x14ac:dyDescent="0.3">
      <c r="A68" s="256">
        <v>3</v>
      </c>
      <c r="B68" s="257" t="s">
        <v>443</v>
      </c>
      <c r="C68" s="258">
        <v>253216</v>
      </c>
      <c r="D68" s="258">
        <v>278697</v>
      </c>
      <c r="E68" s="258">
        <f t="shared" si="8"/>
        <v>25481</v>
      </c>
      <c r="F68" s="259">
        <f t="shared" si="9"/>
        <v>0.10062950208517629</v>
      </c>
    </row>
    <row r="69" spans="1:6" ht="20.25" customHeight="1" x14ac:dyDescent="0.3">
      <c r="A69" s="256">
        <v>4</v>
      </c>
      <c r="B69" s="257" t="s">
        <v>444</v>
      </c>
      <c r="C69" s="258">
        <v>42901</v>
      </c>
      <c r="D69" s="258">
        <v>65096</v>
      </c>
      <c r="E69" s="258">
        <f t="shared" si="8"/>
        <v>22195</v>
      </c>
      <c r="F69" s="259">
        <f t="shared" si="9"/>
        <v>0.51735390783431623</v>
      </c>
    </row>
    <row r="70" spans="1:6" ht="20.25" customHeight="1" x14ac:dyDescent="0.3">
      <c r="A70" s="256">
        <v>5</v>
      </c>
      <c r="B70" s="257" t="s">
        <v>381</v>
      </c>
      <c r="C70" s="260">
        <v>24</v>
      </c>
      <c r="D70" s="260">
        <v>19</v>
      </c>
      <c r="E70" s="260">
        <f t="shared" si="8"/>
        <v>-5</v>
      </c>
      <c r="F70" s="259">
        <f t="shared" si="9"/>
        <v>-0.20833333333333334</v>
      </c>
    </row>
    <row r="71" spans="1:6" ht="20.25" customHeight="1" x14ac:dyDescent="0.3">
      <c r="A71" s="256">
        <v>6</v>
      </c>
      <c r="B71" s="257" t="s">
        <v>380</v>
      </c>
      <c r="C71" s="260">
        <v>134</v>
      </c>
      <c r="D71" s="260">
        <v>134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141</v>
      </c>
      <c r="D72" s="260">
        <v>142</v>
      </c>
      <c r="E72" s="260">
        <f t="shared" si="8"/>
        <v>1</v>
      </c>
      <c r="F72" s="259">
        <f t="shared" si="9"/>
        <v>7.0921985815602835E-3</v>
      </c>
    </row>
    <row r="73" spans="1:6" ht="20.25" customHeight="1" x14ac:dyDescent="0.3">
      <c r="A73" s="256">
        <v>8</v>
      </c>
      <c r="B73" s="257" t="s">
        <v>446</v>
      </c>
      <c r="C73" s="260">
        <v>68</v>
      </c>
      <c r="D73" s="260">
        <v>63</v>
      </c>
      <c r="E73" s="260">
        <f t="shared" si="8"/>
        <v>-5</v>
      </c>
      <c r="F73" s="259">
        <f t="shared" si="9"/>
        <v>-7.3529411764705885E-2</v>
      </c>
    </row>
    <row r="74" spans="1:6" ht="20.25" customHeight="1" x14ac:dyDescent="0.3">
      <c r="A74" s="256">
        <v>9</v>
      </c>
      <c r="B74" s="257" t="s">
        <v>447</v>
      </c>
      <c r="C74" s="260">
        <v>56</v>
      </c>
      <c r="D74" s="260">
        <v>18</v>
      </c>
      <c r="E74" s="260">
        <f t="shared" si="8"/>
        <v>-38</v>
      </c>
      <c r="F74" s="259">
        <f t="shared" si="9"/>
        <v>-0.6785714285714286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970151</v>
      </c>
      <c r="D75" s="263">
        <f>+D66+D68</f>
        <v>879873</v>
      </c>
      <c r="E75" s="263">
        <f t="shared" si="8"/>
        <v>-90278</v>
      </c>
      <c r="F75" s="264">
        <f t="shared" si="9"/>
        <v>-9.3055617115273812E-2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283040</v>
      </c>
      <c r="D76" s="263">
        <f>+D67+D69</f>
        <v>326727</v>
      </c>
      <c r="E76" s="263">
        <f t="shared" si="8"/>
        <v>43687</v>
      </c>
      <c r="F76" s="264">
        <f t="shared" si="9"/>
        <v>0.1543492085924251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2512185</v>
      </c>
      <c r="D79" s="258">
        <v>2297387</v>
      </c>
      <c r="E79" s="258">
        <f t="shared" ref="E79:E89" si="10">D79-C79</f>
        <v>-214798</v>
      </c>
      <c r="F79" s="259">
        <f t="shared" ref="F79:F89" si="11">IF(C79=0,0,E79/C79)</f>
        <v>-8.5502461005061328E-2</v>
      </c>
    </row>
    <row r="80" spans="1:6" ht="20.25" customHeight="1" x14ac:dyDescent="0.3">
      <c r="A80" s="256">
        <v>2</v>
      </c>
      <c r="B80" s="257" t="s">
        <v>442</v>
      </c>
      <c r="C80" s="258">
        <v>1121182</v>
      </c>
      <c r="D80" s="258">
        <v>858337</v>
      </c>
      <c r="E80" s="258">
        <f t="shared" si="10"/>
        <v>-262845</v>
      </c>
      <c r="F80" s="259">
        <f t="shared" si="11"/>
        <v>-0.23443562240563975</v>
      </c>
    </row>
    <row r="81" spans="1:6" ht="20.25" customHeight="1" x14ac:dyDescent="0.3">
      <c r="A81" s="256">
        <v>3</v>
      </c>
      <c r="B81" s="257" t="s">
        <v>443</v>
      </c>
      <c r="C81" s="258">
        <v>1385767</v>
      </c>
      <c r="D81" s="258">
        <v>1410423</v>
      </c>
      <c r="E81" s="258">
        <f t="shared" si="10"/>
        <v>24656</v>
      </c>
      <c r="F81" s="259">
        <f t="shared" si="11"/>
        <v>1.7792312849129761E-2</v>
      </c>
    </row>
    <row r="82" spans="1:6" ht="20.25" customHeight="1" x14ac:dyDescent="0.3">
      <c r="A82" s="256">
        <v>4</v>
      </c>
      <c r="B82" s="257" t="s">
        <v>444</v>
      </c>
      <c r="C82" s="258">
        <v>232839</v>
      </c>
      <c r="D82" s="258">
        <v>269125</v>
      </c>
      <c r="E82" s="258">
        <f t="shared" si="10"/>
        <v>36286</v>
      </c>
      <c r="F82" s="259">
        <f t="shared" si="11"/>
        <v>0.15584159011162219</v>
      </c>
    </row>
    <row r="83" spans="1:6" ht="20.25" customHeight="1" x14ac:dyDescent="0.3">
      <c r="A83" s="256">
        <v>5</v>
      </c>
      <c r="B83" s="257" t="s">
        <v>381</v>
      </c>
      <c r="C83" s="260">
        <v>79</v>
      </c>
      <c r="D83" s="260">
        <v>74</v>
      </c>
      <c r="E83" s="260">
        <f t="shared" si="10"/>
        <v>-5</v>
      </c>
      <c r="F83" s="259">
        <f t="shared" si="11"/>
        <v>-6.3291139240506333E-2</v>
      </c>
    </row>
    <row r="84" spans="1:6" ht="20.25" customHeight="1" x14ac:dyDescent="0.3">
      <c r="A84" s="256">
        <v>6</v>
      </c>
      <c r="B84" s="257" t="s">
        <v>380</v>
      </c>
      <c r="C84" s="260">
        <v>497</v>
      </c>
      <c r="D84" s="260">
        <v>376</v>
      </c>
      <c r="E84" s="260">
        <f t="shared" si="10"/>
        <v>-121</v>
      </c>
      <c r="F84" s="259">
        <f t="shared" si="11"/>
        <v>-0.24346076458752516</v>
      </c>
    </row>
    <row r="85" spans="1:6" ht="20.25" customHeight="1" x14ac:dyDescent="0.3">
      <c r="A85" s="256">
        <v>7</v>
      </c>
      <c r="B85" s="257" t="s">
        <v>445</v>
      </c>
      <c r="C85" s="260">
        <v>1374</v>
      </c>
      <c r="D85" s="260">
        <v>1084</v>
      </c>
      <c r="E85" s="260">
        <f t="shared" si="10"/>
        <v>-290</v>
      </c>
      <c r="F85" s="259">
        <f t="shared" si="11"/>
        <v>-0.21106259097525473</v>
      </c>
    </row>
    <row r="86" spans="1:6" ht="20.25" customHeight="1" x14ac:dyDescent="0.3">
      <c r="A86" s="256">
        <v>8</v>
      </c>
      <c r="B86" s="257" t="s">
        <v>446</v>
      </c>
      <c r="C86" s="260">
        <v>179</v>
      </c>
      <c r="D86" s="260">
        <v>131</v>
      </c>
      <c r="E86" s="260">
        <f t="shared" si="10"/>
        <v>-48</v>
      </c>
      <c r="F86" s="259">
        <f t="shared" si="11"/>
        <v>-0.26815642458100558</v>
      </c>
    </row>
    <row r="87" spans="1:6" ht="20.25" customHeight="1" x14ac:dyDescent="0.3">
      <c r="A87" s="256">
        <v>9</v>
      </c>
      <c r="B87" s="257" t="s">
        <v>447</v>
      </c>
      <c r="C87" s="260">
        <v>54</v>
      </c>
      <c r="D87" s="260">
        <v>69</v>
      </c>
      <c r="E87" s="260">
        <f t="shared" si="10"/>
        <v>15</v>
      </c>
      <c r="F87" s="259">
        <f t="shared" si="11"/>
        <v>0.27777777777777779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3897952</v>
      </c>
      <c r="D88" s="263">
        <f>+D79+D81</f>
        <v>3707810</v>
      </c>
      <c r="E88" s="263">
        <f t="shared" si="10"/>
        <v>-190142</v>
      </c>
      <c r="F88" s="264">
        <f t="shared" si="11"/>
        <v>-4.8779974714927225E-2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1354021</v>
      </c>
      <c r="D89" s="263">
        <f>+D80+D82</f>
        <v>1127462</v>
      </c>
      <c r="E89" s="263">
        <f t="shared" si="10"/>
        <v>-226559</v>
      </c>
      <c r="F89" s="264">
        <f t="shared" si="11"/>
        <v>-0.16732310651016491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2861309</v>
      </c>
      <c r="D92" s="258">
        <v>1133227</v>
      </c>
      <c r="E92" s="258">
        <f t="shared" ref="E92:E102" si="12">D92-C92</f>
        <v>-1728082</v>
      </c>
      <c r="F92" s="259">
        <f t="shared" ref="F92:F102" si="13">IF(C92=0,0,E92/C92)</f>
        <v>-0.60394805314630473</v>
      </c>
    </row>
    <row r="93" spans="1:6" ht="20.25" customHeight="1" x14ac:dyDescent="0.3">
      <c r="A93" s="256">
        <v>2</v>
      </c>
      <c r="B93" s="257" t="s">
        <v>442</v>
      </c>
      <c r="C93" s="258">
        <v>1188770</v>
      </c>
      <c r="D93" s="258">
        <v>430019</v>
      </c>
      <c r="E93" s="258">
        <f t="shared" si="12"/>
        <v>-758751</v>
      </c>
      <c r="F93" s="259">
        <f t="shared" si="13"/>
        <v>-0.63826560226116069</v>
      </c>
    </row>
    <row r="94" spans="1:6" ht="20.25" customHeight="1" x14ac:dyDescent="0.3">
      <c r="A94" s="256">
        <v>3</v>
      </c>
      <c r="B94" s="257" t="s">
        <v>443</v>
      </c>
      <c r="C94" s="258">
        <v>1736410</v>
      </c>
      <c r="D94" s="258">
        <v>848009</v>
      </c>
      <c r="E94" s="258">
        <f t="shared" si="12"/>
        <v>-888401</v>
      </c>
      <c r="F94" s="259">
        <f t="shared" si="13"/>
        <v>-0.51163089362535341</v>
      </c>
    </row>
    <row r="95" spans="1:6" ht="20.25" customHeight="1" x14ac:dyDescent="0.3">
      <c r="A95" s="256">
        <v>4</v>
      </c>
      <c r="B95" s="257" t="s">
        <v>444</v>
      </c>
      <c r="C95" s="258">
        <v>379729</v>
      </c>
      <c r="D95" s="258">
        <v>165729</v>
      </c>
      <c r="E95" s="258">
        <f t="shared" si="12"/>
        <v>-214000</v>
      </c>
      <c r="F95" s="259">
        <f t="shared" si="13"/>
        <v>-0.56355980185869392</v>
      </c>
    </row>
    <row r="96" spans="1:6" ht="20.25" customHeight="1" x14ac:dyDescent="0.3">
      <c r="A96" s="256">
        <v>5</v>
      </c>
      <c r="B96" s="257" t="s">
        <v>381</v>
      </c>
      <c r="C96" s="260">
        <v>113</v>
      </c>
      <c r="D96" s="260">
        <v>37</v>
      </c>
      <c r="E96" s="260">
        <f t="shared" si="12"/>
        <v>-76</v>
      </c>
      <c r="F96" s="259">
        <f t="shared" si="13"/>
        <v>-0.67256637168141598</v>
      </c>
    </row>
    <row r="97" spans="1:6" ht="20.25" customHeight="1" x14ac:dyDescent="0.3">
      <c r="A97" s="256">
        <v>6</v>
      </c>
      <c r="B97" s="257" t="s">
        <v>380</v>
      </c>
      <c r="C97" s="260">
        <v>463</v>
      </c>
      <c r="D97" s="260">
        <v>188</v>
      </c>
      <c r="E97" s="260">
        <f t="shared" si="12"/>
        <v>-275</v>
      </c>
      <c r="F97" s="259">
        <f t="shared" si="13"/>
        <v>-0.59395248380129595</v>
      </c>
    </row>
    <row r="98" spans="1:6" ht="20.25" customHeight="1" x14ac:dyDescent="0.3">
      <c r="A98" s="256">
        <v>7</v>
      </c>
      <c r="B98" s="257" t="s">
        <v>445</v>
      </c>
      <c r="C98" s="260">
        <v>1112</v>
      </c>
      <c r="D98" s="260">
        <v>507</v>
      </c>
      <c r="E98" s="260">
        <f t="shared" si="12"/>
        <v>-605</v>
      </c>
      <c r="F98" s="259">
        <f t="shared" si="13"/>
        <v>-0.5440647482014388</v>
      </c>
    </row>
    <row r="99" spans="1:6" ht="20.25" customHeight="1" x14ac:dyDescent="0.3">
      <c r="A99" s="256">
        <v>8</v>
      </c>
      <c r="B99" s="257" t="s">
        <v>446</v>
      </c>
      <c r="C99" s="260">
        <v>197</v>
      </c>
      <c r="D99" s="260">
        <v>113</v>
      </c>
      <c r="E99" s="260">
        <f t="shared" si="12"/>
        <v>-84</v>
      </c>
      <c r="F99" s="259">
        <f t="shared" si="13"/>
        <v>-0.42639593908629442</v>
      </c>
    </row>
    <row r="100" spans="1:6" ht="20.25" customHeight="1" x14ac:dyDescent="0.3">
      <c r="A100" s="256">
        <v>9</v>
      </c>
      <c r="B100" s="257" t="s">
        <v>447</v>
      </c>
      <c r="C100" s="260">
        <v>31</v>
      </c>
      <c r="D100" s="260">
        <v>29</v>
      </c>
      <c r="E100" s="260">
        <f t="shared" si="12"/>
        <v>-2</v>
      </c>
      <c r="F100" s="259">
        <f t="shared" si="13"/>
        <v>-6.4516129032258063E-2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4597719</v>
      </c>
      <c r="D101" s="263">
        <f>+D92+D94</f>
        <v>1981236</v>
      </c>
      <c r="E101" s="263">
        <f t="shared" si="12"/>
        <v>-2616483</v>
      </c>
      <c r="F101" s="264">
        <f t="shared" si="13"/>
        <v>-0.56908284303586187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1568499</v>
      </c>
      <c r="D102" s="263">
        <f>+D93+D95</f>
        <v>595748</v>
      </c>
      <c r="E102" s="263">
        <f t="shared" si="12"/>
        <v>-972751</v>
      </c>
      <c r="F102" s="264">
        <f t="shared" si="13"/>
        <v>-0.62017954745269199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3641301</v>
      </c>
      <c r="D105" s="258">
        <v>3554052</v>
      </c>
      <c r="E105" s="258">
        <f t="shared" ref="E105:E115" si="14">D105-C105</f>
        <v>-87249</v>
      </c>
      <c r="F105" s="259">
        <f t="shared" ref="F105:F115" si="15">IF(C105=0,0,E105/C105)</f>
        <v>-2.3960941432746154E-2</v>
      </c>
    </row>
    <row r="106" spans="1:6" ht="20.25" customHeight="1" x14ac:dyDescent="0.3">
      <c r="A106" s="256">
        <v>2</v>
      </c>
      <c r="B106" s="257" t="s">
        <v>442</v>
      </c>
      <c r="C106" s="258">
        <v>1533316</v>
      </c>
      <c r="D106" s="258">
        <v>1564012</v>
      </c>
      <c r="E106" s="258">
        <f t="shared" si="14"/>
        <v>30696</v>
      </c>
      <c r="F106" s="259">
        <f t="shared" si="15"/>
        <v>2.001935674055446E-2</v>
      </c>
    </row>
    <row r="107" spans="1:6" ht="20.25" customHeight="1" x14ac:dyDescent="0.3">
      <c r="A107" s="256">
        <v>3</v>
      </c>
      <c r="B107" s="257" t="s">
        <v>443</v>
      </c>
      <c r="C107" s="258">
        <v>2977583</v>
      </c>
      <c r="D107" s="258">
        <v>3742606</v>
      </c>
      <c r="E107" s="258">
        <f t="shared" si="14"/>
        <v>765023</v>
      </c>
      <c r="F107" s="259">
        <f t="shared" si="15"/>
        <v>0.25692751469900249</v>
      </c>
    </row>
    <row r="108" spans="1:6" ht="20.25" customHeight="1" x14ac:dyDescent="0.3">
      <c r="A108" s="256">
        <v>4</v>
      </c>
      <c r="B108" s="257" t="s">
        <v>444</v>
      </c>
      <c r="C108" s="258">
        <v>560834</v>
      </c>
      <c r="D108" s="258">
        <v>719617</v>
      </c>
      <c r="E108" s="258">
        <f t="shared" si="14"/>
        <v>158783</v>
      </c>
      <c r="F108" s="259">
        <f t="shared" si="15"/>
        <v>0.28311942571242116</v>
      </c>
    </row>
    <row r="109" spans="1:6" ht="20.25" customHeight="1" x14ac:dyDescent="0.3">
      <c r="A109" s="256">
        <v>5</v>
      </c>
      <c r="B109" s="257" t="s">
        <v>381</v>
      </c>
      <c r="C109" s="260">
        <v>143</v>
      </c>
      <c r="D109" s="260">
        <v>150</v>
      </c>
      <c r="E109" s="260">
        <f t="shared" si="14"/>
        <v>7</v>
      </c>
      <c r="F109" s="259">
        <f t="shared" si="15"/>
        <v>4.8951048951048952E-2</v>
      </c>
    </row>
    <row r="110" spans="1:6" ht="20.25" customHeight="1" x14ac:dyDescent="0.3">
      <c r="A110" s="256">
        <v>6</v>
      </c>
      <c r="B110" s="257" t="s">
        <v>380</v>
      </c>
      <c r="C110" s="260">
        <v>798</v>
      </c>
      <c r="D110" s="260">
        <v>798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1454</v>
      </c>
      <c r="D111" s="260">
        <v>1806</v>
      </c>
      <c r="E111" s="260">
        <f t="shared" si="14"/>
        <v>352</v>
      </c>
      <c r="F111" s="259">
        <f t="shared" si="15"/>
        <v>0.24209078404401652</v>
      </c>
    </row>
    <row r="112" spans="1:6" ht="20.25" customHeight="1" x14ac:dyDescent="0.3">
      <c r="A112" s="256">
        <v>8</v>
      </c>
      <c r="B112" s="257" t="s">
        <v>446</v>
      </c>
      <c r="C112" s="260">
        <v>543</v>
      </c>
      <c r="D112" s="260">
        <v>589</v>
      </c>
      <c r="E112" s="260">
        <f t="shared" si="14"/>
        <v>46</v>
      </c>
      <c r="F112" s="259">
        <f t="shared" si="15"/>
        <v>8.4714548802946599E-2</v>
      </c>
    </row>
    <row r="113" spans="1:6" ht="20.25" customHeight="1" x14ac:dyDescent="0.3">
      <c r="A113" s="256">
        <v>9</v>
      </c>
      <c r="B113" s="257" t="s">
        <v>447</v>
      </c>
      <c r="C113" s="260">
        <v>112</v>
      </c>
      <c r="D113" s="260">
        <v>145</v>
      </c>
      <c r="E113" s="260">
        <f t="shared" si="14"/>
        <v>33</v>
      </c>
      <c r="F113" s="259">
        <f t="shared" si="15"/>
        <v>0.29464285714285715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6618884</v>
      </c>
      <c r="D114" s="263">
        <f>+D105+D107</f>
        <v>7296658</v>
      </c>
      <c r="E114" s="263">
        <f t="shared" si="14"/>
        <v>677774</v>
      </c>
      <c r="F114" s="264">
        <f t="shared" si="15"/>
        <v>0.10240004206147139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2094150</v>
      </c>
      <c r="D115" s="263">
        <f>+D106+D108</f>
        <v>2283629</v>
      </c>
      <c r="E115" s="263">
        <f t="shared" si="14"/>
        <v>189479</v>
      </c>
      <c r="F115" s="264">
        <f t="shared" si="15"/>
        <v>9.0480147076379441E-2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1859559</v>
      </c>
      <c r="D118" s="258">
        <v>3477867</v>
      </c>
      <c r="E118" s="258">
        <f t="shared" ref="E118:E128" si="16">D118-C118</f>
        <v>1618308</v>
      </c>
      <c r="F118" s="259">
        <f t="shared" ref="F118:F128" si="17">IF(C118=0,0,E118/C118)</f>
        <v>0.87026440139839611</v>
      </c>
    </row>
    <row r="119" spans="1:6" ht="20.25" customHeight="1" x14ac:dyDescent="0.3">
      <c r="A119" s="256">
        <v>2</v>
      </c>
      <c r="B119" s="257" t="s">
        <v>442</v>
      </c>
      <c r="C119" s="258">
        <v>745250</v>
      </c>
      <c r="D119" s="258">
        <v>1367513</v>
      </c>
      <c r="E119" s="258">
        <f t="shared" si="16"/>
        <v>622263</v>
      </c>
      <c r="F119" s="259">
        <f t="shared" si="17"/>
        <v>0.83497215699429717</v>
      </c>
    </row>
    <row r="120" spans="1:6" ht="20.25" customHeight="1" x14ac:dyDescent="0.3">
      <c r="A120" s="256">
        <v>3</v>
      </c>
      <c r="B120" s="257" t="s">
        <v>443</v>
      </c>
      <c r="C120" s="258">
        <v>1473561</v>
      </c>
      <c r="D120" s="258">
        <v>2879132</v>
      </c>
      <c r="E120" s="258">
        <f t="shared" si="16"/>
        <v>1405571</v>
      </c>
      <c r="F120" s="259">
        <f t="shared" si="17"/>
        <v>0.95386007094378855</v>
      </c>
    </row>
    <row r="121" spans="1:6" ht="20.25" customHeight="1" x14ac:dyDescent="0.3">
      <c r="A121" s="256">
        <v>4</v>
      </c>
      <c r="B121" s="257" t="s">
        <v>444</v>
      </c>
      <c r="C121" s="258">
        <v>346841</v>
      </c>
      <c r="D121" s="258">
        <v>720411</v>
      </c>
      <c r="E121" s="258">
        <f t="shared" si="16"/>
        <v>373570</v>
      </c>
      <c r="F121" s="259">
        <f t="shared" si="17"/>
        <v>1.077064130249884</v>
      </c>
    </row>
    <row r="122" spans="1:6" ht="20.25" customHeight="1" x14ac:dyDescent="0.3">
      <c r="A122" s="256">
        <v>5</v>
      </c>
      <c r="B122" s="257" t="s">
        <v>381</v>
      </c>
      <c r="C122" s="260">
        <v>63</v>
      </c>
      <c r="D122" s="260">
        <v>132</v>
      </c>
      <c r="E122" s="260">
        <f t="shared" si="16"/>
        <v>69</v>
      </c>
      <c r="F122" s="259">
        <f t="shared" si="17"/>
        <v>1.0952380952380953</v>
      </c>
    </row>
    <row r="123" spans="1:6" ht="20.25" customHeight="1" x14ac:dyDescent="0.3">
      <c r="A123" s="256">
        <v>6</v>
      </c>
      <c r="B123" s="257" t="s">
        <v>380</v>
      </c>
      <c r="C123" s="260">
        <v>356</v>
      </c>
      <c r="D123" s="260">
        <v>756</v>
      </c>
      <c r="E123" s="260">
        <f t="shared" si="16"/>
        <v>400</v>
      </c>
      <c r="F123" s="259">
        <f t="shared" si="17"/>
        <v>1.1235955056179776</v>
      </c>
    </row>
    <row r="124" spans="1:6" ht="20.25" customHeight="1" x14ac:dyDescent="0.3">
      <c r="A124" s="256">
        <v>7</v>
      </c>
      <c r="B124" s="257" t="s">
        <v>445</v>
      </c>
      <c r="C124" s="260">
        <v>910</v>
      </c>
      <c r="D124" s="260">
        <v>1908</v>
      </c>
      <c r="E124" s="260">
        <f t="shared" si="16"/>
        <v>998</v>
      </c>
      <c r="F124" s="259">
        <f t="shared" si="17"/>
        <v>1.0967032967032968</v>
      </c>
    </row>
    <row r="125" spans="1:6" ht="20.25" customHeight="1" x14ac:dyDescent="0.3">
      <c r="A125" s="256">
        <v>8</v>
      </c>
      <c r="B125" s="257" t="s">
        <v>446</v>
      </c>
      <c r="C125" s="260">
        <v>109</v>
      </c>
      <c r="D125" s="260">
        <v>162</v>
      </c>
      <c r="E125" s="260">
        <f t="shared" si="16"/>
        <v>53</v>
      </c>
      <c r="F125" s="259">
        <f t="shared" si="17"/>
        <v>0.48623853211009177</v>
      </c>
    </row>
    <row r="126" spans="1:6" ht="20.25" customHeight="1" x14ac:dyDescent="0.3">
      <c r="A126" s="256">
        <v>9</v>
      </c>
      <c r="B126" s="257" t="s">
        <v>447</v>
      </c>
      <c r="C126" s="260">
        <v>25</v>
      </c>
      <c r="D126" s="260">
        <v>108</v>
      </c>
      <c r="E126" s="260">
        <f t="shared" si="16"/>
        <v>83</v>
      </c>
      <c r="F126" s="259">
        <f t="shared" si="17"/>
        <v>3.32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3333120</v>
      </c>
      <c r="D127" s="263">
        <f>+D118+D120</f>
        <v>6356999</v>
      </c>
      <c r="E127" s="263">
        <f t="shared" si="16"/>
        <v>3023879</v>
      </c>
      <c r="F127" s="264">
        <f t="shared" si="17"/>
        <v>0.90722176219278039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1092091</v>
      </c>
      <c r="D128" s="263">
        <f>+D119+D121</f>
        <v>2087924</v>
      </c>
      <c r="E128" s="263">
        <f t="shared" si="16"/>
        <v>995833</v>
      </c>
      <c r="F128" s="264">
        <f t="shared" si="17"/>
        <v>0.91185899343552868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26810948</v>
      </c>
      <c r="D198" s="263">
        <f t="shared" si="28"/>
        <v>28022912</v>
      </c>
      <c r="E198" s="263">
        <f t="shared" ref="E198:E208" si="29">D198-C198</f>
        <v>1211964</v>
      </c>
      <c r="F198" s="273">
        <f t="shared" ref="F198:F208" si="30">IF(C198=0,0,E198/C198)</f>
        <v>4.5204071113039347E-2</v>
      </c>
    </row>
    <row r="199" spans="1:9" ht="20.25" customHeight="1" x14ac:dyDescent="0.3">
      <c r="A199" s="271"/>
      <c r="B199" s="272" t="s">
        <v>466</v>
      </c>
      <c r="C199" s="263">
        <f t="shared" si="28"/>
        <v>11069083</v>
      </c>
      <c r="D199" s="263">
        <f t="shared" si="28"/>
        <v>11275060</v>
      </c>
      <c r="E199" s="263">
        <f t="shared" si="29"/>
        <v>205977</v>
      </c>
      <c r="F199" s="273">
        <f t="shared" si="30"/>
        <v>1.8608316515469257E-2</v>
      </c>
    </row>
    <row r="200" spans="1:9" ht="20.25" customHeight="1" x14ac:dyDescent="0.3">
      <c r="A200" s="271"/>
      <c r="B200" s="272" t="s">
        <v>467</v>
      </c>
      <c r="C200" s="263">
        <f t="shared" si="28"/>
        <v>20668274</v>
      </c>
      <c r="D200" s="263">
        <f t="shared" si="28"/>
        <v>23372808</v>
      </c>
      <c r="E200" s="263">
        <f t="shared" si="29"/>
        <v>2704534</v>
      </c>
      <c r="F200" s="273">
        <f t="shared" si="30"/>
        <v>0.1308543712938971</v>
      </c>
    </row>
    <row r="201" spans="1:9" ht="20.25" customHeight="1" x14ac:dyDescent="0.3">
      <c r="A201" s="271"/>
      <c r="B201" s="272" t="s">
        <v>468</v>
      </c>
      <c r="C201" s="263">
        <f t="shared" si="28"/>
        <v>4927548</v>
      </c>
      <c r="D201" s="263">
        <f t="shared" si="28"/>
        <v>5230426</v>
      </c>
      <c r="E201" s="263">
        <f t="shared" si="29"/>
        <v>302878</v>
      </c>
      <c r="F201" s="273">
        <f t="shared" si="30"/>
        <v>6.1466270851141376E-2</v>
      </c>
    </row>
    <row r="202" spans="1:9" ht="20.25" customHeight="1" x14ac:dyDescent="0.3">
      <c r="A202" s="271"/>
      <c r="B202" s="272" t="s">
        <v>138</v>
      </c>
      <c r="C202" s="274">
        <f t="shared" si="28"/>
        <v>1011</v>
      </c>
      <c r="D202" s="274">
        <f t="shared" si="28"/>
        <v>1008</v>
      </c>
      <c r="E202" s="274">
        <f t="shared" si="29"/>
        <v>-3</v>
      </c>
      <c r="F202" s="273">
        <f t="shared" si="30"/>
        <v>-2.967359050445104E-3</v>
      </c>
    </row>
    <row r="203" spans="1:9" ht="20.25" customHeight="1" x14ac:dyDescent="0.3">
      <c r="A203" s="271"/>
      <c r="B203" s="272" t="s">
        <v>140</v>
      </c>
      <c r="C203" s="274">
        <f t="shared" si="28"/>
        <v>5045</v>
      </c>
      <c r="D203" s="274">
        <f t="shared" si="28"/>
        <v>5259</v>
      </c>
      <c r="E203" s="274">
        <f t="shared" si="29"/>
        <v>214</v>
      </c>
      <c r="F203" s="273">
        <f t="shared" si="30"/>
        <v>4.2418235877106046E-2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13775</v>
      </c>
      <c r="D204" s="274">
        <f t="shared" si="28"/>
        <v>14582</v>
      </c>
      <c r="E204" s="274">
        <f t="shared" si="29"/>
        <v>807</v>
      </c>
      <c r="F204" s="273">
        <f t="shared" si="30"/>
        <v>5.8584392014519059E-2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1910</v>
      </c>
      <c r="D205" s="274">
        <f t="shared" si="28"/>
        <v>1903</v>
      </c>
      <c r="E205" s="274">
        <f t="shared" si="29"/>
        <v>-7</v>
      </c>
      <c r="F205" s="273">
        <f t="shared" si="30"/>
        <v>-3.6649214659685864E-3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639</v>
      </c>
      <c r="D206" s="274">
        <f t="shared" si="28"/>
        <v>858</v>
      </c>
      <c r="E206" s="274">
        <f t="shared" si="29"/>
        <v>219</v>
      </c>
      <c r="F206" s="273">
        <f t="shared" si="30"/>
        <v>0.34272300469483569</v>
      </c>
    </row>
    <row r="207" spans="1:9" ht="20.25" customHeight="1" x14ac:dyDescent="0.3">
      <c r="A207" s="271"/>
      <c r="B207" s="262" t="s">
        <v>471</v>
      </c>
      <c r="C207" s="263">
        <f>+C198+C200</f>
        <v>47479222</v>
      </c>
      <c r="D207" s="263">
        <f>+D198+D200</f>
        <v>51395720</v>
      </c>
      <c r="E207" s="263">
        <f t="shared" si="29"/>
        <v>3916498</v>
      </c>
      <c r="F207" s="273">
        <f t="shared" si="30"/>
        <v>8.2488672623995396E-2</v>
      </c>
    </row>
    <row r="208" spans="1:9" ht="20.25" customHeight="1" x14ac:dyDescent="0.3">
      <c r="A208" s="271"/>
      <c r="B208" s="262" t="s">
        <v>472</v>
      </c>
      <c r="C208" s="263">
        <f>+C199+C201</f>
        <v>15996631</v>
      </c>
      <c r="D208" s="263">
        <f>+D199+D201</f>
        <v>16505486</v>
      </c>
      <c r="E208" s="263">
        <f t="shared" si="29"/>
        <v>508855</v>
      </c>
      <c r="F208" s="273">
        <f t="shared" si="30"/>
        <v>3.181013552166078E-2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sqref="A1:F1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1806993</v>
      </c>
      <c r="D26" s="258">
        <v>0</v>
      </c>
      <c r="E26" s="258">
        <f t="shared" ref="E26:E36" si="2">D26-C26</f>
        <v>-1806993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759188</v>
      </c>
      <c r="D27" s="258">
        <v>0</v>
      </c>
      <c r="E27" s="258">
        <f t="shared" si="2"/>
        <v>-759188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6373929</v>
      </c>
      <c r="D28" s="258">
        <v>0</v>
      </c>
      <c r="E28" s="258">
        <f t="shared" si="2"/>
        <v>-6373929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1244030</v>
      </c>
      <c r="D29" s="258">
        <v>0</v>
      </c>
      <c r="E29" s="258">
        <f t="shared" si="2"/>
        <v>-1244030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139</v>
      </c>
      <c r="D30" s="260">
        <v>0</v>
      </c>
      <c r="E30" s="260">
        <f t="shared" si="2"/>
        <v>-139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488</v>
      </c>
      <c r="D31" s="260">
        <v>0</v>
      </c>
      <c r="E31" s="260">
        <f t="shared" si="2"/>
        <v>-488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2302</v>
      </c>
      <c r="D32" s="260">
        <v>0</v>
      </c>
      <c r="E32" s="260">
        <f t="shared" si="2"/>
        <v>-2302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3093</v>
      </c>
      <c r="D33" s="260">
        <v>0</v>
      </c>
      <c r="E33" s="260">
        <f t="shared" si="2"/>
        <v>-3093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51</v>
      </c>
      <c r="D34" s="260">
        <v>0</v>
      </c>
      <c r="E34" s="260">
        <f t="shared" si="2"/>
        <v>-51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8180922</v>
      </c>
      <c r="D35" s="263">
        <f>+D26+D28</f>
        <v>0</v>
      </c>
      <c r="E35" s="263">
        <f t="shared" si="2"/>
        <v>-8180922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2003218</v>
      </c>
      <c r="D36" s="263">
        <f>+D27+D29</f>
        <v>0</v>
      </c>
      <c r="E36" s="263">
        <f t="shared" si="2"/>
        <v>-2003218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451546</v>
      </c>
      <c r="D50" s="258">
        <v>0</v>
      </c>
      <c r="E50" s="258">
        <f t="shared" ref="E50:E60" si="6">D50-C50</f>
        <v>-451546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190582</v>
      </c>
      <c r="D51" s="258">
        <v>0</v>
      </c>
      <c r="E51" s="258">
        <f t="shared" si="6"/>
        <v>-190582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1551510</v>
      </c>
      <c r="D52" s="258">
        <v>0</v>
      </c>
      <c r="E52" s="258">
        <f t="shared" si="6"/>
        <v>-1551510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305963</v>
      </c>
      <c r="D53" s="258">
        <v>0</v>
      </c>
      <c r="E53" s="258">
        <f t="shared" si="6"/>
        <v>-305963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48</v>
      </c>
      <c r="D54" s="260">
        <v>0</v>
      </c>
      <c r="E54" s="260">
        <f t="shared" si="6"/>
        <v>-48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160</v>
      </c>
      <c r="D55" s="260">
        <v>0</v>
      </c>
      <c r="E55" s="260">
        <f t="shared" si="6"/>
        <v>-160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528</v>
      </c>
      <c r="D56" s="260">
        <v>0</v>
      </c>
      <c r="E56" s="260">
        <f t="shared" si="6"/>
        <v>-528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674</v>
      </c>
      <c r="D57" s="260">
        <v>0</v>
      </c>
      <c r="E57" s="260">
        <f t="shared" si="6"/>
        <v>-674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22</v>
      </c>
      <c r="D58" s="260">
        <v>0</v>
      </c>
      <c r="E58" s="260">
        <f t="shared" si="6"/>
        <v>-22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2003056</v>
      </c>
      <c r="D59" s="263">
        <f>+D50+D52</f>
        <v>0</v>
      </c>
      <c r="E59" s="263">
        <f t="shared" si="6"/>
        <v>-2003056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496545</v>
      </c>
      <c r="D60" s="263">
        <f>+D51+D53</f>
        <v>0</v>
      </c>
      <c r="E60" s="263">
        <f t="shared" si="6"/>
        <v>-496545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1184184</v>
      </c>
      <c r="D98" s="258">
        <v>0</v>
      </c>
      <c r="E98" s="258">
        <f t="shared" ref="E98:E108" si="14">D98-C98</f>
        <v>-1184184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328463</v>
      </c>
      <c r="D99" s="258">
        <v>0</v>
      </c>
      <c r="E99" s="258">
        <f t="shared" si="14"/>
        <v>-328463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3013540</v>
      </c>
      <c r="D100" s="258">
        <v>0</v>
      </c>
      <c r="E100" s="258">
        <f t="shared" si="14"/>
        <v>-3013540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645345</v>
      </c>
      <c r="D101" s="258">
        <v>0</v>
      </c>
      <c r="E101" s="258">
        <f t="shared" si="14"/>
        <v>-645345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82</v>
      </c>
      <c r="D102" s="260">
        <v>0</v>
      </c>
      <c r="E102" s="260">
        <f t="shared" si="14"/>
        <v>-82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203</v>
      </c>
      <c r="D103" s="260">
        <v>0</v>
      </c>
      <c r="E103" s="260">
        <f t="shared" si="14"/>
        <v>-203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1227</v>
      </c>
      <c r="D104" s="260">
        <v>0</v>
      </c>
      <c r="E104" s="260">
        <f t="shared" si="14"/>
        <v>-1227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1321</v>
      </c>
      <c r="D105" s="260">
        <v>0</v>
      </c>
      <c r="E105" s="260">
        <f t="shared" si="14"/>
        <v>-1321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24</v>
      </c>
      <c r="D106" s="260">
        <v>0</v>
      </c>
      <c r="E106" s="260">
        <f t="shared" si="14"/>
        <v>-24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4197724</v>
      </c>
      <c r="D107" s="263">
        <f>+D98+D100</f>
        <v>0</v>
      </c>
      <c r="E107" s="263">
        <f t="shared" si="14"/>
        <v>-4197724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973808</v>
      </c>
      <c r="D108" s="263">
        <f>+D99+D101</f>
        <v>0</v>
      </c>
      <c r="E108" s="263">
        <f t="shared" si="14"/>
        <v>-973808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3442723</v>
      </c>
      <c r="D112" s="263">
        <f t="shared" si="16"/>
        <v>0</v>
      </c>
      <c r="E112" s="263">
        <f t="shared" ref="E112:E122" si="17">D112-C112</f>
        <v>-3442723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1278233</v>
      </c>
      <c r="D113" s="263">
        <f t="shared" si="16"/>
        <v>0</v>
      </c>
      <c r="E113" s="263">
        <f t="shared" si="17"/>
        <v>-1278233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10938979</v>
      </c>
      <c r="D114" s="263">
        <f t="shared" si="16"/>
        <v>0</v>
      </c>
      <c r="E114" s="263">
        <f t="shared" si="17"/>
        <v>-10938979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2195338</v>
      </c>
      <c r="D115" s="263">
        <f t="shared" si="16"/>
        <v>0</v>
      </c>
      <c r="E115" s="263">
        <f t="shared" si="17"/>
        <v>-2195338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269</v>
      </c>
      <c r="D116" s="287">
        <f t="shared" si="16"/>
        <v>0</v>
      </c>
      <c r="E116" s="287">
        <f t="shared" si="17"/>
        <v>-269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851</v>
      </c>
      <c r="D117" s="287">
        <f t="shared" si="16"/>
        <v>0</v>
      </c>
      <c r="E117" s="287">
        <f t="shared" si="17"/>
        <v>-851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4057</v>
      </c>
      <c r="D118" s="287">
        <f t="shared" si="16"/>
        <v>0</v>
      </c>
      <c r="E118" s="287">
        <f t="shared" si="17"/>
        <v>-4057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5088</v>
      </c>
      <c r="D119" s="287">
        <f t="shared" si="16"/>
        <v>0</v>
      </c>
      <c r="E119" s="287">
        <f t="shared" si="17"/>
        <v>-5088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97</v>
      </c>
      <c r="D120" s="287">
        <f t="shared" si="16"/>
        <v>0</v>
      </c>
      <c r="E120" s="287">
        <f t="shared" si="17"/>
        <v>-97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14381702</v>
      </c>
      <c r="D121" s="263">
        <f>+D112+D114</f>
        <v>0</v>
      </c>
      <c r="E121" s="263">
        <f t="shared" si="17"/>
        <v>-14381702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3473571</v>
      </c>
      <c r="D122" s="263">
        <f>+D113+D115</f>
        <v>0</v>
      </c>
      <c r="E122" s="263">
        <f t="shared" si="17"/>
        <v>-3473571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23689000</v>
      </c>
      <c r="D13" s="22">
        <v>29939000</v>
      </c>
      <c r="E13" s="22">
        <f t="shared" ref="E13:E22" si="0">D13-C13</f>
        <v>6250000</v>
      </c>
      <c r="F13" s="306">
        <f t="shared" ref="F13:F22" si="1">IF(C13=0,0,E13/C13)</f>
        <v>0.26383553548060279</v>
      </c>
    </row>
    <row r="14" spans="1:8" ht="24" customHeight="1" x14ac:dyDescent="0.2">
      <c r="A14" s="304">
        <v>2</v>
      </c>
      <c r="B14" s="305" t="s">
        <v>17</v>
      </c>
      <c r="C14" s="22">
        <v>38000</v>
      </c>
      <c r="D14" s="22">
        <v>29000</v>
      </c>
      <c r="E14" s="22">
        <f t="shared" si="0"/>
        <v>-9000</v>
      </c>
      <c r="F14" s="306">
        <f t="shared" si="1"/>
        <v>-0.23684210526315788</v>
      </c>
    </row>
    <row r="15" spans="1:8" ht="35.1" customHeight="1" x14ac:dyDescent="0.2">
      <c r="A15" s="304">
        <v>3</v>
      </c>
      <c r="B15" s="305" t="s">
        <v>18</v>
      </c>
      <c r="C15" s="22">
        <v>34085000</v>
      </c>
      <c r="D15" s="22">
        <v>30768000</v>
      </c>
      <c r="E15" s="22">
        <f t="shared" si="0"/>
        <v>-3317000</v>
      </c>
      <c r="F15" s="306">
        <f t="shared" si="1"/>
        <v>-9.7315534692680061E-2</v>
      </c>
    </row>
    <row r="16" spans="1:8" ht="35.1" customHeight="1" x14ac:dyDescent="0.2">
      <c r="A16" s="304">
        <v>4</v>
      </c>
      <c r="B16" s="305" t="s">
        <v>19</v>
      </c>
      <c r="C16" s="22">
        <v>6779000</v>
      </c>
      <c r="D16" s="22">
        <v>8039000</v>
      </c>
      <c r="E16" s="22">
        <f t="shared" si="0"/>
        <v>1260000</v>
      </c>
      <c r="F16" s="306">
        <f t="shared" si="1"/>
        <v>0.18586812214190884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2616365</v>
      </c>
      <c r="D19" s="22">
        <v>2461000</v>
      </c>
      <c r="E19" s="22">
        <f t="shared" si="0"/>
        <v>-155365</v>
      </c>
      <c r="F19" s="306">
        <f t="shared" si="1"/>
        <v>-5.9382005186585207E-2</v>
      </c>
    </row>
    <row r="20" spans="1:11" ht="24" customHeight="1" x14ac:dyDescent="0.2">
      <c r="A20" s="304">
        <v>8</v>
      </c>
      <c r="B20" s="305" t="s">
        <v>23</v>
      </c>
      <c r="C20" s="22">
        <v>1331305</v>
      </c>
      <c r="D20" s="22">
        <v>1813000</v>
      </c>
      <c r="E20" s="22">
        <f t="shared" si="0"/>
        <v>481695</v>
      </c>
      <c r="F20" s="306">
        <f t="shared" si="1"/>
        <v>0.36182167121733938</v>
      </c>
    </row>
    <row r="21" spans="1:11" ht="24" customHeight="1" x14ac:dyDescent="0.2">
      <c r="A21" s="304">
        <v>9</v>
      </c>
      <c r="B21" s="305" t="s">
        <v>24</v>
      </c>
      <c r="C21" s="22">
        <v>865330</v>
      </c>
      <c r="D21" s="22">
        <v>560000</v>
      </c>
      <c r="E21" s="22">
        <f t="shared" si="0"/>
        <v>-305330</v>
      </c>
      <c r="F21" s="306">
        <f t="shared" si="1"/>
        <v>-0.35284804641004008</v>
      </c>
    </row>
    <row r="22" spans="1:11" ht="24" customHeight="1" x14ac:dyDescent="0.25">
      <c r="A22" s="307"/>
      <c r="B22" s="308" t="s">
        <v>25</v>
      </c>
      <c r="C22" s="309">
        <f>SUM(C13:C21)</f>
        <v>69404000</v>
      </c>
      <c r="D22" s="309">
        <f>SUM(D13:D21)</f>
        <v>73609000</v>
      </c>
      <c r="E22" s="309">
        <f t="shared" si="0"/>
        <v>4205000</v>
      </c>
      <c r="F22" s="310">
        <f t="shared" si="1"/>
        <v>6.058728603538701E-2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14299000</v>
      </c>
      <c r="D25" s="22">
        <v>15258000</v>
      </c>
      <c r="E25" s="22">
        <f>D25-C25</f>
        <v>959000</v>
      </c>
      <c r="F25" s="306">
        <f>IF(C25=0,0,E25/C25)</f>
        <v>6.7067627106790678E-2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27396000</v>
      </c>
      <c r="D28" s="22">
        <v>27926000</v>
      </c>
      <c r="E28" s="22">
        <f>D28-C28</f>
        <v>530000</v>
      </c>
      <c r="F28" s="306">
        <f>IF(C28=0,0,E28/C28)</f>
        <v>1.9345889910935905E-2</v>
      </c>
    </row>
    <row r="29" spans="1:11" ht="35.1" customHeight="1" x14ac:dyDescent="0.25">
      <c r="A29" s="307"/>
      <c r="B29" s="308" t="s">
        <v>32</v>
      </c>
      <c r="C29" s="309">
        <f>SUM(C25:C28)</f>
        <v>41695000</v>
      </c>
      <c r="D29" s="309">
        <f>SUM(D25:D28)</f>
        <v>43184000</v>
      </c>
      <c r="E29" s="309">
        <f>D29-C29</f>
        <v>1489000</v>
      </c>
      <c r="F29" s="310">
        <f>IF(C29=0,0,E29/C29)</f>
        <v>3.5711716033097494E-2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19467000</v>
      </c>
      <c r="D32" s="22">
        <v>22365000</v>
      </c>
      <c r="E32" s="22">
        <f>D32-C32</f>
        <v>2898000</v>
      </c>
      <c r="F32" s="306">
        <f>IF(C32=0,0,E32/C32)</f>
        <v>0.14886731391585761</v>
      </c>
    </row>
    <row r="33" spans="1:8" ht="24" customHeight="1" x14ac:dyDescent="0.2">
      <c r="A33" s="304">
        <v>7</v>
      </c>
      <c r="B33" s="305" t="s">
        <v>35</v>
      </c>
      <c r="C33" s="22">
        <v>10791000</v>
      </c>
      <c r="D33" s="22">
        <v>10825000</v>
      </c>
      <c r="E33" s="22">
        <f>D33-C33</f>
        <v>34000</v>
      </c>
      <c r="F33" s="306">
        <f>IF(C33=0,0,E33/C33)</f>
        <v>3.1507737929756278E-3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176784000</v>
      </c>
      <c r="D36" s="22">
        <v>192346000</v>
      </c>
      <c r="E36" s="22">
        <f>D36-C36</f>
        <v>15562000</v>
      </c>
      <c r="F36" s="306">
        <f>IF(C36=0,0,E36/C36)</f>
        <v>8.8028328355507279E-2</v>
      </c>
    </row>
    <row r="37" spans="1:8" ht="24" customHeight="1" x14ac:dyDescent="0.2">
      <c r="A37" s="304">
        <v>2</v>
      </c>
      <c r="B37" s="305" t="s">
        <v>39</v>
      </c>
      <c r="C37" s="22">
        <v>118434000</v>
      </c>
      <c r="D37" s="22">
        <v>127394000</v>
      </c>
      <c r="E37" s="22">
        <f>D37-C37</f>
        <v>8960000</v>
      </c>
      <c r="F37" s="22">
        <f>IF(C37=0,0,E37/C37)</f>
        <v>7.5653950723609781E-2</v>
      </c>
    </row>
    <row r="38" spans="1:8" ht="24" customHeight="1" x14ac:dyDescent="0.25">
      <c r="A38" s="307"/>
      <c r="B38" s="308" t="s">
        <v>40</v>
      </c>
      <c r="C38" s="309">
        <f>C36-C37</f>
        <v>58350000</v>
      </c>
      <c r="D38" s="309">
        <f>D36-D37</f>
        <v>64952000</v>
      </c>
      <c r="E38" s="309">
        <f>D38-C38</f>
        <v>6602000</v>
      </c>
      <c r="F38" s="310">
        <f>IF(C38=0,0,E38/C38)</f>
        <v>0.11314481576692374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58350000</v>
      </c>
      <c r="D41" s="309">
        <f>+D38+D40</f>
        <v>64952000</v>
      </c>
      <c r="E41" s="309">
        <f>D41-C41</f>
        <v>6602000</v>
      </c>
      <c r="F41" s="310">
        <f>IF(C41=0,0,E41/C41)</f>
        <v>0.11314481576692374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199707000</v>
      </c>
      <c r="D43" s="309">
        <f>D22+D29+D31+D32+D33+D41</f>
        <v>214935000</v>
      </c>
      <c r="E43" s="309">
        <f>D43-C43</f>
        <v>15228000</v>
      </c>
      <c r="F43" s="310">
        <f>IF(C43=0,0,E43/C43)</f>
        <v>7.6251708753323613E-2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17828000</v>
      </c>
      <c r="D49" s="22">
        <v>20985000</v>
      </c>
      <c r="E49" s="22">
        <f t="shared" ref="E49:E56" si="2">D49-C49</f>
        <v>3157000</v>
      </c>
      <c r="F49" s="306">
        <f t="shared" ref="F49:F56" si="3">IF(C49=0,0,E49/C49)</f>
        <v>0.17708099618577519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5819000</v>
      </c>
      <c r="D50" s="22">
        <v>4734000</v>
      </c>
      <c r="E50" s="22">
        <f t="shared" si="2"/>
        <v>-1085000</v>
      </c>
      <c r="F50" s="306">
        <f t="shared" si="3"/>
        <v>-0.18645815432204846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7007000</v>
      </c>
      <c r="D51" s="22">
        <v>6035000</v>
      </c>
      <c r="E51" s="22">
        <f t="shared" si="2"/>
        <v>-972000</v>
      </c>
      <c r="F51" s="306">
        <f t="shared" si="3"/>
        <v>-0.13871842443271015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2238000</v>
      </c>
      <c r="D53" s="22">
        <v>2490000</v>
      </c>
      <c r="E53" s="22">
        <f t="shared" si="2"/>
        <v>252000</v>
      </c>
      <c r="F53" s="306">
        <f t="shared" si="3"/>
        <v>0.1126005361930295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15626000</v>
      </c>
      <c r="D55" s="22">
        <v>16486000</v>
      </c>
      <c r="E55" s="22">
        <f t="shared" si="2"/>
        <v>860000</v>
      </c>
      <c r="F55" s="306">
        <f t="shared" si="3"/>
        <v>5.5036477665429413E-2</v>
      </c>
    </row>
    <row r="56" spans="1:6" ht="24" customHeight="1" x14ac:dyDescent="0.25">
      <c r="A56" s="307"/>
      <c r="B56" s="308" t="s">
        <v>54</v>
      </c>
      <c r="C56" s="309">
        <f>SUM(C49:C55)</f>
        <v>48518000</v>
      </c>
      <c r="D56" s="309">
        <f>SUM(D49:D55)</f>
        <v>50730000</v>
      </c>
      <c r="E56" s="309">
        <f t="shared" si="2"/>
        <v>2212000</v>
      </c>
      <c r="F56" s="310">
        <f t="shared" si="3"/>
        <v>4.5591326930211465E-2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22302000</v>
      </c>
      <c r="D59" s="22">
        <v>20374000</v>
      </c>
      <c r="E59" s="22">
        <f>D59-C59</f>
        <v>-1928000</v>
      </c>
      <c r="F59" s="306">
        <f>IF(C59=0,0,E59/C59)</f>
        <v>-8.644964577167967E-2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22302000</v>
      </c>
      <c r="D61" s="309">
        <f>SUM(D59:D60)</f>
        <v>20374000</v>
      </c>
      <c r="E61" s="309">
        <f>D61-C61</f>
        <v>-1928000</v>
      </c>
      <c r="F61" s="310">
        <f>IF(C61=0,0,E61/C61)</f>
        <v>-8.644964577167967E-2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79738000</v>
      </c>
      <c r="D63" s="22">
        <v>58823000</v>
      </c>
      <c r="E63" s="22">
        <f>D63-C63</f>
        <v>-20915000</v>
      </c>
      <c r="F63" s="306">
        <f>IF(C63=0,0,E63/C63)</f>
        <v>-0.26229652110662421</v>
      </c>
    </row>
    <row r="64" spans="1:6" ht="24" customHeight="1" x14ac:dyDescent="0.2">
      <c r="A64" s="304">
        <v>4</v>
      </c>
      <c r="B64" s="305" t="s">
        <v>60</v>
      </c>
      <c r="C64" s="22">
        <v>28612000</v>
      </c>
      <c r="D64" s="22">
        <v>32080000</v>
      </c>
      <c r="E64" s="22">
        <f>D64-C64</f>
        <v>3468000</v>
      </c>
      <c r="F64" s="306">
        <f>IF(C64=0,0,E64/C64)</f>
        <v>0.12120788480357891</v>
      </c>
    </row>
    <row r="65" spans="1:6" ht="24" customHeight="1" x14ac:dyDescent="0.25">
      <c r="A65" s="307"/>
      <c r="B65" s="308" t="s">
        <v>61</v>
      </c>
      <c r="C65" s="309">
        <f>SUM(C61:C64)</f>
        <v>130652000</v>
      </c>
      <c r="D65" s="309">
        <f>SUM(D61:D64)</f>
        <v>111277000</v>
      </c>
      <c r="E65" s="309">
        <f>D65-C65</f>
        <v>-19375000</v>
      </c>
      <c r="F65" s="310">
        <f>IF(C65=0,0,E65/C65)</f>
        <v>-0.14829470654869426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352000</v>
      </c>
      <c r="D67" s="22">
        <v>302000</v>
      </c>
      <c r="E67" s="22">
        <f>D67-C67</f>
        <v>-50000</v>
      </c>
      <c r="F67" s="321">
        <f>IF(C67=0,0,E67/C67)</f>
        <v>-0.14204545454545456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2333000</v>
      </c>
      <c r="D70" s="22">
        <v>34102000</v>
      </c>
      <c r="E70" s="22">
        <f>D70-C70</f>
        <v>31769000</v>
      </c>
      <c r="F70" s="306">
        <f>IF(C70=0,0,E70/C70)</f>
        <v>13.617231033004716</v>
      </c>
    </row>
    <row r="71" spans="1:6" ht="24" customHeight="1" x14ac:dyDescent="0.2">
      <c r="A71" s="304">
        <v>2</v>
      </c>
      <c r="B71" s="305" t="s">
        <v>65</v>
      </c>
      <c r="C71" s="22">
        <v>2546000</v>
      </c>
      <c r="D71" s="22">
        <v>2269000</v>
      </c>
      <c r="E71" s="22">
        <f>D71-C71</f>
        <v>-277000</v>
      </c>
      <c r="F71" s="306">
        <f>IF(C71=0,0,E71/C71)</f>
        <v>-0.10879811468970935</v>
      </c>
    </row>
    <row r="72" spans="1:6" ht="24" customHeight="1" x14ac:dyDescent="0.2">
      <c r="A72" s="304">
        <v>3</v>
      </c>
      <c r="B72" s="305" t="s">
        <v>66</v>
      </c>
      <c r="C72" s="22">
        <v>15306000</v>
      </c>
      <c r="D72" s="22">
        <v>16255000</v>
      </c>
      <c r="E72" s="22">
        <f>D72-C72</f>
        <v>949000</v>
      </c>
      <c r="F72" s="306">
        <f>IF(C72=0,0,E72/C72)</f>
        <v>6.2001829347968114E-2</v>
      </c>
    </row>
    <row r="73" spans="1:6" ht="24" customHeight="1" x14ac:dyDescent="0.25">
      <c r="A73" s="304"/>
      <c r="B73" s="308" t="s">
        <v>67</v>
      </c>
      <c r="C73" s="309">
        <f>SUM(C70:C72)</f>
        <v>20185000</v>
      </c>
      <c r="D73" s="309">
        <f>SUM(D70:D72)</f>
        <v>52626000</v>
      </c>
      <c r="E73" s="309">
        <f>D73-C73</f>
        <v>32441000</v>
      </c>
      <c r="F73" s="310">
        <f>IF(C73=0,0,E73/C73)</f>
        <v>1.6071835521426803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199707000</v>
      </c>
      <c r="D75" s="309">
        <f>D56+D65+D67+D73</f>
        <v>214935000</v>
      </c>
      <c r="E75" s="309">
        <f>D75-C75</f>
        <v>15228000</v>
      </c>
      <c r="F75" s="310">
        <f>IF(C75=0,0,E75/C75)</f>
        <v>7.6251708753323613E-2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650487000</v>
      </c>
      <c r="D11" s="76">
        <v>670163000</v>
      </c>
      <c r="E11" s="76">
        <f t="shared" ref="E11:E20" si="0">D11-C11</f>
        <v>19676000</v>
      </c>
      <c r="F11" s="77">
        <f t="shared" ref="F11:F20" si="1">IF(C11=0,0,E11/C11)</f>
        <v>3.0248106418729354E-2</v>
      </c>
    </row>
    <row r="12" spans="1:7" ht="23.1" customHeight="1" x14ac:dyDescent="0.2">
      <c r="A12" s="74">
        <v>2</v>
      </c>
      <c r="B12" s="75" t="s">
        <v>72</v>
      </c>
      <c r="C12" s="76">
        <v>390531000</v>
      </c>
      <c r="D12" s="76">
        <v>401170000</v>
      </c>
      <c r="E12" s="76">
        <f t="shared" si="0"/>
        <v>10639000</v>
      </c>
      <c r="F12" s="77">
        <f t="shared" si="1"/>
        <v>2.7242395610079611E-2</v>
      </c>
    </row>
    <row r="13" spans="1:7" ht="23.1" customHeight="1" x14ac:dyDescent="0.2">
      <c r="A13" s="74">
        <v>3</v>
      </c>
      <c r="B13" s="75" t="s">
        <v>73</v>
      </c>
      <c r="C13" s="76">
        <v>136000</v>
      </c>
      <c r="D13" s="76">
        <v>94000</v>
      </c>
      <c r="E13" s="76">
        <f t="shared" si="0"/>
        <v>-42000</v>
      </c>
      <c r="F13" s="77">
        <f t="shared" si="1"/>
        <v>-0.30882352941176472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259820000</v>
      </c>
      <c r="D15" s="79">
        <f>D11-D12-D13-D14</f>
        <v>268899000</v>
      </c>
      <c r="E15" s="79">
        <f t="shared" si="0"/>
        <v>9079000</v>
      </c>
      <c r="F15" s="80">
        <f t="shared" si="1"/>
        <v>3.4943422369332615E-2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12878000</v>
      </c>
      <c r="E16" s="76">
        <f t="shared" si="0"/>
        <v>12878000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259820000</v>
      </c>
      <c r="D17" s="79">
        <f>D15-D16</f>
        <v>256021000</v>
      </c>
      <c r="E17" s="79">
        <f t="shared" si="0"/>
        <v>-3799000</v>
      </c>
      <c r="F17" s="80">
        <f t="shared" si="1"/>
        <v>-1.4621661150026942E-2</v>
      </c>
    </row>
    <row r="18" spans="1:7" ht="23.1" customHeight="1" x14ac:dyDescent="0.2">
      <c r="A18" s="74">
        <v>6</v>
      </c>
      <c r="B18" s="75" t="s">
        <v>78</v>
      </c>
      <c r="C18" s="76">
        <v>6695000</v>
      </c>
      <c r="D18" s="76">
        <v>7864000</v>
      </c>
      <c r="E18" s="76">
        <f t="shared" si="0"/>
        <v>1169000</v>
      </c>
      <c r="F18" s="77">
        <f t="shared" si="1"/>
        <v>0.17460791635548917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266515000</v>
      </c>
      <c r="D20" s="79">
        <f>SUM(D17:D19)</f>
        <v>263885000</v>
      </c>
      <c r="E20" s="79">
        <f t="shared" si="0"/>
        <v>-2630000</v>
      </c>
      <c r="F20" s="80">
        <f t="shared" si="1"/>
        <v>-9.8681124889781063E-3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115924000</v>
      </c>
      <c r="D23" s="76">
        <v>108933000</v>
      </c>
      <c r="E23" s="76">
        <f t="shared" ref="E23:E32" si="2">D23-C23</f>
        <v>-6991000</v>
      </c>
      <c r="F23" s="77">
        <f t="shared" ref="F23:F32" si="3">IF(C23=0,0,E23/C23)</f>
        <v>-6.0306752700044854E-2</v>
      </c>
    </row>
    <row r="24" spans="1:7" ht="23.1" customHeight="1" x14ac:dyDescent="0.2">
      <c r="A24" s="74">
        <v>2</v>
      </c>
      <c r="B24" s="75" t="s">
        <v>83</v>
      </c>
      <c r="C24" s="76">
        <v>31634000</v>
      </c>
      <c r="D24" s="76">
        <v>31305000</v>
      </c>
      <c r="E24" s="76">
        <f t="shared" si="2"/>
        <v>-329000</v>
      </c>
      <c r="F24" s="77">
        <f t="shared" si="3"/>
        <v>-1.0400202313965986E-2</v>
      </c>
    </row>
    <row r="25" spans="1:7" ht="23.1" customHeight="1" x14ac:dyDescent="0.2">
      <c r="A25" s="74">
        <v>3</v>
      </c>
      <c r="B25" s="75" t="s">
        <v>84</v>
      </c>
      <c r="C25" s="76">
        <v>6077000</v>
      </c>
      <c r="D25" s="76">
        <v>10714000</v>
      </c>
      <c r="E25" s="76">
        <f t="shared" si="2"/>
        <v>4637000</v>
      </c>
      <c r="F25" s="77">
        <f t="shared" si="3"/>
        <v>0.76304097416488403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37805000</v>
      </c>
      <c r="D26" s="76">
        <v>34643000</v>
      </c>
      <c r="E26" s="76">
        <f t="shared" si="2"/>
        <v>-3162000</v>
      </c>
      <c r="F26" s="77">
        <f t="shared" si="3"/>
        <v>-8.3639730194418727E-2</v>
      </c>
    </row>
    <row r="27" spans="1:7" ht="23.1" customHeight="1" x14ac:dyDescent="0.2">
      <c r="A27" s="74">
        <v>5</v>
      </c>
      <c r="B27" s="75" t="s">
        <v>86</v>
      </c>
      <c r="C27" s="76">
        <v>9549000</v>
      </c>
      <c r="D27" s="76">
        <v>10052000</v>
      </c>
      <c r="E27" s="76">
        <f t="shared" si="2"/>
        <v>503000</v>
      </c>
      <c r="F27" s="77">
        <f t="shared" si="3"/>
        <v>5.2675672845324116E-2</v>
      </c>
    </row>
    <row r="28" spans="1:7" ht="23.1" customHeight="1" x14ac:dyDescent="0.2">
      <c r="A28" s="74">
        <v>6</v>
      </c>
      <c r="B28" s="75" t="s">
        <v>87</v>
      </c>
      <c r="C28" s="76">
        <v>12750000</v>
      </c>
      <c r="D28" s="76">
        <v>0</v>
      </c>
      <c r="E28" s="76">
        <f t="shared" si="2"/>
        <v>-12750000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1744000</v>
      </c>
      <c r="D29" s="76">
        <v>1598000</v>
      </c>
      <c r="E29" s="76">
        <f t="shared" si="2"/>
        <v>-146000</v>
      </c>
      <c r="F29" s="77">
        <f t="shared" si="3"/>
        <v>-8.3715596330275227E-2</v>
      </c>
    </row>
    <row r="30" spans="1:7" ht="23.1" customHeight="1" x14ac:dyDescent="0.2">
      <c r="A30" s="74">
        <v>8</v>
      </c>
      <c r="B30" s="75" t="s">
        <v>89</v>
      </c>
      <c r="C30" s="76">
        <v>5370000</v>
      </c>
      <c r="D30" s="76">
        <v>12425000</v>
      </c>
      <c r="E30" s="76">
        <f t="shared" si="2"/>
        <v>7055000</v>
      </c>
      <c r="F30" s="77">
        <f t="shared" si="3"/>
        <v>1.313780260707635</v>
      </c>
    </row>
    <row r="31" spans="1:7" ht="23.1" customHeight="1" x14ac:dyDescent="0.2">
      <c r="A31" s="74">
        <v>9</v>
      </c>
      <c r="B31" s="75" t="s">
        <v>90</v>
      </c>
      <c r="C31" s="76">
        <v>41127000</v>
      </c>
      <c r="D31" s="76">
        <v>45534000</v>
      </c>
      <c r="E31" s="76">
        <f t="shared" si="2"/>
        <v>4407000</v>
      </c>
      <c r="F31" s="77">
        <f t="shared" si="3"/>
        <v>0.1071558829965716</v>
      </c>
    </row>
    <row r="32" spans="1:7" ht="23.1" customHeight="1" x14ac:dyDescent="0.25">
      <c r="A32" s="71"/>
      <c r="B32" s="78" t="s">
        <v>91</v>
      </c>
      <c r="C32" s="79">
        <f>SUM(C23:C31)</f>
        <v>261980000</v>
      </c>
      <c r="D32" s="79">
        <f>SUM(D23:D31)</f>
        <v>255204000</v>
      </c>
      <c r="E32" s="79">
        <f t="shared" si="2"/>
        <v>-6776000</v>
      </c>
      <c r="F32" s="80">
        <f t="shared" si="3"/>
        <v>-2.5864569814489657E-2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4535000</v>
      </c>
      <c r="D34" s="79">
        <f>+D20-D32</f>
        <v>8681000</v>
      </c>
      <c r="E34" s="79">
        <f>D34-C34</f>
        <v>4146000</v>
      </c>
      <c r="F34" s="80">
        <f>IF(C34=0,0,E34/C34)</f>
        <v>0.91422271223814777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2112000</v>
      </c>
      <c r="D37" s="76">
        <v>2390000</v>
      </c>
      <c r="E37" s="76">
        <f>D37-C37</f>
        <v>278000</v>
      </c>
      <c r="F37" s="77">
        <f>IF(C37=0,0,E37/C37)</f>
        <v>0.13162878787878787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508000</v>
      </c>
      <c r="D39" s="76">
        <v>-632000</v>
      </c>
      <c r="E39" s="76">
        <f>D39-C39</f>
        <v>-1140000</v>
      </c>
      <c r="F39" s="77">
        <f>IF(C39=0,0,E39/C39)</f>
        <v>-2.2440944881889764</v>
      </c>
    </row>
    <row r="40" spans="1:6" ht="23.1" customHeight="1" x14ac:dyDescent="0.25">
      <c r="A40" s="83"/>
      <c r="B40" s="78" t="s">
        <v>97</v>
      </c>
      <c r="C40" s="79">
        <f>SUM(C37:C39)</f>
        <v>2620000</v>
      </c>
      <c r="D40" s="79">
        <f>SUM(D37:D39)</f>
        <v>1758000</v>
      </c>
      <c r="E40" s="79">
        <f>D40-C40</f>
        <v>-862000</v>
      </c>
      <c r="F40" s="80">
        <f>IF(C40=0,0,E40/C40)</f>
        <v>-0.32900763358778629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7155000</v>
      </c>
      <c r="D42" s="79">
        <f>D34+D40</f>
        <v>10439000</v>
      </c>
      <c r="E42" s="79">
        <f>D42-C42</f>
        <v>3284000</v>
      </c>
      <c r="F42" s="80">
        <f>IF(C42=0,0,E42/C42)</f>
        <v>0.45897973445143259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7155000</v>
      </c>
      <c r="D49" s="79">
        <f>D42+D47</f>
        <v>10439000</v>
      </c>
      <c r="E49" s="79">
        <f>D49-C49</f>
        <v>3284000</v>
      </c>
      <c r="F49" s="80">
        <f>IF(C49=0,0,E49/C49)</f>
        <v>0.45897973445143259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2014-10-07T13:50:36Z</cp:lastPrinted>
  <dcterms:created xsi:type="dcterms:W3CDTF">2014-10-06T19:00:55Z</dcterms:created>
  <dcterms:modified xsi:type="dcterms:W3CDTF">2014-10-09T19:02:06Z</dcterms:modified>
</cp:coreProperties>
</file>