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  <sheet name="Sheet1" sheetId="20" r:id="rId20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0" i="14"/>
  <c r="D229" i="14"/>
  <c r="D226" i="14"/>
  <c r="D227" i="14" s="1"/>
  <c r="D223" i="14"/>
  <c r="D204" i="14"/>
  <c r="D269" i="14" s="1"/>
  <c r="D203" i="14"/>
  <c r="D267" i="14" s="1"/>
  <c r="D198" i="14"/>
  <c r="D290" i="14" s="1"/>
  <c r="D191" i="14"/>
  <c r="D264" i="14"/>
  <c r="D189" i="14"/>
  <c r="D262" i="14"/>
  <c r="D188" i="14"/>
  <c r="D214" i="14"/>
  <c r="D180" i="14"/>
  <c r="D179" i="14"/>
  <c r="D181" i="14" s="1"/>
  <c r="D171" i="14"/>
  <c r="D172" i="14" s="1"/>
  <c r="D173" i="14" s="1"/>
  <c r="D170" i="14"/>
  <c r="D165" i="14"/>
  <c r="D164" i="14"/>
  <c r="D159" i="14"/>
  <c r="D158" i="14"/>
  <c r="D155" i="14"/>
  <c r="D145" i="14"/>
  <c r="D144" i="14"/>
  <c r="D146" i="14" s="1"/>
  <c r="D136" i="14"/>
  <c r="D137" i="14" s="1"/>
  <c r="D135" i="14"/>
  <c r="D130" i="14"/>
  <c r="D129" i="14"/>
  <c r="D123" i="14"/>
  <c r="D192" i="14"/>
  <c r="D120" i="14"/>
  <c r="D110" i="14"/>
  <c r="D109" i="14"/>
  <c r="D101" i="14"/>
  <c r="D102" i="14" s="1"/>
  <c r="D103" i="14" s="1"/>
  <c r="D100" i="14"/>
  <c r="D95" i="14"/>
  <c r="D94" i="14"/>
  <c r="D89" i="14"/>
  <c r="D88" i="14"/>
  <c r="D85" i="14"/>
  <c r="D76" i="14"/>
  <c r="D77" i="14"/>
  <c r="D67" i="14"/>
  <c r="D66" i="14"/>
  <c r="D59" i="14"/>
  <c r="D60" i="14"/>
  <c r="D61" i="14" s="1"/>
  <c r="D58" i="14"/>
  <c r="D53" i="14"/>
  <c r="D52" i="14"/>
  <c r="D47" i="14"/>
  <c r="D48" i="14"/>
  <c r="D90" i="14" s="1"/>
  <c r="D44" i="14"/>
  <c r="D36" i="14"/>
  <c r="D37" i="14"/>
  <c r="D35" i="14"/>
  <c r="D30" i="14"/>
  <c r="D31" i="14" s="1"/>
  <c r="D32" i="14" s="1"/>
  <c r="D29" i="14"/>
  <c r="D24" i="14"/>
  <c r="D23" i="14"/>
  <c r="D21" i="14"/>
  <c r="D20" i="14"/>
  <c r="D17" i="14"/>
  <c r="E97" i="19"/>
  <c r="D97" i="19"/>
  <c r="C97" i="19"/>
  <c r="E96" i="19"/>
  <c r="E98" i="19"/>
  <c r="D96" i="19"/>
  <c r="D98" i="19" s="1"/>
  <c r="C96" i="19"/>
  <c r="C98" i="19" s="1"/>
  <c r="E92" i="19"/>
  <c r="D92" i="19"/>
  <c r="C92" i="19"/>
  <c r="E91" i="19"/>
  <c r="E93" i="19" s="1"/>
  <c r="D91" i="19"/>
  <c r="D93" i="19" s="1"/>
  <c r="C91" i="19"/>
  <c r="C93" i="19"/>
  <c r="E87" i="19"/>
  <c r="D87" i="19"/>
  <c r="C87" i="19"/>
  <c r="E86" i="19"/>
  <c r="E88" i="19" s="1"/>
  <c r="D86" i="19"/>
  <c r="D88" i="19" s="1"/>
  <c r="C86" i="19"/>
  <c r="C88" i="19" s="1"/>
  <c r="E83" i="19"/>
  <c r="E101" i="19" s="1"/>
  <c r="D83" i="19"/>
  <c r="D102" i="19" s="1"/>
  <c r="C83" i="19"/>
  <c r="C102" i="19" s="1"/>
  <c r="E76" i="19"/>
  <c r="D76" i="19"/>
  <c r="C76" i="19"/>
  <c r="E75" i="19"/>
  <c r="D75" i="19"/>
  <c r="D101" i="19"/>
  <c r="D103" i="19" s="1"/>
  <c r="C75" i="19"/>
  <c r="C77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D33" i="19"/>
  <c r="C12" i="19"/>
  <c r="C23" i="19"/>
  <c r="C46" i="19" s="1"/>
  <c r="D21" i="18"/>
  <c r="E21" i="18" s="1"/>
  <c r="F21" i="18" s="1"/>
  <c r="C21" i="18"/>
  <c r="D19" i="18"/>
  <c r="E19" i="18" s="1"/>
  <c r="F19" i="18" s="1"/>
  <c r="C19" i="18"/>
  <c r="E17" i="18"/>
  <c r="F17" i="18" s="1"/>
  <c r="E15" i="18"/>
  <c r="F15" i="18" s="1"/>
  <c r="D45" i="17"/>
  <c r="E45" i="17" s="1"/>
  <c r="C45" i="17"/>
  <c r="F45" i="17" s="1"/>
  <c r="D44" i="17"/>
  <c r="E44" i="17" s="1"/>
  <c r="C44" i="17"/>
  <c r="F44" i="17" s="1"/>
  <c r="D43" i="17"/>
  <c r="D46" i="17" s="1"/>
  <c r="C43" i="17"/>
  <c r="D36" i="17"/>
  <c r="D40" i="17"/>
  <c r="C36" i="17"/>
  <c r="E35" i="17"/>
  <c r="F35" i="17" s="1"/>
  <c r="E34" i="17"/>
  <c r="F34" i="17" s="1"/>
  <c r="E33" i="17"/>
  <c r="E36" i="17" s="1"/>
  <c r="E30" i="17"/>
  <c r="F30" i="17" s="1"/>
  <c r="E29" i="17"/>
  <c r="F29" i="17" s="1"/>
  <c r="E28" i="17"/>
  <c r="F28" i="17"/>
  <c r="E27" i="17"/>
  <c r="F27" i="17"/>
  <c r="D25" i="17"/>
  <c r="D39" i="17"/>
  <c r="C25" i="17"/>
  <c r="C39" i="17"/>
  <c r="E24" i="17"/>
  <c r="F24" i="17"/>
  <c r="E23" i="17"/>
  <c r="F23" i="17"/>
  <c r="E22" i="17"/>
  <c r="F22" i="17"/>
  <c r="D19" i="17"/>
  <c r="D20" i="17" s="1"/>
  <c r="C19" i="17"/>
  <c r="E18" i="17"/>
  <c r="F18" i="17"/>
  <c r="D16" i="17"/>
  <c r="C16" i="17"/>
  <c r="E16" i="17"/>
  <c r="E15" i="17"/>
  <c r="F15" i="17" s="1"/>
  <c r="E13" i="17"/>
  <c r="F13" i="17"/>
  <c r="E12" i="17"/>
  <c r="F12" i="17" s="1"/>
  <c r="C115" i="16"/>
  <c r="C105" i="16"/>
  <c r="C137" i="16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/>
  <c r="C48" i="16"/>
  <c r="C36" i="16"/>
  <c r="C32" i="16"/>
  <c r="C33" i="16"/>
  <c r="C21" i="16"/>
  <c r="C22" i="16" s="1"/>
  <c r="E328" i="15"/>
  <c r="E325" i="15"/>
  <c r="D324" i="15"/>
  <c r="D326" i="15" s="1"/>
  <c r="C324" i="15"/>
  <c r="E318" i="15"/>
  <c r="E315" i="15"/>
  <c r="D314" i="15"/>
  <c r="D316" i="15" s="1"/>
  <c r="D320" i="15" s="1"/>
  <c r="C314" i="15"/>
  <c r="C316" i="15"/>
  <c r="C320" i="15" s="1"/>
  <c r="E308" i="15"/>
  <c r="E305" i="15"/>
  <c r="D301" i="15"/>
  <c r="C301" i="15"/>
  <c r="D293" i="15"/>
  <c r="E293" i="15" s="1"/>
  <c r="C293" i="15"/>
  <c r="D292" i="15"/>
  <c r="C292" i="15"/>
  <c r="E292" i="15"/>
  <c r="D291" i="15"/>
  <c r="C291" i="15"/>
  <c r="D290" i="15"/>
  <c r="C290" i="15"/>
  <c r="E290" i="15" s="1"/>
  <c r="D288" i="15"/>
  <c r="C288" i="15"/>
  <c r="E288" i="15"/>
  <c r="D287" i="15"/>
  <c r="C287" i="15"/>
  <c r="D282" i="15"/>
  <c r="E282" i="15"/>
  <c r="C282" i="15"/>
  <c r="D281" i="15"/>
  <c r="E281" i="15" s="1"/>
  <c r="C281" i="15"/>
  <c r="D280" i="15"/>
  <c r="C280" i="15"/>
  <c r="E280" i="15" s="1"/>
  <c r="D279" i="15"/>
  <c r="C279" i="15"/>
  <c r="E279" i="15"/>
  <c r="D278" i="15"/>
  <c r="E278" i="15"/>
  <c r="C278" i="15"/>
  <c r="D277" i="15"/>
  <c r="E277" i="15" s="1"/>
  <c r="C277" i="15"/>
  <c r="D276" i="15"/>
  <c r="C276" i="15"/>
  <c r="E276" i="15" s="1"/>
  <c r="E270" i="15"/>
  <c r="D265" i="15"/>
  <c r="E265" i="15"/>
  <c r="C265" i="15"/>
  <c r="C302" i="15"/>
  <c r="D262" i="15"/>
  <c r="C262" i="15"/>
  <c r="E262" i="15" s="1"/>
  <c r="D251" i="15"/>
  <c r="C251" i="15"/>
  <c r="D233" i="15"/>
  <c r="C233" i="15"/>
  <c r="D232" i="15"/>
  <c r="C232" i="15"/>
  <c r="E232" i="15" s="1"/>
  <c r="D231" i="15"/>
  <c r="C231" i="15"/>
  <c r="E231" i="15"/>
  <c r="D230" i="15"/>
  <c r="C230" i="15"/>
  <c r="D228" i="15"/>
  <c r="C228" i="15"/>
  <c r="E228" i="15" s="1"/>
  <c r="D227" i="15"/>
  <c r="E227" i="15" s="1"/>
  <c r="C227" i="15"/>
  <c r="D221" i="15"/>
  <c r="D245" i="15"/>
  <c r="C221" i="15"/>
  <c r="E221" i="15"/>
  <c r="D220" i="15"/>
  <c r="C220" i="15"/>
  <c r="E220" i="15" s="1"/>
  <c r="C244" i="15"/>
  <c r="D219" i="15"/>
  <c r="C219" i="15"/>
  <c r="C243" i="15" s="1"/>
  <c r="D218" i="15"/>
  <c r="D242" i="15" s="1"/>
  <c r="C218" i="15"/>
  <c r="D216" i="15"/>
  <c r="C216" i="15"/>
  <c r="C240" i="15" s="1"/>
  <c r="D215" i="15"/>
  <c r="C215" i="15"/>
  <c r="C239" i="15"/>
  <c r="E209" i="15"/>
  <c r="E208" i="15"/>
  <c r="E207" i="15"/>
  <c r="E206" i="15"/>
  <c r="D205" i="15"/>
  <c r="E205" i="15"/>
  <c r="C205" i="15"/>
  <c r="C229" i="15"/>
  <c r="E204" i="15"/>
  <c r="E203" i="15"/>
  <c r="E197" i="15"/>
  <c r="E196" i="15"/>
  <c r="D195" i="15"/>
  <c r="E195" i="15"/>
  <c r="C195" i="15"/>
  <c r="C260" i="15"/>
  <c r="E194" i="15"/>
  <c r="E193" i="15"/>
  <c r="E192" i="15"/>
  <c r="E191" i="15"/>
  <c r="E190" i="15"/>
  <c r="D188" i="15"/>
  <c r="D189" i="15" s="1"/>
  <c r="C188" i="15"/>
  <c r="C189" i="15" s="1"/>
  <c r="E186" i="15"/>
  <c r="E185" i="15"/>
  <c r="D179" i="15"/>
  <c r="E179" i="15" s="1"/>
  <c r="C179" i="15"/>
  <c r="D178" i="15"/>
  <c r="C178" i="15"/>
  <c r="D177" i="15"/>
  <c r="E177" i="15"/>
  <c r="C177" i="15"/>
  <c r="D176" i="15"/>
  <c r="C176" i="15"/>
  <c r="E176" i="15"/>
  <c r="D174" i="15"/>
  <c r="E174" i="15"/>
  <c r="C174" i="15"/>
  <c r="D173" i="15"/>
  <c r="E173" i="15" s="1"/>
  <c r="C173" i="15"/>
  <c r="D167" i="15"/>
  <c r="C167" i="15"/>
  <c r="E167" i="15" s="1"/>
  <c r="D166" i="15"/>
  <c r="C166" i="15"/>
  <c r="D165" i="15"/>
  <c r="C165" i="15"/>
  <c r="E165" i="15"/>
  <c r="D164" i="15"/>
  <c r="C164" i="15"/>
  <c r="E164" i="15" s="1"/>
  <c r="D162" i="15"/>
  <c r="E162" i="15" s="1"/>
  <c r="C162" i="15"/>
  <c r="D161" i="15"/>
  <c r="C161" i="15"/>
  <c r="E161" i="15" s="1"/>
  <c r="E155" i="15"/>
  <c r="E154" i="15"/>
  <c r="E153" i="15"/>
  <c r="E152" i="15"/>
  <c r="D151" i="15"/>
  <c r="D156" i="15" s="1"/>
  <c r="D157" i="15" s="1"/>
  <c r="C151" i="15"/>
  <c r="C156" i="15"/>
  <c r="C157" i="15" s="1"/>
  <c r="E150" i="15"/>
  <c r="E149" i="15"/>
  <c r="E143" i="15"/>
  <c r="E142" i="15"/>
  <c r="E141" i="15"/>
  <c r="E140" i="15"/>
  <c r="D139" i="15"/>
  <c r="D144" i="15" s="1"/>
  <c r="D145" i="15" s="1"/>
  <c r="D169" i="15" s="1"/>
  <c r="C139" i="15"/>
  <c r="E138" i="15"/>
  <c r="E137" i="15"/>
  <c r="D75" i="15"/>
  <c r="C75" i="15"/>
  <c r="D74" i="15"/>
  <c r="C74" i="15"/>
  <c r="E74" i="15" s="1"/>
  <c r="D73" i="15"/>
  <c r="C73" i="15"/>
  <c r="E73" i="15"/>
  <c r="D72" i="15"/>
  <c r="E72" i="15"/>
  <c r="C72" i="15"/>
  <c r="D70" i="15"/>
  <c r="C70" i="15"/>
  <c r="D69" i="15"/>
  <c r="C69" i="15"/>
  <c r="E69" i="15"/>
  <c r="E64" i="15"/>
  <c r="E63" i="15"/>
  <c r="E62" i="15"/>
  <c r="E61" i="15"/>
  <c r="D60" i="15"/>
  <c r="D71" i="15" s="1"/>
  <c r="D76" i="15" s="1"/>
  <c r="D65" i="15"/>
  <c r="D289" i="15"/>
  <c r="C60" i="15"/>
  <c r="C71" i="15" s="1"/>
  <c r="E59" i="15"/>
  <c r="E58" i="15"/>
  <c r="D55" i="15"/>
  <c r="D54" i="15"/>
  <c r="C54" i="15"/>
  <c r="E54" i="15" s="1"/>
  <c r="E53" i="15"/>
  <c r="E52" i="15"/>
  <c r="E51" i="15"/>
  <c r="E50" i="15"/>
  <c r="E49" i="15"/>
  <c r="E48" i="15"/>
  <c r="E47" i="15"/>
  <c r="D42" i="15"/>
  <c r="C42" i="15"/>
  <c r="E42" i="15" s="1"/>
  <c r="D41" i="15"/>
  <c r="E41" i="15" s="1"/>
  <c r="C41" i="15"/>
  <c r="D40" i="15"/>
  <c r="C40" i="15"/>
  <c r="E40" i="15" s="1"/>
  <c r="D39" i="15"/>
  <c r="C39" i="15"/>
  <c r="D38" i="15"/>
  <c r="C38" i="15"/>
  <c r="E38" i="15"/>
  <c r="D37" i="15"/>
  <c r="D43" i="15"/>
  <c r="D259" i="15" s="1"/>
  <c r="C37" i="15"/>
  <c r="E37" i="15" s="1"/>
  <c r="D36" i="15"/>
  <c r="D44" i="15" s="1"/>
  <c r="D99" i="15" s="1"/>
  <c r="C36" i="15"/>
  <c r="D33" i="15"/>
  <c r="D32" i="15"/>
  <c r="C32" i="15"/>
  <c r="E32" i="15" s="1"/>
  <c r="E31" i="15"/>
  <c r="E30" i="15"/>
  <c r="E29" i="15"/>
  <c r="E28" i="15"/>
  <c r="E27" i="15"/>
  <c r="E26" i="15"/>
  <c r="E25" i="15"/>
  <c r="D21" i="15"/>
  <c r="D22" i="15"/>
  <c r="C21" i="15"/>
  <c r="E20" i="15"/>
  <c r="E19" i="15"/>
  <c r="E18" i="15"/>
  <c r="E17" i="15"/>
  <c r="E16" i="15"/>
  <c r="E15" i="15"/>
  <c r="E14" i="15"/>
  <c r="E335" i="14"/>
  <c r="F335" i="14"/>
  <c r="F334" i="14"/>
  <c r="E334" i="14"/>
  <c r="E333" i="14"/>
  <c r="F333" i="14"/>
  <c r="F332" i="14"/>
  <c r="E332" i="14"/>
  <c r="E331" i="14"/>
  <c r="F331" i="14"/>
  <c r="E330" i="14"/>
  <c r="F330" i="14"/>
  <c r="E329" i="14"/>
  <c r="F329" i="14"/>
  <c r="F316" i="14"/>
  <c r="E316" i="14"/>
  <c r="C311" i="14"/>
  <c r="E311" i="14" s="1"/>
  <c r="F311" i="14" s="1"/>
  <c r="E308" i="14"/>
  <c r="F308" i="14"/>
  <c r="C307" i="14"/>
  <c r="C299" i="14"/>
  <c r="C298" i="14"/>
  <c r="E298" i="14"/>
  <c r="F298" i="14" s="1"/>
  <c r="C297" i="14"/>
  <c r="E297" i="14"/>
  <c r="C296" i="14"/>
  <c r="E296" i="14"/>
  <c r="C295" i="14"/>
  <c r="C294" i="14"/>
  <c r="C250" i="14"/>
  <c r="C306" i="14"/>
  <c r="E249" i="14"/>
  <c r="F249" i="14"/>
  <c r="E248" i="14"/>
  <c r="F248" i="14"/>
  <c r="E245" i="14"/>
  <c r="F245" i="14"/>
  <c r="E244" i="14"/>
  <c r="F244" i="14"/>
  <c r="E243" i="14"/>
  <c r="F243" i="14"/>
  <c r="C238" i="14"/>
  <c r="C237" i="14"/>
  <c r="E237" i="14" s="1"/>
  <c r="F234" i="14"/>
  <c r="E234" i="14"/>
  <c r="F233" i="14"/>
  <c r="E233" i="14"/>
  <c r="C230" i="14"/>
  <c r="C229" i="14"/>
  <c r="E229" i="14"/>
  <c r="E228" i="14"/>
  <c r="F228" i="14"/>
  <c r="C226" i="14"/>
  <c r="E226" i="14"/>
  <c r="E225" i="14"/>
  <c r="F225" i="14"/>
  <c r="E224" i="14"/>
  <c r="F224" i="14"/>
  <c r="C223" i="14"/>
  <c r="E223" i="14"/>
  <c r="E222" i="14"/>
  <c r="F222" i="14"/>
  <c r="E221" i="14"/>
  <c r="F221" i="14"/>
  <c r="C204" i="14"/>
  <c r="C285" i="14"/>
  <c r="C203" i="14"/>
  <c r="C198" i="14"/>
  <c r="C290" i="14" s="1"/>
  <c r="C191" i="14"/>
  <c r="C264" i="14"/>
  <c r="C189" i="14"/>
  <c r="C278" i="14"/>
  <c r="C188" i="14"/>
  <c r="C180" i="14"/>
  <c r="E180" i="14" s="1"/>
  <c r="F180" i="14" s="1"/>
  <c r="C179" i="14"/>
  <c r="E179" i="14" s="1"/>
  <c r="C171" i="14"/>
  <c r="E171" i="14" s="1"/>
  <c r="C170" i="14"/>
  <c r="E170" i="14" s="1"/>
  <c r="E169" i="14"/>
  <c r="F169" i="14" s="1"/>
  <c r="E168" i="14"/>
  <c r="F168" i="14" s="1"/>
  <c r="C165" i="14"/>
  <c r="C164" i="14"/>
  <c r="E164" i="14"/>
  <c r="E163" i="14"/>
  <c r="F163" i="14"/>
  <c r="C158" i="14"/>
  <c r="E157" i="14"/>
  <c r="F157" i="14" s="1"/>
  <c r="E156" i="14"/>
  <c r="F156" i="14" s="1"/>
  <c r="E155" i="14"/>
  <c r="C155" i="14"/>
  <c r="F154" i="14"/>
  <c r="E154" i="14"/>
  <c r="F153" i="14"/>
  <c r="E153" i="14"/>
  <c r="C145" i="14"/>
  <c r="C144" i="14"/>
  <c r="E144" i="14"/>
  <c r="C136" i="14"/>
  <c r="C137" i="14" s="1"/>
  <c r="C135" i="14"/>
  <c r="E134" i="14"/>
  <c r="F134" i="14" s="1"/>
  <c r="E133" i="14"/>
  <c r="F133" i="14" s="1"/>
  <c r="C130" i="14"/>
  <c r="E130" i="14" s="1"/>
  <c r="C129" i="14"/>
  <c r="E129" i="14" s="1"/>
  <c r="F129" i="14" s="1"/>
  <c r="E128" i="14"/>
  <c r="F128" i="14"/>
  <c r="C123" i="14"/>
  <c r="F122" i="14"/>
  <c r="E122" i="14"/>
  <c r="F121" i="14"/>
  <c r="E121" i="14"/>
  <c r="C120" i="14"/>
  <c r="E120" i="14" s="1"/>
  <c r="F120" i="14" s="1"/>
  <c r="E119" i="14"/>
  <c r="F119" i="14"/>
  <c r="E118" i="14"/>
  <c r="F118" i="14"/>
  <c r="C110" i="14"/>
  <c r="C109" i="14"/>
  <c r="E109" i="14" s="1"/>
  <c r="C101" i="14"/>
  <c r="C100" i="14"/>
  <c r="E100" i="14" s="1"/>
  <c r="E99" i="14"/>
  <c r="F99" i="14" s="1"/>
  <c r="E98" i="14"/>
  <c r="F98" i="14" s="1"/>
  <c r="C95" i="14"/>
  <c r="E95" i="14" s="1"/>
  <c r="F95" i="14" s="1"/>
  <c r="C94" i="14"/>
  <c r="E94" i="14" s="1"/>
  <c r="E93" i="14"/>
  <c r="F93" i="14"/>
  <c r="C88" i="14"/>
  <c r="E88" i="14"/>
  <c r="E87" i="14"/>
  <c r="F87" i="14"/>
  <c r="E86" i="14"/>
  <c r="F86" i="14"/>
  <c r="C85" i="14"/>
  <c r="E85" i="14"/>
  <c r="F85" i="14" s="1"/>
  <c r="E84" i="14"/>
  <c r="F84" i="14" s="1"/>
  <c r="E83" i="14"/>
  <c r="F83" i="14" s="1"/>
  <c r="C76" i="14"/>
  <c r="E76" i="14" s="1"/>
  <c r="E74" i="14"/>
  <c r="F74" i="14" s="1"/>
  <c r="E73" i="14"/>
  <c r="F73" i="14" s="1"/>
  <c r="E67" i="14"/>
  <c r="C67" i="14"/>
  <c r="C66" i="14"/>
  <c r="E66" i="14" s="1"/>
  <c r="E59" i="14"/>
  <c r="C59" i="14"/>
  <c r="C58" i="14"/>
  <c r="E57" i="14"/>
  <c r="F57" i="14"/>
  <c r="E56" i="14"/>
  <c r="F56" i="14"/>
  <c r="C53" i="14"/>
  <c r="E53" i="14" s="1"/>
  <c r="C52" i="14"/>
  <c r="E52" i="14" s="1"/>
  <c r="E51" i="14"/>
  <c r="F51" i="14" s="1"/>
  <c r="C47" i="14"/>
  <c r="E46" i="14"/>
  <c r="F46" i="14"/>
  <c r="E45" i="14"/>
  <c r="F45" i="14"/>
  <c r="C44" i="14"/>
  <c r="E44" i="14" s="1"/>
  <c r="E43" i="14"/>
  <c r="F43" i="14" s="1"/>
  <c r="E42" i="14"/>
  <c r="F42" i="14" s="1"/>
  <c r="C36" i="14"/>
  <c r="E36" i="14"/>
  <c r="C35" i="14"/>
  <c r="E35" i="14"/>
  <c r="C30" i="14"/>
  <c r="C31" i="14"/>
  <c r="E31" i="14" s="1"/>
  <c r="F31" i="14" s="1"/>
  <c r="C29" i="14"/>
  <c r="E28" i="14"/>
  <c r="F28" i="14" s="1"/>
  <c r="E27" i="14"/>
  <c r="F27" i="14" s="1"/>
  <c r="C24" i="14"/>
  <c r="E24" i="14" s="1"/>
  <c r="C23" i="14"/>
  <c r="E23" i="14" s="1"/>
  <c r="F23" i="14" s="1"/>
  <c r="E22" i="14"/>
  <c r="F22" i="14"/>
  <c r="C20" i="14"/>
  <c r="E20" i="14"/>
  <c r="F20" i="14" s="1"/>
  <c r="E19" i="14"/>
  <c r="F19" i="14" s="1"/>
  <c r="E18" i="14"/>
  <c r="F18" i="14" s="1"/>
  <c r="C17" i="14"/>
  <c r="E17" i="14" s="1"/>
  <c r="E16" i="14"/>
  <c r="F16" i="14" s="1"/>
  <c r="E15" i="14"/>
  <c r="F15" i="14" s="1"/>
  <c r="D21" i="13"/>
  <c r="C21" i="13"/>
  <c r="E21" i="13"/>
  <c r="E20" i="13"/>
  <c r="F20" i="13"/>
  <c r="D17" i="13"/>
  <c r="C17" i="13"/>
  <c r="E17" i="13"/>
  <c r="E16" i="13"/>
  <c r="F16" i="13"/>
  <c r="D13" i="13"/>
  <c r="C13" i="13"/>
  <c r="E13" i="13" s="1"/>
  <c r="E12" i="13"/>
  <c r="F12" i="13" s="1"/>
  <c r="D99" i="12"/>
  <c r="C99" i="12"/>
  <c r="E99" i="12"/>
  <c r="E98" i="12"/>
  <c r="F98" i="12"/>
  <c r="E97" i="12"/>
  <c r="F97" i="12"/>
  <c r="E96" i="12"/>
  <c r="F96" i="12"/>
  <c r="D92" i="12"/>
  <c r="C92" i="12"/>
  <c r="E92" i="12" s="1"/>
  <c r="E91" i="12"/>
  <c r="F91" i="12" s="1"/>
  <c r="E90" i="12"/>
  <c r="F90" i="12" s="1"/>
  <c r="E89" i="12"/>
  <c r="F89" i="12"/>
  <c r="E88" i="12"/>
  <c r="F88" i="12"/>
  <c r="E87" i="12"/>
  <c r="F87" i="12"/>
  <c r="D84" i="12"/>
  <c r="C84" i="12"/>
  <c r="E84" i="12" s="1"/>
  <c r="F83" i="12"/>
  <c r="E83" i="12"/>
  <c r="E82" i="12"/>
  <c r="F82" i="12"/>
  <c r="E81" i="12"/>
  <c r="F81" i="12"/>
  <c r="E80" i="12"/>
  <c r="F80" i="12"/>
  <c r="E79" i="12"/>
  <c r="F79" i="12"/>
  <c r="D75" i="12"/>
  <c r="C75" i="12"/>
  <c r="E74" i="12"/>
  <c r="F74" i="12"/>
  <c r="E73" i="12"/>
  <c r="F73" i="12"/>
  <c r="D70" i="12"/>
  <c r="C70" i="12"/>
  <c r="E70" i="12" s="1"/>
  <c r="E69" i="12"/>
  <c r="F69" i="12" s="1"/>
  <c r="E68" i="12"/>
  <c r="F68" i="12"/>
  <c r="D65" i="12"/>
  <c r="C65" i="12"/>
  <c r="E65" i="12" s="1"/>
  <c r="E64" i="12"/>
  <c r="F64" i="12"/>
  <c r="E63" i="12"/>
  <c r="F63" i="12"/>
  <c r="D60" i="12"/>
  <c r="C60" i="12"/>
  <c r="E59" i="12"/>
  <c r="F59" i="12"/>
  <c r="E58" i="12"/>
  <c r="F58" i="12"/>
  <c r="D55" i="12"/>
  <c r="C55" i="12"/>
  <c r="E55" i="12"/>
  <c r="F54" i="12"/>
  <c r="E54" i="12"/>
  <c r="E53" i="12"/>
  <c r="F53" i="12"/>
  <c r="D50" i="12"/>
  <c r="C50" i="12"/>
  <c r="E50" i="12"/>
  <c r="E49" i="12"/>
  <c r="F49" i="12"/>
  <c r="E48" i="12"/>
  <c r="F48" i="12"/>
  <c r="D45" i="12"/>
  <c r="C45" i="12"/>
  <c r="E45" i="12"/>
  <c r="E44" i="12"/>
  <c r="F44" i="12"/>
  <c r="F43" i="12"/>
  <c r="E43" i="12"/>
  <c r="D37" i="12"/>
  <c r="E37" i="12" s="1"/>
  <c r="C37" i="12"/>
  <c r="F37" i="12" s="1"/>
  <c r="F36" i="12"/>
  <c r="E36" i="12"/>
  <c r="F35" i="12"/>
  <c r="E35" i="12"/>
  <c r="F34" i="12"/>
  <c r="E34" i="12"/>
  <c r="F33" i="12"/>
  <c r="E33" i="12"/>
  <c r="D30" i="12"/>
  <c r="C30" i="12"/>
  <c r="E30" i="12"/>
  <c r="E29" i="12"/>
  <c r="F29" i="12"/>
  <c r="F28" i="12"/>
  <c r="E28" i="12"/>
  <c r="F27" i="12"/>
  <c r="E27" i="12"/>
  <c r="F26" i="12"/>
  <c r="E26" i="12"/>
  <c r="D23" i="12"/>
  <c r="C23" i="12"/>
  <c r="E23" i="12"/>
  <c r="E22" i="12"/>
  <c r="F22" i="12"/>
  <c r="E21" i="12"/>
  <c r="F21" i="12"/>
  <c r="E20" i="12"/>
  <c r="F20" i="12"/>
  <c r="E19" i="12"/>
  <c r="F19" i="12"/>
  <c r="D16" i="12"/>
  <c r="C16" i="12"/>
  <c r="E16" i="12" s="1"/>
  <c r="E15" i="12"/>
  <c r="F15" i="12" s="1"/>
  <c r="E14" i="12"/>
  <c r="F14" i="12" s="1"/>
  <c r="E13" i="12"/>
  <c r="F13" i="12" s="1"/>
  <c r="E12" i="12"/>
  <c r="F12" i="12" s="1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1" i="11" s="1"/>
  <c r="E33" i="11"/>
  <c r="D17" i="11"/>
  <c r="D33" i="11"/>
  <c r="C17" i="11"/>
  <c r="C31" i="11" s="1"/>
  <c r="C33" i="11"/>
  <c r="C36" i="11" s="1"/>
  <c r="C38" i="11" s="1"/>
  <c r="C40" i="11" s="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 s="1"/>
  <c r="E77" i="10" s="1"/>
  <c r="D78" i="10"/>
  <c r="D80" i="10" s="1"/>
  <c r="D77" i="10" s="1"/>
  <c r="C78" i="10"/>
  <c r="C80" i="10"/>
  <c r="C77" i="10" s="1"/>
  <c r="E73" i="10"/>
  <c r="E75" i="10" s="1"/>
  <c r="D73" i="10"/>
  <c r="D75" i="10" s="1"/>
  <c r="C73" i="10"/>
  <c r="C75" i="10" s="1"/>
  <c r="E71" i="10"/>
  <c r="D71" i="10"/>
  <c r="C71" i="10"/>
  <c r="E66" i="10"/>
  <c r="E65" i="10"/>
  <c r="D66" i="10"/>
  <c r="C66" i="10"/>
  <c r="C65" i="10" s="1"/>
  <c r="D65" i="10"/>
  <c r="E60" i="10"/>
  <c r="D60" i="10"/>
  <c r="C60" i="10"/>
  <c r="E58" i="10"/>
  <c r="D58" i="10"/>
  <c r="C58" i="10"/>
  <c r="E55" i="10"/>
  <c r="D55" i="10"/>
  <c r="C55" i="10"/>
  <c r="E54" i="10"/>
  <c r="E50" i="10" s="1"/>
  <c r="D54" i="10"/>
  <c r="D50" i="10" s="1"/>
  <c r="C54" i="10"/>
  <c r="C50" i="10"/>
  <c r="E46" i="10"/>
  <c r="E59" i="10"/>
  <c r="E61" i="10" s="1"/>
  <c r="E57" i="10" s="1"/>
  <c r="D46" i="10"/>
  <c r="D59" i="10"/>
  <c r="D61" i="10" s="1"/>
  <c r="D57" i="10" s="1"/>
  <c r="C46" i="10"/>
  <c r="C48" i="10" s="1"/>
  <c r="C42" i="10" s="1"/>
  <c r="C59" i="10"/>
  <c r="C61" i="10" s="1"/>
  <c r="C57" i="10" s="1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E25" i="10" s="1"/>
  <c r="E27" i="10" s="1"/>
  <c r="D13" i="10"/>
  <c r="D15" i="10"/>
  <c r="C13" i="10"/>
  <c r="C25" i="10"/>
  <c r="C27" i="10" s="1"/>
  <c r="D46" i="9"/>
  <c r="E46" i="9" s="1"/>
  <c r="C46" i="9"/>
  <c r="F46" i="9" s="1"/>
  <c r="F45" i="9"/>
  <c r="E45" i="9"/>
  <c r="F44" i="9"/>
  <c r="E44" i="9"/>
  <c r="D39" i="9"/>
  <c r="C39" i="9"/>
  <c r="E39" i="9"/>
  <c r="E38" i="9"/>
  <c r="F38" i="9"/>
  <c r="F37" i="9"/>
  <c r="E37" i="9"/>
  <c r="E36" i="9"/>
  <c r="F36" i="9"/>
  <c r="D31" i="9"/>
  <c r="C31" i="9"/>
  <c r="E31" i="9" s="1"/>
  <c r="E30" i="9"/>
  <c r="F30" i="9" s="1"/>
  <c r="F29" i="9"/>
  <c r="E29" i="9"/>
  <c r="F28" i="9"/>
  <c r="E28" i="9"/>
  <c r="E27" i="9"/>
  <c r="F27" i="9"/>
  <c r="F26" i="9"/>
  <c r="E26" i="9"/>
  <c r="F25" i="9"/>
  <c r="E25" i="9"/>
  <c r="F24" i="9"/>
  <c r="E24" i="9"/>
  <c r="E23" i="9"/>
  <c r="F23" i="9"/>
  <c r="E22" i="9"/>
  <c r="F22" i="9"/>
  <c r="F18" i="9"/>
  <c r="E18" i="9"/>
  <c r="E17" i="9"/>
  <c r="F17" i="9"/>
  <c r="D16" i="9"/>
  <c r="D19" i="9" s="1"/>
  <c r="C16" i="9"/>
  <c r="C19" i="9" s="1"/>
  <c r="F15" i="9"/>
  <c r="E15" i="9"/>
  <c r="E14" i="9"/>
  <c r="F14" i="9" s="1"/>
  <c r="E13" i="9"/>
  <c r="F13" i="9" s="1"/>
  <c r="E12" i="9"/>
  <c r="F12" i="9" s="1"/>
  <c r="D73" i="8"/>
  <c r="C73" i="8"/>
  <c r="E73" i="8"/>
  <c r="E72" i="8"/>
  <c r="F72" i="8"/>
  <c r="E71" i="8"/>
  <c r="F71" i="8"/>
  <c r="E70" i="8"/>
  <c r="F70" i="8"/>
  <c r="E67" i="8"/>
  <c r="F67" i="8"/>
  <c r="E64" i="8"/>
  <c r="F64" i="8"/>
  <c r="E63" i="8"/>
  <c r="F63" i="8"/>
  <c r="D61" i="8"/>
  <c r="D65" i="8"/>
  <c r="C61" i="8"/>
  <c r="C65" i="8" s="1"/>
  <c r="F60" i="8"/>
  <c r="E60" i="8"/>
  <c r="E59" i="8"/>
  <c r="F59" i="8"/>
  <c r="D56" i="8"/>
  <c r="C56" i="8"/>
  <c r="C75" i="8" s="1"/>
  <c r="F55" i="8"/>
  <c r="E55" i="8"/>
  <c r="F54" i="8"/>
  <c r="E54" i="8"/>
  <c r="E53" i="8"/>
  <c r="F53" i="8"/>
  <c r="F52" i="8"/>
  <c r="E52" i="8"/>
  <c r="E51" i="8"/>
  <c r="F51" i="8"/>
  <c r="E50" i="8"/>
  <c r="F50" i="8"/>
  <c r="A50" i="8"/>
  <c r="A51" i="8"/>
  <c r="A52" i="8" s="1"/>
  <c r="A53" i="8" s="1"/>
  <c r="A54" i="8" s="1"/>
  <c r="A55" i="8" s="1"/>
  <c r="E49" i="8"/>
  <c r="F49" i="8"/>
  <c r="F40" i="8"/>
  <c r="E40" i="8"/>
  <c r="D38" i="8"/>
  <c r="E38" i="8"/>
  <c r="C38" i="8"/>
  <c r="C41" i="8"/>
  <c r="E37" i="8"/>
  <c r="F37" i="8"/>
  <c r="E36" i="8"/>
  <c r="F36" i="8"/>
  <c r="E33" i="8"/>
  <c r="F33" i="8"/>
  <c r="E32" i="8"/>
  <c r="F32" i="8" s="1"/>
  <c r="F31" i="8"/>
  <c r="E31" i="8"/>
  <c r="D29" i="8"/>
  <c r="C29" i="8"/>
  <c r="E29" i="8" s="1"/>
  <c r="E28" i="8"/>
  <c r="F28" i="8" s="1"/>
  <c r="F27" i="8"/>
  <c r="E27" i="8"/>
  <c r="F26" i="8"/>
  <c r="E26" i="8"/>
  <c r="E25" i="8"/>
  <c r="F25" i="8" s="1"/>
  <c r="D22" i="8"/>
  <c r="C22" i="8"/>
  <c r="C43" i="8"/>
  <c r="E21" i="8"/>
  <c r="F21" i="8"/>
  <c r="F20" i="8"/>
  <c r="E20" i="8"/>
  <c r="F19" i="8"/>
  <c r="E19" i="8"/>
  <c r="F18" i="8"/>
  <c r="E18" i="8"/>
  <c r="F17" i="8"/>
  <c r="E17" i="8"/>
  <c r="E16" i="8"/>
  <c r="F16" i="8"/>
  <c r="E15" i="8"/>
  <c r="F15" i="8"/>
  <c r="E14" i="8"/>
  <c r="F14" i="8"/>
  <c r="E13" i="8"/>
  <c r="F13" i="8"/>
  <c r="D120" i="7"/>
  <c r="E120" i="7" s="1"/>
  <c r="C120" i="7"/>
  <c r="D119" i="7"/>
  <c r="C119" i="7"/>
  <c r="E119" i="7" s="1"/>
  <c r="D118" i="7"/>
  <c r="E118" i="7" s="1"/>
  <c r="C118" i="7"/>
  <c r="D117" i="7"/>
  <c r="C117" i="7"/>
  <c r="E117" i="7" s="1"/>
  <c r="D116" i="7"/>
  <c r="E116" i="7" s="1"/>
  <c r="C116" i="7"/>
  <c r="F116" i="7" s="1"/>
  <c r="D115" i="7"/>
  <c r="E115" i="7" s="1"/>
  <c r="F115" i="7" s="1"/>
  <c r="C115" i="7"/>
  <c r="D114" i="7"/>
  <c r="E114" i="7" s="1"/>
  <c r="F114" i="7" s="1"/>
  <c r="C114" i="7"/>
  <c r="D113" i="7"/>
  <c r="D122" i="7" s="1"/>
  <c r="C113" i="7"/>
  <c r="C122" i="7" s="1"/>
  <c r="D112" i="7"/>
  <c r="D121" i="7" s="1"/>
  <c r="E121" i="7" s="1"/>
  <c r="C112" i="7"/>
  <c r="C121" i="7"/>
  <c r="D108" i="7"/>
  <c r="C108" i="7"/>
  <c r="D107" i="7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F96" i="7"/>
  <c r="D95" i="7"/>
  <c r="E95" i="7"/>
  <c r="C95" i="7"/>
  <c r="F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E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C59" i="7"/>
  <c r="E58" i="7"/>
  <c r="F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E48" i="7"/>
  <c r="C48" i="7"/>
  <c r="F48" i="7"/>
  <c r="D47" i="7"/>
  <c r="E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E24" i="7"/>
  <c r="C24" i="7"/>
  <c r="D23" i="7"/>
  <c r="C23" i="7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D206" i="6"/>
  <c r="E206" i="6" s="1"/>
  <c r="C206" i="6"/>
  <c r="F206" i="6" s="1"/>
  <c r="D205" i="6"/>
  <c r="C205" i="6"/>
  <c r="D204" i="6"/>
  <c r="C204" i="6"/>
  <c r="D203" i="6"/>
  <c r="E203" i="6" s="1"/>
  <c r="C203" i="6"/>
  <c r="F203" i="6" s="1"/>
  <c r="D202" i="6"/>
  <c r="E202" i="6" s="1"/>
  <c r="C202" i="6"/>
  <c r="F202" i="6" s="1"/>
  <c r="D201" i="6"/>
  <c r="C201" i="6"/>
  <c r="D200" i="6"/>
  <c r="C200" i="6"/>
  <c r="D199" i="6"/>
  <c r="E199" i="6" s="1"/>
  <c r="C199" i="6"/>
  <c r="F199" i="6" s="1"/>
  <c r="D198" i="6"/>
  <c r="E198" i="6" s="1"/>
  <c r="F198" i="6" s="1"/>
  <c r="C198" i="6"/>
  <c r="C207" i="6"/>
  <c r="D193" i="6"/>
  <c r="E193" i="6"/>
  <c r="C193" i="6"/>
  <c r="F193" i="6"/>
  <c r="D192" i="6"/>
  <c r="E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F154" i="6"/>
  <c r="D153" i="6"/>
  <c r="E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F141" i="6"/>
  <c r="D140" i="6"/>
  <c r="E140" i="6"/>
  <c r="C140" i="6"/>
  <c r="F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/>
  <c r="C128" i="6"/>
  <c r="D127" i="6"/>
  <c r="C127" i="6"/>
  <c r="E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C115" i="6"/>
  <c r="E115" i="6" s="1"/>
  <c r="D114" i="6"/>
  <c r="E114" i="6" s="1"/>
  <c r="C114" i="6"/>
  <c r="E113" i="6"/>
  <c r="F113" i="6"/>
  <c r="E112" i="6"/>
  <c r="F112" i="6"/>
  <c r="E111" i="6"/>
  <c r="F111" i="6" s="1"/>
  <c r="E110" i="6"/>
  <c r="F110" i="6" s="1"/>
  <c r="E109" i="6"/>
  <c r="F109" i="6" s="1"/>
  <c r="E108" i="6"/>
  <c r="F108" i="6" s="1"/>
  <c r="E107" i="6"/>
  <c r="F107" i="6" s="1"/>
  <c r="E106" i="6"/>
  <c r="F106" i="6" s="1"/>
  <c r="E105" i="6"/>
  <c r="F105" i="6" s="1"/>
  <c r="D102" i="6"/>
  <c r="E102" i="6"/>
  <c r="C102" i="6"/>
  <c r="D101" i="6"/>
  <c r="C101" i="6"/>
  <c r="E100" i="6"/>
  <c r="F100" i="6" s="1"/>
  <c r="E99" i="6"/>
  <c r="F99" i="6" s="1"/>
  <c r="E98" i="6"/>
  <c r="F98" i="6" s="1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 s="1"/>
  <c r="F89" i="6" s="1"/>
  <c r="C89" i="6"/>
  <c r="D88" i="6"/>
  <c r="E88" i="6" s="1"/>
  <c r="F88" i="6" s="1"/>
  <c r="C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 s="1"/>
  <c r="F76" i="6" s="1"/>
  <c r="C76" i="6"/>
  <c r="D75" i="6"/>
  <c r="E75" i="6" s="1"/>
  <c r="F75" i="6" s="1"/>
  <c r="C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E63" i="6" s="1"/>
  <c r="F63" i="6" s="1"/>
  <c r="C63" i="6"/>
  <c r="D62" i="6"/>
  <c r="E62" i="6" s="1"/>
  <c r="F62" i="6" s="1"/>
  <c r="C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D50" i="6"/>
  <c r="E50" i="6" s="1"/>
  <c r="F50" i="6" s="1"/>
  <c r="C50" i="6"/>
  <c r="D49" i="6"/>
  <c r="E49" i="6" s="1"/>
  <c r="F49" i="6" s="1"/>
  <c r="C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7" i="6"/>
  <c r="D37" i="6"/>
  <c r="E37" i="6"/>
  <c r="C37" i="6"/>
  <c r="F36" i="6"/>
  <c r="D36" i="6"/>
  <c r="E36" i="6"/>
  <c r="C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 s="1"/>
  <c r="F24" i="6" s="1"/>
  <c r="C24" i="6"/>
  <c r="D23" i="6"/>
  <c r="E23" i="6" s="1"/>
  <c r="F23" i="6" s="1"/>
  <c r="C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E160" i="5" s="1"/>
  <c r="E166" i="5" s="1"/>
  <c r="D164" i="5"/>
  <c r="D160" i="5"/>
  <c r="D166" i="5" s="1"/>
  <c r="C164" i="5"/>
  <c r="C160" i="5"/>
  <c r="C166" i="5" s="1"/>
  <c r="E162" i="5"/>
  <c r="D162" i="5"/>
  <c r="C162" i="5"/>
  <c r="E161" i="5"/>
  <c r="D161" i="5"/>
  <c r="C161" i="5"/>
  <c r="E147" i="5"/>
  <c r="D147" i="5"/>
  <c r="D143" i="5"/>
  <c r="C147" i="5"/>
  <c r="E145" i="5"/>
  <c r="D145" i="5"/>
  <c r="C145" i="5"/>
  <c r="E144" i="5"/>
  <c r="D144" i="5"/>
  <c r="C144" i="5"/>
  <c r="E143" i="5"/>
  <c r="E149" i="5" s="1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C107" i="5"/>
  <c r="C109" i="5" s="1"/>
  <c r="C106" i="5" s="1"/>
  <c r="E102" i="5"/>
  <c r="E104" i="5"/>
  <c r="D102" i="5"/>
  <c r="D104" i="5"/>
  <c r="C102" i="5"/>
  <c r="C104" i="5"/>
  <c r="E100" i="5"/>
  <c r="D100" i="5"/>
  <c r="C100" i="5"/>
  <c r="E95" i="5"/>
  <c r="E94" i="5" s="1"/>
  <c r="D95" i="5"/>
  <c r="D94" i="5" s="1"/>
  <c r="C95" i="5"/>
  <c r="C94" i="5" s="1"/>
  <c r="E89" i="5"/>
  <c r="D89" i="5"/>
  <c r="C89" i="5"/>
  <c r="E87" i="5"/>
  <c r="D87" i="5"/>
  <c r="C87" i="5"/>
  <c r="E84" i="5"/>
  <c r="E79" i="5" s="1"/>
  <c r="D84" i="5"/>
  <c r="C84" i="5"/>
  <c r="C79" i="5" s="1"/>
  <c r="E83" i="5"/>
  <c r="D83" i="5"/>
  <c r="C83" i="5"/>
  <c r="D79" i="5"/>
  <c r="E75" i="5"/>
  <c r="E88" i="5"/>
  <c r="E90" i="5" s="1"/>
  <c r="E86" i="5" s="1"/>
  <c r="D75" i="5"/>
  <c r="C75" i="5"/>
  <c r="C88" i="5" s="1"/>
  <c r="C90" i="5" s="1"/>
  <c r="C86" i="5" s="1"/>
  <c r="E74" i="5"/>
  <c r="D74" i="5"/>
  <c r="C74" i="5"/>
  <c r="E67" i="5"/>
  <c r="D67" i="5"/>
  <c r="C67" i="5"/>
  <c r="E38" i="5"/>
  <c r="E57" i="5" s="1"/>
  <c r="E62" i="5" s="1"/>
  <c r="D38" i="5"/>
  <c r="D49" i="5"/>
  <c r="C38" i="5"/>
  <c r="C43" i="5" s="1"/>
  <c r="C49" i="5"/>
  <c r="E33" i="5"/>
  <c r="E34" i="5"/>
  <c r="D33" i="5"/>
  <c r="D34" i="5"/>
  <c r="E26" i="5"/>
  <c r="D26" i="5"/>
  <c r="C26" i="5"/>
  <c r="E13" i="5"/>
  <c r="E25" i="5" s="1"/>
  <c r="E27" i="5" s="1"/>
  <c r="D13" i="5"/>
  <c r="D15" i="5"/>
  <c r="D24" i="5" s="1"/>
  <c r="C13" i="5"/>
  <c r="C15" i="5" s="1"/>
  <c r="E174" i="4"/>
  <c r="F174" i="4" s="1"/>
  <c r="D171" i="4"/>
  <c r="E171" i="4" s="1"/>
  <c r="F171" i="4" s="1"/>
  <c r="C171" i="4"/>
  <c r="F170" i="4"/>
  <c r="E170" i="4"/>
  <c r="F169" i="4"/>
  <c r="E169" i="4"/>
  <c r="F168" i="4"/>
  <c r="E168" i="4"/>
  <c r="F167" i="4"/>
  <c r="E167" i="4"/>
  <c r="F166" i="4"/>
  <c r="E166" i="4"/>
  <c r="F165" i="4"/>
  <c r="E165" i="4"/>
  <c r="E164" i="4"/>
  <c r="F164" i="4" s="1"/>
  <c r="F163" i="4"/>
  <c r="E163" i="4"/>
  <c r="F162" i="4"/>
  <c r="E162" i="4"/>
  <c r="F161" i="4"/>
  <c r="E161" i="4"/>
  <c r="E160" i="4"/>
  <c r="F160" i="4" s="1"/>
  <c r="F159" i="4"/>
  <c r="E159" i="4"/>
  <c r="E158" i="4"/>
  <c r="F158" i="4" s="1"/>
  <c r="D155" i="4"/>
  <c r="D176" i="4" s="1"/>
  <c r="C155" i="4"/>
  <c r="F154" i="4"/>
  <c r="E154" i="4"/>
  <c r="F153" i="4"/>
  <c r="E153" i="4"/>
  <c r="E152" i="4"/>
  <c r="F152" i="4"/>
  <c r="F151" i="4"/>
  <c r="E151" i="4"/>
  <c r="F150" i="4"/>
  <c r="E150" i="4"/>
  <c r="F149" i="4"/>
  <c r="E149" i="4"/>
  <c r="F148" i="4"/>
  <c r="E148" i="4"/>
  <c r="F147" i="4"/>
  <c r="E147" i="4"/>
  <c r="F146" i="4"/>
  <c r="E146" i="4"/>
  <c r="E145" i="4"/>
  <c r="F145" i="4"/>
  <c r="E144" i="4"/>
  <c r="F144" i="4"/>
  <c r="E143" i="4"/>
  <c r="F143" i="4"/>
  <c r="F142" i="4"/>
  <c r="E142" i="4"/>
  <c r="F141" i="4"/>
  <c r="E141" i="4"/>
  <c r="E140" i="4"/>
  <c r="F140" i="4"/>
  <c r="F139" i="4"/>
  <c r="E139" i="4"/>
  <c r="E138" i="4"/>
  <c r="F138" i="4"/>
  <c r="F137" i="4"/>
  <c r="E137" i="4"/>
  <c r="F136" i="4"/>
  <c r="E136" i="4"/>
  <c r="F135" i="4"/>
  <c r="E135" i="4"/>
  <c r="E134" i="4"/>
  <c r="F134" i="4"/>
  <c r="F133" i="4"/>
  <c r="E133" i="4"/>
  <c r="E132" i="4"/>
  <c r="F132" i="4"/>
  <c r="F131" i="4"/>
  <c r="E131" i="4"/>
  <c r="E130" i="4"/>
  <c r="F130" i="4"/>
  <c r="E129" i="4"/>
  <c r="F129" i="4"/>
  <c r="E128" i="4"/>
  <c r="F128" i="4"/>
  <c r="E127" i="4"/>
  <c r="F127" i="4"/>
  <c r="F126" i="4"/>
  <c r="E126" i="4"/>
  <c r="E125" i="4"/>
  <c r="F125" i="4"/>
  <c r="E124" i="4"/>
  <c r="F124" i="4"/>
  <c r="E123" i="4"/>
  <c r="F123" i="4"/>
  <c r="E122" i="4"/>
  <c r="F122" i="4"/>
  <c r="E121" i="4"/>
  <c r="F121" i="4"/>
  <c r="D118" i="4"/>
  <c r="E118" i="4"/>
  <c r="C118" i="4"/>
  <c r="F118" i="4"/>
  <c r="E117" i="4"/>
  <c r="F117" i="4"/>
  <c r="E116" i="4"/>
  <c r="F116" i="4"/>
  <c r="E115" i="4"/>
  <c r="F115" i="4"/>
  <c r="E114" i="4"/>
  <c r="F114" i="4"/>
  <c r="E113" i="4"/>
  <c r="F113" i="4"/>
  <c r="F112" i="4"/>
  <c r="E112" i="4"/>
  <c r="D109" i="4"/>
  <c r="E109" i="4"/>
  <c r="C109" i="4"/>
  <c r="F109" i="4"/>
  <c r="E108" i="4"/>
  <c r="F108" i="4"/>
  <c r="E107" i="4"/>
  <c r="F107" i="4"/>
  <c r="E106" i="4"/>
  <c r="F106" i="4"/>
  <c r="E105" i="4"/>
  <c r="F105" i="4"/>
  <c r="F104" i="4"/>
  <c r="E104" i="4"/>
  <c r="E103" i="4"/>
  <c r="F103" i="4"/>
  <c r="E102" i="4"/>
  <c r="F102" i="4"/>
  <c r="E101" i="4"/>
  <c r="F101" i="4"/>
  <c r="E100" i="4"/>
  <c r="F100" i="4"/>
  <c r="F99" i="4"/>
  <c r="E99" i="4"/>
  <c r="E98" i="4"/>
  <c r="F98" i="4"/>
  <c r="E97" i="4"/>
  <c r="F97" i="4"/>
  <c r="E96" i="4"/>
  <c r="F96" i="4"/>
  <c r="E95" i="4"/>
  <c r="F95" i="4"/>
  <c r="E94" i="4"/>
  <c r="F94" i="4"/>
  <c r="E93" i="4"/>
  <c r="F93" i="4"/>
  <c r="E92" i="4"/>
  <c r="F92" i="4"/>
  <c r="E91" i="4"/>
  <c r="F91" i="4"/>
  <c r="E81" i="4"/>
  <c r="F81" i="4"/>
  <c r="D78" i="4"/>
  <c r="E78" i="4"/>
  <c r="C78" i="4"/>
  <c r="E77" i="4"/>
  <c r="F77" i="4" s="1"/>
  <c r="E76" i="4"/>
  <c r="F76" i="4" s="1"/>
  <c r="E75" i="4"/>
  <c r="F75" i="4" s="1"/>
  <c r="F74" i="4"/>
  <c r="E74" i="4"/>
  <c r="E73" i="4"/>
  <c r="F73" i="4" s="1"/>
  <c r="F72" i="4"/>
  <c r="E72" i="4"/>
  <c r="F71" i="4"/>
  <c r="E71" i="4"/>
  <c r="E70" i="4"/>
  <c r="F70" i="4" s="1"/>
  <c r="E69" i="4"/>
  <c r="F69" i="4" s="1"/>
  <c r="E68" i="4"/>
  <c r="F68" i="4" s="1"/>
  <c r="F67" i="4"/>
  <c r="E67" i="4"/>
  <c r="F66" i="4"/>
  <c r="E66" i="4"/>
  <c r="E65" i="4"/>
  <c r="F65" i="4" s="1"/>
  <c r="E64" i="4"/>
  <c r="F64" i="4" s="1"/>
  <c r="E63" i="4"/>
  <c r="F63" i="4" s="1"/>
  <c r="E62" i="4"/>
  <c r="F62" i="4" s="1"/>
  <c r="D59" i="4"/>
  <c r="E59" i="4" s="1"/>
  <c r="C59" i="4"/>
  <c r="F59" i="4" s="1"/>
  <c r="E58" i="4"/>
  <c r="F58" i="4" s="1"/>
  <c r="E57" i="4"/>
  <c r="F57" i="4" s="1"/>
  <c r="E56" i="4"/>
  <c r="F56" i="4" s="1"/>
  <c r="F55" i="4"/>
  <c r="E55" i="4"/>
  <c r="E54" i="4"/>
  <c r="F54" i="4" s="1"/>
  <c r="E53" i="4"/>
  <c r="F53" i="4" s="1"/>
  <c r="E50" i="4"/>
  <c r="F50" i="4" s="1"/>
  <c r="E47" i="4"/>
  <c r="F47" i="4" s="1"/>
  <c r="E44" i="4"/>
  <c r="F44" i="4" s="1"/>
  <c r="D41" i="4"/>
  <c r="D83" i="4" s="1"/>
  <c r="E41" i="4"/>
  <c r="C41" i="4"/>
  <c r="E40" i="4"/>
  <c r="F40" i="4" s="1"/>
  <c r="E39" i="4"/>
  <c r="F39" i="4" s="1"/>
  <c r="E38" i="4"/>
  <c r="F38" i="4" s="1"/>
  <c r="D35" i="4"/>
  <c r="E35" i="4" s="1"/>
  <c r="C35" i="4"/>
  <c r="C83" i="4" s="1"/>
  <c r="E83" i="4" s="1"/>
  <c r="F83" i="4" s="1"/>
  <c r="E34" i="4"/>
  <c r="F34" i="4" s="1"/>
  <c r="E33" i="4"/>
  <c r="F33" i="4" s="1"/>
  <c r="D30" i="4"/>
  <c r="E30" i="4" s="1"/>
  <c r="C30" i="4"/>
  <c r="F29" i="4"/>
  <c r="E29" i="4"/>
  <c r="E28" i="4"/>
  <c r="F28" i="4"/>
  <c r="F27" i="4"/>
  <c r="E27" i="4"/>
  <c r="D24" i="4"/>
  <c r="E24" i="4" s="1"/>
  <c r="F24" i="4" s="1"/>
  <c r="C24" i="4"/>
  <c r="E23" i="4"/>
  <c r="F23" i="4" s="1"/>
  <c r="E22" i="4"/>
  <c r="F22" i="4"/>
  <c r="E21" i="4"/>
  <c r="F21" i="4" s="1"/>
  <c r="D18" i="4"/>
  <c r="E18" i="4" s="1"/>
  <c r="C18" i="4"/>
  <c r="F18" i="4" s="1"/>
  <c r="E17" i="4"/>
  <c r="F17" i="4" s="1"/>
  <c r="F16" i="4"/>
  <c r="E16" i="4"/>
  <c r="E15" i="4"/>
  <c r="F15" i="4" s="1"/>
  <c r="D179" i="3"/>
  <c r="E179" i="3" s="1"/>
  <c r="F179" i="3" s="1"/>
  <c r="C179" i="3"/>
  <c r="F178" i="3"/>
  <c r="E178" i="3"/>
  <c r="E177" i="3"/>
  <c r="F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E166" i="3"/>
  <c r="C166" i="3"/>
  <c r="F165" i="3"/>
  <c r="E165" i="3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E153" i="3" s="1"/>
  <c r="C153" i="3"/>
  <c r="F152" i="3"/>
  <c r="E152" i="3"/>
  <c r="E151" i="3"/>
  <c r="F151" i="3" s="1"/>
  <c r="E150" i="3"/>
  <c r="F150" i="3" s="1"/>
  <c r="E149" i="3"/>
  <c r="F149" i="3" s="1"/>
  <c r="E148" i="3"/>
  <c r="F148" i="3" s="1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E137" i="3" s="1"/>
  <c r="C137" i="3"/>
  <c r="F136" i="3"/>
  <c r="E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E124" i="3"/>
  <c r="C124" i="3"/>
  <c r="F123" i="3"/>
  <c r="E123" i="3"/>
  <c r="E122" i="3"/>
  <c r="F122" i="3" s="1"/>
  <c r="F121" i="3"/>
  <c r="E121" i="3"/>
  <c r="E120" i="3"/>
  <c r="F120" i="3" s="1"/>
  <c r="F119" i="3"/>
  <c r="E119" i="3"/>
  <c r="E118" i="3"/>
  <c r="F118" i="3" s="1"/>
  <c r="F117" i="3"/>
  <c r="E117" i="3"/>
  <c r="E116" i="3"/>
  <c r="F116" i="3" s="1"/>
  <c r="F115" i="3"/>
  <c r="E115" i="3"/>
  <c r="E114" i="3"/>
  <c r="F114" i="3" s="1"/>
  <c r="F113" i="3"/>
  <c r="E113" i="3"/>
  <c r="D111" i="3"/>
  <c r="E111" i="3" s="1"/>
  <c r="C111" i="3"/>
  <c r="F110" i="3"/>
  <c r="E110" i="3"/>
  <c r="F109" i="3"/>
  <c r="E109" i="3"/>
  <c r="E108" i="3"/>
  <c r="F108" i="3" s="1"/>
  <c r="F107" i="3"/>
  <c r="E107" i="3"/>
  <c r="E106" i="3"/>
  <c r="F106" i="3" s="1"/>
  <c r="F105" i="3"/>
  <c r="E105" i="3"/>
  <c r="E104" i="3"/>
  <c r="F104" i="3" s="1"/>
  <c r="F103" i="3"/>
  <c r="E103" i="3"/>
  <c r="E102" i="3"/>
  <c r="F102" i="3" s="1"/>
  <c r="F101" i="3"/>
  <c r="E101" i="3"/>
  <c r="E100" i="3"/>
  <c r="F100" i="3" s="1"/>
  <c r="D94" i="3"/>
  <c r="E94" i="3" s="1"/>
  <c r="C94" i="3"/>
  <c r="F94" i="3" s="1"/>
  <c r="D93" i="3"/>
  <c r="E93" i="3" s="1"/>
  <c r="C93" i="3"/>
  <c r="D92" i="3"/>
  <c r="E92" i="3"/>
  <c r="C92" i="3"/>
  <c r="D91" i="3"/>
  <c r="E91" i="3" s="1"/>
  <c r="F91" i="3" s="1"/>
  <c r="C91" i="3"/>
  <c r="D90" i="3"/>
  <c r="E90" i="3"/>
  <c r="C90" i="3"/>
  <c r="D89" i="3"/>
  <c r="E89" i="3" s="1"/>
  <c r="C89" i="3"/>
  <c r="D88" i="3"/>
  <c r="E88" i="3"/>
  <c r="C88" i="3"/>
  <c r="D87" i="3"/>
  <c r="E87" i="3" s="1"/>
  <c r="F87" i="3" s="1"/>
  <c r="C87" i="3"/>
  <c r="D86" i="3"/>
  <c r="E86" i="3"/>
  <c r="C86" i="3"/>
  <c r="D85" i="3"/>
  <c r="E85" i="3" s="1"/>
  <c r="C85" i="3"/>
  <c r="D84" i="3"/>
  <c r="D95" i="3"/>
  <c r="C84" i="3"/>
  <c r="C95" i="3"/>
  <c r="D81" i="3"/>
  <c r="E81" i="3"/>
  <c r="C81" i="3"/>
  <c r="F80" i="3"/>
  <c r="E80" i="3"/>
  <c r="E79" i="3"/>
  <c r="F79" i="3" s="1"/>
  <c r="F78" i="3"/>
  <c r="E78" i="3"/>
  <c r="E77" i="3"/>
  <c r="F77" i="3" s="1"/>
  <c r="F76" i="3"/>
  <c r="E76" i="3"/>
  <c r="E75" i="3"/>
  <c r="F75" i="3" s="1"/>
  <c r="F74" i="3"/>
  <c r="E74" i="3"/>
  <c r="E73" i="3"/>
  <c r="F73" i="3" s="1"/>
  <c r="F72" i="3"/>
  <c r="E72" i="3"/>
  <c r="E71" i="3"/>
  <c r="F71" i="3" s="1"/>
  <c r="F70" i="3"/>
  <c r="E70" i="3"/>
  <c r="D68" i="3"/>
  <c r="E68" i="3" s="1"/>
  <c r="C68" i="3"/>
  <c r="F67" i="3"/>
  <c r="E67" i="3"/>
  <c r="E66" i="3"/>
  <c r="F66" i="3" s="1"/>
  <c r="E65" i="3"/>
  <c r="F65" i="3"/>
  <c r="E64" i="3"/>
  <c r="F64" i="3" s="1"/>
  <c r="E63" i="3"/>
  <c r="F63" i="3"/>
  <c r="E62" i="3"/>
  <c r="F62" i="3" s="1"/>
  <c r="E61" i="3"/>
  <c r="F61" i="3"/>
  <c r="E60" i="3"/>
  <c r="F60" i="3" s="1"/>
  <c r="E59" i="3"/>
  <c r="F59" i="3"/>
  <c r="E58" i="3"/>
  <c r="F58" i="3" s="1"/>
  <c r="E57" i="3"/>
  <c r="F57" i="3"/>
  <c r="D51" i="3"/>
  <c r="E51" i="3"/>
  <c r="C51" i="3"/>
  <c r="F51" i="3"/>
  <c r="D50" i="3"/>
  <c r="C50" i="3"/>
  <c r="D49" i="3"/>
  <c r="E49" i="3"/>
  <c r="C49" i="3"/>
  <c r="D48" i="3"/>
  <c r="E48" i="3" s="1"/>
  <c r="F48" i="3" s="1"/>
  <c r="C48" i="3"/>
  <c r="D47" i="3"/>
  <c r="E47" i="3" s="1"/>
  <c r="F47" i="3" s="1"/>
  <c r="C47" i="3"/>
  <c r="D46" i="3"/>
  <c r="C46" i="3"/>
  <c r="D45" i="3"/>
  <c r="E45" i="3"/>
  <c r="C45" i="3"/>
  <c r="D44" i="3"/>
  <c r="E44" i="3" s="1"/>
  <c r="C44" i="3"/>
  <c r="D43" i="3"/>
  <c r="E43" i="3" s="1"/>
  <c r="F43" i="3" s="1"/>
  <c r="C43" i="3"/>
  <c r="D42" i="3"/>
  <c r="C42" i="3"/>
  <c r="D41" i="3"/>
  <c r="D52" i="3"/>
  <c r="C41" i="3"/>
  <c r="C52" i="3"/>
  <c r="D38" i="3"/>
  <c r="E38" i="3" s="1"/>
  <c r="C38" i="3"/>
  <c r="F37" i="3"/>
  <c r="E37" i="3"/>
  <c r="E36" i="3"/>
  <c r="F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E25" i="3"/>
  <c r="C25" i="3"/>
  <c r="F24" i="3"/>
  <c r="E24" i="3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C46" i="2"/>
  <c r="E46" i="2"/>
  <c r="F45" i="2"/>
  <c r="E45" i="2"/>
  <c r="F44" i="2"/>
  <c r="E44" i="2"/>
  <c r="D39" i="2"/>
  <c r="E39" i="2" s="1"/>
  <c r="C39" i="2"/>
  <c r="E38" i="2"/>
  <c r="F38" i="2"/>
  <c r="F37" i="2"/>
  <c r="E37" i="2"/>
  <c r="E36" i="2"/>
  <c r="F36" i="2"/>
  <c r="D31" i="2"/>
  <c r="E31" i="2" s="1"/>
  <c r="F31" i="2" s="1"/>
  <c r="C31" i="2"/>
  <c r="E30" i="2"/>
  <c r="F30" i="2" s="1"/>
  <c r="E29" i="2"/>
  <c r="F29" i="2"/>
  <c r="E28" i="2"/>
  <c r="F28" i="2" s="1"/>
  <c r="E27" i="2"/>
  <c r="F27" i="2"/>
  <c r="E26" i="2"/>
  <c r="F26" i="2" s="1"/>
  <c r="E25" i="2"/>
  <c r="F25" i="2"/>
  <c r="E24" i="2"/>
  <c r="F24" i="2" s="1"/>
  <c r="E23" i="2"/>
  <c r="F23" i="2"/>
  <c r="E22" i="2"/>
  <c r="F22" i="2" s="1"/>
  <c r="F18" i="2"/>
  <c r="E18" i="2"/>
  <c r="E17" i="2"/>
  <c r="F17" i="2" s="1"/>
  <c r="D16" i="2"/>
  <c r="E16" i="2" s="1"/>
  <c r="C16" i="2"/>
  <c r="F16" i="2" s="1"/>
  <c r="F15" i="2"/>
  <c r="E15" i="2"/>
  <c r="F14" i="2"/>
  <c r="E14" i="2"/>
  <c r="E13" i="2"/>
  <c r="F13" i="2" s="1"/>
  <c r="F12" i="2"/>
  <c r="E12" i="2"/>
  <c r="D73" i="1"/>
  <c r="E73" i="1" s="1"/>
  <c r="F73" i="1" s="1"/>
  <c r="C73" i="1"/>
  <c r="E72" i="1"/>
  <c r="F72" i="1"/>
  <c r="E71" i="1"/>
  <c r="F71" i="1" s="1"/>
  <c r="E70" i="1"/>
  <c r="F70" i="1"/>
  <c r="F67" i="1"/>
  <c r="E67" i="1"/>
  <c r="E64" i="1"/>
  <c r="F64" i="1"/>
  <c r="E63" i="1"/>
  <c r="F63" i="1" s="1"/>
  <c r="D61" i="1"/>
  <c r="E61" i="1" s="1"/>
  <c r="F61" i="1" s="1"/>
  <c r="C61" i="1"/>
  <c r="E60" i="1"/>
  <c r="F60" i="1"/>
  <c r="E59" i="1"/>
  <c r="F59" i="1" s="1"/>
  <c r="D56" i="1"/>
  <c r="C56" i="1"/>
  <c r="E56" i="1" s="1"/>
  <c r="E55" i="1"/>
  <c r="F55" i="1" s="1"/>
  <c r="F54" i="1"/>
  <c r="E54" i="1"/>
  <c r="E53" i="1"/>
  <c r="F53" i="1" s="1"/>
  <c r="F52" i="1"/>
  <c r="E52" i="1"/>
  <c r="E51" i="1"/>
  <c r="F51" i="1"/>
  <c r="E50" i="1"/>
  <c r="F50" i="1"/>
  <c r="A50" i="1"/>
  <c r="A51" i="1"/>
  <c r="A52" i="1" s="1"/>
  <c r="A53" i="1" s="1"/>
  <c r="A54" i="1" s="1"/>
  <c r="A55" i="1" s="1"/>
  <c r="E49" i="1"/>
  <c r="F49" i="1"/>
  <c r="F40" i="1"/>
  <c r="E40" i="1"/>
  <c r="D38" i="1"/>
  <c r="D41" i="1"/>
  <c r="C38" i="1"/>
  <c r="C41" i="1"/>
  <c r="E37" i="1"/>
  <c r="F37" i="1"/>
  <c r="E36" i="1"/>
  <c r="F36" i="1" s="1"/>
  <c r="E33" i="1"/>
  <c r="F33" i="1" s="1"/>
  <c r="E32" i="1"/>
  <c r="F32" i="1" s="1"/>
  <c r="E31" i="1"/>
  <c r="F31" i="1" s="1"/>
  <c r="D29" i="1"/>
  <c r="E29" i="1" s="1"/>
  <c r="C29" i="1"/>
  <c r="F29" i="1" s="1"/>
  <c r="E28" i="1"/>
  <c r="F28" i="1" s="1"/>
  <c r="F27" i="1"/>
  <c r="E27" i="1"/>
  <c r="F26" i="1"/>
  <c r="E26" i="1"/>
  <c r="E25" i="1"/>
  <c r="F25" i="1" s="1"/>
  <c r="D22" i="1"/>
  <c r="E22" i="1" s="1"/>
  <c r="C22" i="1"/>
  <c r="F22" i="1" s="1"/>
  <c r="E21" i="1"/>
  <c r="F21" i="1"/>
  <c r="E20" i="1"/>
  <c r="F20" i="1" s="1"/>
  <c r="E19" i="1"/>
  <c r="F19" i="1"/>
  <c r="F18" i="1"/>
  <c r="E18" i="1"/>
  <c r="F17" i="1"/>
  <c r="E17" i="1"/>
  <c r="E16" i="1"/>
  <c r="F16" i="1" s="1"/>
  <c r="E15" i="1"/>
  <c r="F15" i="1"/>
  <c r="E14" i="1"/>
  <c r="F14" i="1" s="1"/>
  <c r="E13" i="1"/>
  <c r="F13" i="1"/>
  <c r="F44" i="14"/>
  <c r="F67" i="14"/>
  <c r="F155" i="14"/>
  <c r="D68" i="14"/>
  <c r="D111" i="14"/>
  <c r="D190" i="14"/>
  <c r="D215" i="14"/>
  <c r="D255" i="14"/>
  <c r="D283" i="14"/>
  <c r="D199" i="14"/>
  <c r="D216" i="14"/>
  <c r="D278" i="14"/>
  <c r="F164" i="14"/>
  <c r="E278" i="14"/>
  <c r="D206" i="14"/>
  <c r="D205" i="14"/>
  <c r="D239" i="14"/>
  <c r="D261" i="14"/>
  <c r="D254" i="14"/>
  <c r="C43" i="1"/>
  <c r="F45" i="3"/>
  <c r="F49" i="3"/>
  <c r="F124" i="3"/>
  <c r="C139" i="5"/>
  <c r="C135" i="5"/>
  <c r="C137" i="5"/>
  <c r="C136" i="5"/>
  <c r="C140" i="5"/>
  <c r="C138" i="5"/>
  <c r="E41" i="1"/>
  <c r="F41" i="1" s="1"/>
  <c r="E95" i="3"/>
  <c r="F95" i="3"/>
  <c r="D157" i="5"/>
  <c r="C21" i="10"/>
  <c r="C33" i="9"/>
  <c r="D36" i="11"/>
  <c r="D38" i="11"/>
  <c r="D40" i="11" s="1"/>
  <c r="F33" i="11"/>
  <c r="F36" i="11" s="1"/>
  <c r="F38" i="11" s="1"/>
  <c r="F40" i="11" s="1"/>
  <c r="F41" i="4"/>
  <c r="E38" i="1"/>
  <c r="F38" i="1"/>
  <c r="E41" i="3"/>
  <c r="F41" i="3"/>
  <c r="E84" i="3"/>
  <c r="F84" i="3"/>
  <c r="E43" i="5"/>
  <c r="C53" i="5"/>
  <c r="D109" i="5"/>
  <c r="D106" i="5"/>
  <c r="E140" i="5"/>
  <c r="E122" i="7"/>
  <c r="F122" i="7" s="1"/>
  <c r="E21" i="10"/>
  <c r="D284" i="15"/>
  <c r="C25" i="5"/>
  <c r="C27" i="5"/>
  <c r="E49" i="5"/>
  <c r="C57" i="5"/>
  <c r="C62" i="5" s="1"/>
  <c r="D149" i="5"/>
  <c r="D207" i="6"/>
  <c r="E207" i="6"/>
  <c r="F207" i="6" s="1"/>
  <c r="D75" i="8"/>
  <c r="E75" i="8" s="1"/>
  <c r="F75" i="8" s="1"/>
  <c r="D88" i="5"/>
  <c r="D90" i="5"/>
  <c r="D86" i="5" s="1"/>
  <c r="D77" i="5"/>
  <c r="D71" i="5" s="1"/>
  <c r="D24" i="10"/>
  <c r="D17" i="10"/>
  <c r="D28" i="10"/>
  <c r="D70" i="10" s="1"/>
  <c r="D72" i="10"/>
  <c r="D69" i="10" s="1"/>
  <c r="D33" i="9"/>
  <c r="D41" i="9" s="1"/>
  <c r="E41" i="9" s="1"/>
  <c r="E19" i="9"/>
  <c r="F19" i="9"/>
  <c r="E36" i="11"/>
  <c r="E38" i="11"/>
  <c r="E40" i="11" s="1"/>
  <c r="G33" i="11"/>
  <c r="G36" i="11" s="1"/>
  <c r="G38" i="11"/>
  <c r="G40" i="11" s="1"/>
  <c r="C176" i="4"/>
  <c r="E176" i="4" s="1"/>
  <c r="D17" i="5"/>
  <c r="E138" i="5"/>
  <c r="D208" i="6"/>
  <c r="E208" i="6" s="1"/>
  <c r="F121" i="7"/>
  <c r="C283" i="15"/>
  <c r="E283" i="15" s="1"/>
  <c r="C22" i="15"/>
  <c r="E22" i="15"/>
  <c r="E215" i="15"/>
  <c r="D239" i="15"/>
  <c r="E239" i="15" s="1"/>
  <c r="E219" i="15"/>
  <c r="D243" i="15"/>
  <c r="D217" i="15"/>
  <c r="E251" i="15"/>
  <c r="C64" i="16"/>
  <c r="C49" i="16"/>
  <c r="D270" i="14"/>
  <c r="E22" i="8"/>
  <c r="F22" i="8"/>
  <c r="E56" i="8"/>
  <c r="F56" i="8"/>
  <c r="E61" i="8"/>
  <c r="F61" i="8"/>
  <c r="E16" i="9"/>
  <c r="F16" i="9"/>
  <c r="D25" i="10"/>
  <c r="D27" i="10"/>
  <c r="D48" i="10"/>
  <c r="D42" i="10"/>
  <c r="D31" i="11"/>
  <c r="F31" i="11"/>
  <c r="C21" i="14"/>
  <c r="E29" i="14"/>
  <c r="F29" i="14" s="1"/>
  <c r="C32" i="14"/>
  <c r="E47" i="14"/>
  <c r="F47" i="14"/>
  <c r="E58" i="14"/>
  <c r="F58" i="14"/>
  <c r="C77" i="14"/>
  <c r="E77" i="14"/>
  <c r="C89" i="14"/>
  <c r="E101" i="14"/>
  <c r="F101" i="14" s="1"/>
  <c r="C192" i="14"/>
  <c r="E192" i="14" s="1"/>
  <c r="E135" i="14"/>
  <c r="F135" i="14"/>
  <c r="C138" i="14"/>
  <c r="E145" i="14"/>
  <c r="F145" i="14" s="1"/>
  <c r="E158" i="14"/>
  <c r="F158" i="14" s="1"/>
  <c r="E204" i="14"/>
  <c r="F223" i="14"/>
  <c r="E264" i="14"/>
  <c r="C267" i="14"/>
  <c r="D294" i="15"/>
  <c r="E39" i="15"/>
  <c r="E75" i="15"/>
  <c r="D88" i="15"/>
  <c r="E151" i="15"/>
  <c r="D163" i="15"/>
  <c r="E166" i="15"/>
  <c r="C303" i="15"/>
  <c r="C306" i="15"/>
  <c r="C310" i="15" s="1"/>
  <c r="D330" i="15"/>
  <c r="F36" i="17"/>
  <c r="E306" i="14"/>
  <c r="F204" i="14"/>
  <c r="C269" i="14"/>
  <c r="E238" i="14"/>
  <c r="F238" i="14" s="1"/>
  <c r="F264" i="14"/>
  <c r="E299" i="14"/>
  <c r="F299" i="14"/>
  <c r="D258" i="15"/>
  <c r="D98" i="15"/>
  <c r="D87" i="15"/>
  <c r="D83" i="15"/>
  <c r="D101" i="15"/>
  <c r="D97" i="15"/>
  <c r="D86" i="15"/>
  <c r="C76" i="15"/>
  <c r="E70" i="15"/>
  <c r="C175" i="15"/>
  <c r="C163" i="15"/>
  <c r="E139" i="15"/>
  <c r="C261" i="15"/>
  <c r="E188" i="15"/>
  <c r="D229" i="15"/>
  <c r="E229" i="15" s="1"/>
  <c r="D210" i="15"/>
  <c r="D175" i="15"/>
  <c r="E175" i="15"/>
  <c r="C108" i="19"/>
  <c r="C109" i="19"/>
  <c r="D175" i="14"/>
  <c r="D62" i="14"/>
  <c r="D105" i="14"/>
  <c r="D207" i="14"/>
  <c r="D208" i="14" s="1"/>
  <c r="D138" i="14"/>
  <c r="D140" i="14"/>
  <c r="D272" i="14"/>
  <c r="D41" i="8"/>
  <c r="F52" i="14"/>
  <c r="F66" i="14"/>
  <c r="C68" i="14"/>
  <c r="F76" i="14"/>
  <c r="F88" i="14"/>
  <c r="C111" i="14"/>
  <c r="F171" i="14"/>
  <c r="C193" i="14"/>
  <c r="C215" i="14"/>
  <c r="F229" i="14"/>
  <c r="F296" i="14"/>
  <c r="D85" i="15"/>
  <c r="D96" i="15"/>
  <c r="D102" i="15" s="1"/>
  <c r="D103" i="15" s="1"/>
  <c r="C65" i="16"/>
  <c r="C114" i="16" s="1"/>
  <c r="C116" i="16"/>
  <c r="C119" i="16" s="1"/>
  <c r="C123" i="16" s="1"/>
  <c r="C262" i="14"/>
  <c r="E262" i="14"/>
  <c r="C255" i="14"/>
  <c r="E255" i="14"/>
  <c r="E189" i="14"/>
  <c r="F189" i="14"/>
  <c r="C280" i="14"/>
  <c r="C200" i="14"/>
  <c r="C274" i="14"/>
  <c r="E250" i="14"/>
  <c r="F250" i="14" s="1"/>
  <c r="E295" i="14"/>
  <c r="F295" i="14" s="1"/>
  <c r="C289" i="15"/>
  <c r="E289" i="15" s="1"/>
  <c r="E60" i="15"/>
  <c r="D168" i="15"/>
  <c r="D240" i="15"/>
  <c r="D222" i="15"/>
  <c r="D223" i="15" s="1"/>
  <c r="E112" i="7"/>
  <c r="F112" i="7"/>
  <c r="E113" i="7"/>
  <c r="F113" i="7"/>
  <c r="G17" i="11"/>
  <c r="C48" i="14"/>
  <c r="C102" i="14"/>
  <c r="E137" i="14"/>
  <c r="F137" i="14"/>
  <c r="F144" i="14"/>
  <c r="C159" i="14"/>
  <c r="F170" i="14"/>
  <c r="C181" i="14"/>
  <c r="C55" i="15"/>
  <c r="E55" i="15"/>
  <c r="D66" i="15"/>
  <c r="E71" i="15"/>
  <c r="D84" i="15"/>
  <c r="D90" i="15" s="1"/>
  <c r="D95" i="15"/>
  <c r="E156" i="15"/>
  <c r="E189" i="15"/>
  <c r="E230" i="15"/>
  <c r="D260" i="15"/>
  <c r="E260" i="15" s="1"/>
  <c r="E287" i="15"/>
  <c r="E291" i="15"/>
  <c r="E301" i="15"/>
  <c r="E314" i="15"/>
  <c r="D41" i="17"/>
  <c r="D139" i="14"/>
  <c r="D268" i="14"/>
  <c r="E203" i="14"/>
  <c r="F203" i="14" s="1"/>
  <c r="C283" i="14"/>
  <c r="E283" i="14" s="1"/>
  <c r="C254" i="14"/>
  <c r="F226" i="14"/>
  <c r="C227" i="14"/>
  <c r="C288" i="14"/>
  <c r="F278" i="14"/>
  <c r="E21" i="15"/>
  <c r="D283" i="15"/>
  <c r="C217" i="15"/>
  <c r="C241" i="15" s="1"/>
  <c r="C242" i="15"/>
  <c r="E242" i="15"/>
  <c r="E218" i="15"/>
  <c r="E233" i="15"/>
  <c r="F35" i="14"/>
  <c r="C37" i="14"/>
  <c r="C172" i="14"/>
  <c r="C205" i="14"/>
  <c r="C214" i="14"/>
  <c r="C33" i="15"/>
  <c r="E33" i="15" s="1"/>
  <c r="C43" i="15"/>
  <c r="D89" i="15"/>
  <c r="D100" i="15"/>
  <c r="C144" i="15"/>
  <c r="E316" i="15"/>
  <c r="F16" i="17"/>
  <c r="E40" i="17"/>
  <c r="C261" i="14"/>
  <c r="C20" i="17"/>
  <c r="E20" i="17" s="1"/>
  <c r="C40" i="17"/>
  <c r="C46" i="17"/>
  <c r="E22" i="19"/>
  <c r="C33" i="19"/>
  <c r="D34" i="19"/>
  <c r="D77" i="19"/>
  <c r="D108" i="19" s="1"/>
  <c r="C101" i="19"/>
  <c r="C103" i="19"/>
  <c r="D161" i="14"/>
  <c r="D174" i="14"/>
  <c r="D193" i="14"/>
  <c r="D282" i="14"/>
  <c r="D263" i="14"/>
  <c r="D271" i="14"/>
  <c r="D304" i="14" s="1"/>
  <c r="D277" i="14"/>
  <c r="D285" i="14"/>
  <c r="F33" i="17"/>
  <c r="D22" i="19"/>
  <c r="E23" i="19"/>
  <c r="C54" i="19"/>
  <c r="D124" i="14"/>
  <c r="D125" i="14"/>
  <c r="D160" i="14"/>
  <c r="D200" i="14"/>
  <c r="E200" i="14" s="1"/>
  <c r="F200" i="14"/>
  <c r="D266" i="14"/>
  <c r="D274" i="14"/>
  <c r="D280" i="14"/>
  <c r="D281" i="14" s="1"/>
  <c r="E39" i="17"/>
  <c r="E41" i="17"/>
  <c r="E43" i="17"/>
  <c r="D23" i="19"/>
  <c r="D40" i="19"/>
  <c r="E33" i="19"/>
  <c r="C111" i="19"/>
  <c r="D49" i="14"/>
  <c r="D91" i="14"/>
  <c r="D104" i="14"/>
  <c r="C30" i="19"/>
  <c r="C36" i="19"/>
  <c r="C40" i="19"/>
  <c r="E77" i="19"/>
  <c r="E111" i="19"/>
  <c r="D126" i="14"/>
  <c r="D46" i="19"/>
  <c r="D36" i="19"/>
  <c r="D111" i="19"/>
  <c r="E54" i="19"/>
  <c r="E46" i="19"/>
  <c r="E40" i="19"/>
  <c r="E36" i="19"/>
  <c r="E30" i="19"/>
  <c r="E109" i="19"/>
  <c r="D50" i="14"/>
  <c r="E37" i="14"/>
  <c r="D127" i="14"/>
  <c r="C56" i="19"/>
  <c r="C38" i="19"/>
  <c r="D92" i="14"/>
  <c r="D113" i="14" s="1"/>
  <c r="D45" i="19"/>
  <c r="D110" i="19"/>
  <c r="D273" i="14"/>
  <c r="D162" i="14"/>
  <c r="C173" i="14"/>
  <c r="E172" i="14"/>
  <c r="F172" i="14"/>
  <c r="E227" i="14"/>
  <c r="F227" i="14" s="1"/>
  <c r="E159" i="14"/>
  <c r="C103" i="14"/>
  <c r="E103" i="14" s="1"/>
  <c r="E102" i="14"/>
  <c r="F102" i="14"/>
  <c r="E215" i="14"/>
  <c r="F215" i="14" s="1"/>
  <c r="D106" i="14"/>
  <c r="D176" i="14"/>
  <c r="E269" i="14"/>
  <c r="F269" i="14"/>
  <c r="E21" i="14"/>
  <c r="F21" i="14" s="1"/>
  <c r="C91" i="14"/>
  <c r="E243" i="15"/>
  <c r="D252" i="15"/>
  <c r="E33" i="9"/>
  <c r="F33" i="9" s="1"/>
  <c r="F40" i="17"/>
  <c r="D265" i="14"/>
  <c r="D288" i="14"/>
  <c r="E288" i="14" s="1"/>
  <c r="F288" i="14"/>
  <c r="F39" i="17"/>
  <c r="C284" i="15"/>
  <c r="C268" i="14"/>
  <c r="C271" i="14"/>
  <c r="C263" i="14"/>
  <c r="E263" i="14" s="1"/>
  <c r="F263" i="14"/>
  <c r="E261" i="14"/>
  <c r="F261" i="14"/>
  <c r="E240" i="15"/>
  <c r="D253" i="15"/>
  <c r="F262" i="14"/>
  <c r="C272" i="14"/>
  <c r="E272" i="14"/>
  <c r="E111" i="14"/>
  <c r="F192" i="14"/>
  <c r="D21" i="10"/>
  <c r="D241" i="15"/>
  <c r="E241" i="15" s="1"/>
  <c r="D287" i="14"/>
  <c r="D279" i="14"/>
  <c r="D284" i="14"/>
  <c r="D109" i="19"/>
  <c r="E110" i="19"/>
  <c r="E53" i="19"/>
  <c r="E45" i="19"/>
  <c r="E39" i="19"/>
  <c r="E35" i="19"/>
  <c r="E29" i="19"/>
  <c r="E205" i="14"/>
  <c r="C286" i="14"/>
  <c r="F283" i="14"/>
  <c r="E280" i="14"/>
  <c r="F280" i="14" s="1"/>
  <c r="D194" i="14"/>
  <c r="C216" i="14"/>
  <c r="E214" i="14"/>
  <c r="F214" i="14"/>
  <c r="E254" i="14"/>
  <c r="F254" i="14"/>
  <c r="E181" i="14"/>
  <c r="D246" i="15"/>
  <c r="E68" i="14"/>
  <c r="F68" i="14" s="1"/>
  <c r="D63" i="14"/>
  <c r="D70" i="14" s="1"/>
  <c r="E32" i="14"/>
  <c r="C175" i="14"/>
  <c r="D139" i="5"/>
  <c r="C41" i="9"/>
  <c r="C41" i="17"/>
  <c r="F41" i="17" s="1"/>
  <c r="F20" i="17"/>
  <c r="F255" i="14"/>
  <c r="C282" i="14"/>
  <c r="C304" i="14"/>
  <c r="E138" i="14"/>
  <c r="E163" i="15"/>
  <c r="C300" i="14"/>
  <c r="C207" i="14"/>
  <c r="F176" i="4"/>
  <c r="C90" i="14"/>
  <c r="E90" i="14" s="1"/>
  <c r="C160" i="14"/>
  <c r="E160" i="14" s="1"/>
  <c r="F160" i="14" s="1"/>
  <c r="C270" i="14"/>
  <c r="E270" i="14"/>
  <c r="F270" i="14" s="1"/>
  <c r="E89" i="14"/>
  <c r="F89" i="14" s="1"/>
  <c r="D112" i="5"/>
  <c r="D111" i="5" s="1"/>
  <c r="D28" i="5"/>
  <c r="F138" i="14"/>
  <c r="E267" i="14"/>
  <c r="F267" i="14"/>
  <c r="D295" i="15"/>
  <c r="C141" i="5"/>
  <c r="C48" i="9"/>
  <c r="F48" i="9" s="1"/>
  <c r="D247" i="15"/>
  <c r="D196" i="14"/>
  <c r="C92" i="14"/>
  <c r="E92" i="14" s="1"/>
  <c r="F92" i="14" s="1"/>
  <c r="E304" i="14"/>
  <c r="F304" i="14" s="1"/>
  <c r="D324" i="14"/>
  <c r="E175" i="14"/>
  <c r="D48" i="9"/>
  <c r="E48" i="9" s="1"/>
  <c r="F41" i="9"/>
  <c r="E173" i="14"/>
  <c r="E91" i="14"/>
  <c r="D99" i="5"/>
  <c r="D101" i="5" s="1"/>
  <c r="D98" i="5" s="1"/>
  <c r="F90" i="14"/>
  <c r="C208" i="14"/>
  <c r="E216" i="14"/>
  <c r="E47" i="19"/>
  <c r="E37" i="19"/>
  <c r="E112" i="19"/>
  <c r="E55" i="19"/>
  <c r="C273" i="14"/>
  <c r="F103" i="14"/>
  <c r="E48" i="19"/>
  <c r="E38" i="19"/>
  <c r="E113" i="19"/>
  <c r="E56" i="19"/>
  <c r="E268" i="14"/>
  <c r="F268" i="14" s="1"/>
  <c r="C281" i="14"/>
  <c r="E281" i="14" s="1"/>
  <c r="F281" i="14" s="1"/>
  <c r="E271" i="14"/>
  <c r="F271" i="14"/>
  <c r="D291" i="14"/>
  <c r="E291" i="14" s="1"/>
  <c r="F291" i="14" s="1"/>
  <c r="D289" i="14"/>
  <c r="D254" i="15"/>
  <c r="D183" i="14"/>
  <c r="D323" i="14"/>
  <c r="E282" i="14"/>
  <c r="F282" i="14" s="1"/>
  <c r="F272" i="14"/>
  <c r="D197" i="14"/>
  <c r="E273" i="14"/>
  <c r="F273" i="14"/>
  <c r="D305" i="14"/>
  <c r="C210" i="14"/>
  <c r="D309" i="14"/>
  <c r="D310" i="14"/>
  <c r="D312" i="14" s="1"/>
  <c r="F56" i="1"/>
  <c r="F39" i="2"/>
  <c r="F25" i="3"/>
  <c r="E52" i="3"/>
  <c r="D141" i="14"/>
  <c r="D322" i="14" s="1"/>
  <c r="C21" i="5"/>
  <c r="F52" i="3"/>
  <c r="E108" i="19"/>
  <c r="D54" i="19"/>
  <c r="D30" i="19"/>
  <c r="C65" i="1"/>
  <c r="C75" i="1" s="1"/>
  <c r="D65" i="1"/>
  <c r="C19" i="2"/>
  <c r="F19" i="2" s="1"/>
  <c r="D19" i="2"/>
  <c r="F46" i="2"/>
  <c r="F68" i="3"/>
  <c r="F81" i="3"/>
  <c r="F85" i="3"/>
  <c r="F86" i="3"/>
  <c r="F88" i="3"/>
  <c r="F89" i="3"/>
  <c r="F90" i="3"/>
  <c r="F92" i="3"/>
  <c r="F93" i="3"/>
  <c r="F137" i="3"/>
  <c r="F166" i="3"/>
  <c r="F30" i="4"/>
  <c r="F78" i="4"/>
  <c r="E155" i="4"/>
  <c r="F155" i="4"/>
  <c r="D25" i="5"/>
  <c r="D27" i="5"/>
  <c r="D20" i="5" s="1"/>
  <c r="D57" i="5"/>
  <c r="D62" i="5" s="1"/>
  <c r="D43" i="5"/>
  <c r="D53" i="5"/>
  <c r="C77" i="5"/>
  <c r="C71" i="5" s="1"/>
  <c r="E77" i="5"/>
  <c r="E71" i="5" s="1"/>
  <c r="F114" i="6"/>
  <c r="F128" i="6"/>
  <c r="F24" i="7"/>
  <c r="F117" i="7"/>
  <c r="F118" i="7"/>
  <c r="F119" i="7"/>
  <c r="F120" i="7"/>
  <c r="F38" i="8"/>
  <c r="F35" i="4"/>
  <c r="F115" i="6"/>
  <c r="F127" i="6"/>
  <c r="G31" i="11"/>
  <c r="E200" i="6"/>
  <c r="F200" i="6" s="1"/>
  <c r="E201" i="6"/>
  <c r="F201" i="6" s="1"/>
  <c r="E204" i="6"/>
  <c r="F204" i="6" s="1"/>
  <c r="E205" i="6"/>
  <c r="F205" i="6" s="1"/>
  <c r="E23" i="7"/>
  <c r="F23" i="7" s="1"/>
  <c r="E35" i="7"/>
  <c r="F35" i="7" s="1"/>
  <c r="E36" i="7"/>
  <c r="F36" i="7" s="1"/>
  <c r="E59" i="7"/>
  <c r="F59" i="7" s="1"/>
  <c r="E60" i="7"/>
  <c r="F60" i="7" s="1"/>
  <c r="E107" i="7"/>
  <c r="F107" i="7" s="1"/>
  <c r="E108" i="7"/>
  <c r="F108" i="7" s="1"/>
  <c r="F73" i="8"/>
  <c r="F31" i="9"/>
  <c r="F39" i="9"/>
  <c r="C15" i="10"/>
  <c r="E15" i="10"/>
  <c r="E24" i="10" s="1"/>
  <c r="E20" i="10" s="1"/>
  <c r="F16" i="12"/>
  <c r="F23" i="12"/>
  <c r="F30" i="12"/>
  <c r="F45" i="12"/>
  <c r="F50" i="12"/>
  <c r="F55" i="12"/>
  <c r="E60" i="12"/>
  <c r="F60" i="12"/>
  <c r="F65" i="12"/>
  <c r="F70" i="12"/>
  <c r="E75" i="12"/>
  <c r="F75" i="12"/>
  <c r="F84" i="12"/>
  <c r="F92" i="12"/>
  <c r="F99" i="12"/>
  <c r="F13" i="13"/>
  <c r="F17" i="13"/>
  <c r="F21" i="13"/>
  <c r="F17" i="14"/>
  <c r="F24" i="14"/>
  <c r="E30" i="14"/>
  <c r="F30" i="14"/>
  <c r="F59" i="14"/>
  <c r="C60" i="14"/>
  <c r="C61" i="14" s="1"/>
  <c r="F94" i="14"/>
  <c r="F109" i="14"/>
  <c r="E110" i="14"/>
  <c r="F110" i="14"/>
  <c r="E157" i="15"/>
  <c r="C208" i="6"/>
  <c r="E48" i="10"/>
  <c r="E42" i="10"/>
  <c r="F36" i="14"/>
  <c r="F165" i="14"/>
  <c r="E165" i="14"/>
  <c r="E188" i="14"/>
  <c r="F188" i="14" s="1"/>
  <c r="C190" i="14"/>
  <c r="E190" i="14" s="1"/>
  <c r="F190" i="14" s="1"/>
  <c r="C199" i="14"/>
  <c r="E199" i="14"/>
  <c r="E230" i="14"/>
  <c r="F230" i="14"/>
  <c r="C277" i="14"/>
  <c r="E294" i="14"/>
  <c r="F294" i="14" s="1"/>
  <c r="F297" i="14"/>
  <c r="E307" i="14"/>
  <c r="F307" i="14"/>
  <c r="E320" i="15"/>
  <c r="F130" i="14"/>
  <c r="C146" i="14"/>
  <c r="C206" i="14"/>
  <c r="E206" i="14" s="1"/>
  <c r="E191" i="14"/>
  <c r="F191" i="14"/>
  <c r="E198" i="14"/>
  <c r="F198" i="14"/>
  <c r="E36" i="15"/>
  <c r="C65" i="15"/>
  <c r="C294" i="15" s="1"/>
  <c r="E294" i="15" s="1"/>
  <c r="E178" i="15"/>
  <c r="C252" i="15"/>
  <c r="E252" i="15" s="1"/>
  <c r="D261" i="15"/>
  <c r="C210" i="15"/>
  <c r="D244" i="15"/>
  <c r="E244" i="15" s="1"/>
  <c r="C245" i="15"/>
  <c r="C253" i="15" s="1"/>
  <c r="E253" i="15" s="1"/>
  <c r="D302" i="15"/>
  <c r="E302" i="15"/>
  <c r="C326" i="15"/>
  <c r="C330" i="15"/>
  <c r="E330" i="15" s="1"/>
  <c r="E25" i="17"/>
  <c r="F25" i="17" s="1"/>
  <c r="C34" i="19"/>
  <c r="C22" i="19"/>
  <c r="C45" i="19" s="1"/>
  <c r="E216" i="15"/>
  <c r="C222" i="15"/>
  <c r="C246" i="15" s="1"/>
  <c r="E246" i="15" s="1"/>
  <c r="C211" i="15"/>
  <c r="E210" i="15"/>
  <c r="C234" i="15"/>
  <c r="E222" i="15"/>
  <c r="C53" i="19"/>
  <c r="C110" i="19"/>
  <c r="C35" i="19"/>
  <c r="E261" i="15"/>
  <c r="D303" i="15"/>
  <c r="F146" i="14"/>
  <c r="E146" i="14"/>
  <c r="E326" i="15"/>
  <c r="C33" i="2"/>
  <c r="D113" i="19"/>
  <c r="D48" i="19"/>
  <c r="D56" i="19"/>
  <c r="D38" i="19"/>
  <c r="D148" i="14"/>
  <c r="E245" i="15"/>
  <c r="C66" i="15"/>
  <c r="E66" i="15" s="1"/>
  <c r="F206" i="14"/>
  <c r="C287" i="14"/>
  <c r="E277" i="14"/>
  <c r="F277" i="14" s="1"/>
  <c r="C284" i="14"/>
  <c r="E284" i="14" s="1"/>
  <c r="C279" i="14"/>
  <c r="F199" i="14"/>
  <c r="E60" i="14"/>
  <c r="F60" i="14" s="1"/>
  <c r="C24" i="10"/>
  <c r="C20" i="10"/>
  <c r="C17" i="10"/>
  <c r="C28" i="10"/>
  <c r="C70" i="10" s="1"/>
  <c r="D22" i="5"/>
  <c r="E19" i="2"/>
  <c r="D33" i="2"/>
  <c r="D41" i="2" s="1"/>
  <c r="D48" i="2" s="1"/>
  <c r="D75" i="1"/>
  <c r="E75" i="1"/>
  <c r="F208" i="6"/>
  <c r="E33" i="2"/>
  <c r="C104" i="14"/>
  <c r="C209" i="14"/>
  <c r="F284" i="14"/>
  <c r="C291" i="14"/>
  <c r="E287" i="14"/>
  <c r="C289" i="14"/>
  <c r="F287" i="14"/>
  <c r="C295" i="15"/>
  <c r="E295" i="15" s="1"/>
  <c r="D325" i="14"/>
  <c r="D306" i="15"/>
  <c r="E303" i="15"/>
  <c r="C72" i="10"/>
  <c r="C69" i="10" s="1"/>
  <c r="C22" i="10"/>
  <c r="E279" i="14"/>
  <c r="F279" i="14" s="1"/>
  <c r="C41" i="2"/>
  <c r="C235" i="15"/>
  <c r="E289" i="14"/>
  <c r="F289" i="14"/>
  <c r="C305" i="14"/>
  <c r="C309" i="14" s="1"/>
  <c r="C310" i="14" s="1"/>
  <c r="C312" i="14" s="1"/>
  <c r="E41" i="2"/>
  <c r="D310" i="15"/>
  <c r="E310" i="15" s="1"/>
  <c r="E306" i="15"/>
  <c r="F312" i="14" l="1"/>
  <c r="C313" i="14"/>
  <c r="F41" i="2"/>
  <c r="F209" i="14"/>
  <c r="F33" i="2"/>
  <c r="C139" i="14"/>
  <c r="F75" i="1"/>
  <c r="E309" i="14"/>
  <c r="F309" i="14" s="1"/>
  <c r="E254" i="15"/>
  <c r="F286" i="14"/>
  <c r="E140" i="14"/>
  <c r="D209" i="14"/>
  <c r="E209" i="14" s="1"/>
  <c r="D210" i="14"/>
  <c r="E208" i="14"/>
  <c r="F208" i="14" s="1"/>
  <c r="E62" i="14"/>
  <c r="E305" i="14"/>
  <c r="F305" i="14" s="1"/>
  <c r="E104" i="14"/>
  <c r="F104" i="14" s="1"/>
  <c r="C48" i="2"/>
  <c r="C254" i="15"/>
  <c r="C174" i="14"/>
  <c r="E61" i="14"/>
  <c r="F61" i="14" s="1"/>
  <c r="E312" i="14"/>
  <c r="D313" i="14"/>
  <c r="C176" i="14"/>
  <c r="F175" i="14"/>
  <c r="F216" i="14"/>
  <c r="E46" i="17"/>
  <c r="F46" i="17" s="1"/>
  <c r="F43" i="17"/>
  <c r="E274" i="14"/>
  <c r="F274" i="14" s="1"/>
  <c r="D300" i="14"/>
  <c r="E300" i="14" s="1"/>
  <c r="D53" i="19"/>
  <c r="D39" i="19"/>
  <c r="D29" i="19"/>
  <c r="E144" i="15"/>
  <c r="C168" i="15"/>
  <c r="E168" i="15" s="1"/>
  <c r="C145" i="15"/>
  <c r="C259" i="15"/>
  <c r="E43" i="15"/>
  <c r="C44" i="15"/>
  <c r="E41" i="8"/>
  <c r="F41" i="8" s="1"/>
  <c r="D43" i="8"/>
  <c r="E43" i="8" s="1"/>
  <c r="F43" i="8" s="1"/>
  <c r="D180" i="15"/>
  <c r="D211" i="15"/>
  <c r="C77" i="15"/>
  <c r="E76" i="15"/>
  <c r="D91" i="15"/>
  <c r="F32" i="14"/>
  <c r="C105" i="14"/>
  <c r="D140" i="5"/>
  <c r="D138" i="5"/>
  <c r="D137" i="5"/>
  <c r="F46" i="3"/>
  <c r="C24" i="5"/>
  <c r="C20" i="5" s="1"/>
  <c r="C17" i="5"/>
  <c r="C156" i="5"/>
  <c r="C154" i="5"/>
  <c r="C157" i="5"/>
  <c r="C152" i="5"/>
  <c r="C155" i="5"/>
  <c r="C153" i="5"/>
  <c r="D154" i="5"/>
  <c r="D153" i="5"/>
  <c r="D155" i="5"/>
  <c r="D152" i="5"/>
  <c r="D158" i="5" s="1"/>
  <c r="D156" i="5"/>
  <c r="E156" i="5"/>
  <c r="E153" i="5"/>
  <c r="E154" i="5"/>
  <c r="E152" i="5"/>
  <c r="E157" i="5"/>
  <c r="E155" i="5"/>
  <c r="E310" i="14"/>
  <c r="F310" i="14" s="1"/>
  <c r="C62" i="14"/>
  <c r="E65" i="1"/>
  <c r="F65" i="1" s="1"/>
  <c r="D21" i="5"/>
  <c r="E65" i="15"/>
  <c r="E17" i="10"/>
  <c r="E28" i="10" s="1"/>
  <c r="D263" i="15"/>
  <c r="C29" i="19"/>
  <c r="C39" i="19"/>
  <c r="C223" i="15"/>
  <c r="C180" i="15"/>
  <c r="E207" i="14"/>
  <c r="F207" i="14" s="1"/>
  <c r="F300" i="14"/>
  <c r="D135" i="5"/>
  <c r="D136" i="5"/>
  <c r="C140" i="14"/>
  <c r="D234" i="15"/>
  <c r="E234" i="15" s="1"/>
  <c r="D195" i="14"/>
  <c r="F91" i="14"/>
  <c r="F173" i="14"/>
  <c r="D35" i="19"/>
  <c r="C48" i="19"/>
  <c r="C113" i="19"/>
  <c r="E285" i="14"/>
  <c r="F285" i="14" s="1"/>
  <c r="D286" i="14"/>
  <c r="E286" i="14" s="1"/>
  <c r="F205" i="14"/>
  <c r="F37" i="14"/>
  <c r="F181" i="14"/>
  <c r="F159" i="14"/>
  <c r="C161" i="14"/>
  <c r="C49" i="14"/>
  <c r="E48" i="14"/>
  <c r="F48" i="14"/>
  <c r="C266" i="14"/>
  <c r="C194" i="14"/>
  <c r="E193" i="14"/>
  <c r="F193" i="14" s="1"/>
  <c r="F111" i="14"/>
  <c r="D22" i="10"/>
  <c r="D20" i="10"/>
  <c r="E217" i="15"/>
  <c r="E284" i="15"/>
  <c r="F38" i="3"/>
  <c r="F44" i="3"/>
  <c r="F111" i="3"/>
  <c r="F153" i="3"/>
  <c r="E21" i="5"/>
  <c r="E136" i="5"/>
  <c r="E139" i="5"/>
  <c r="E137" i="5"/>
  <c r="E135" i="5"/>
  <c r="E141" i="5" s="1"/>
  <c r="D43" i="1"/>
  <c r="E43" i="1" s="1"/>
  <c r="F43" i="1" s="1"/>
  <c r="E42" i="3"/>
  <c r="F42" i="3" s="1"/>
  <c r="E46" i="3"/>
  <c r="E50" i="3"/>
  <c r="F50" i="3" s="1"/>
  <c r="E15" i="5"/>
  <c r="E53" i="5"/>
  <c r="E65" i="8"/>
  <c r="F65" i="8" s="1"/>
  <c r="E101" i="6"/>
  <c r="F101" i="6" s="1"/>
  <c r="F102" i="6"/>
  <c r="F29" i="8"/>
  <c r="F17" i="11"/>
  <c r="E123" i="14"/>
  <c r="F123" i="14" s="1"/>
  <c r="C124" i="14"/>
  <c r="E290" i="14"/>
  <c r="F290" i="14" s="1"/>
  <c r="F53" i="14"/>
  <c r="F100" i="14"/>
  <c r="D77" i="15"/>
  <c r="C239" i="14"/>
  <c r="E19" i="17"/>
  <c r="F19" i="17" s="1"/>
  <c r="E102" i="19"/>
  <c r="E103" i="19" s="1"/>
  <c r="E136" i="14"/>
  <c r="F136" i="14" s="1"/>
  <c r="F179" i="14"/>
  <c r="F237" i="14"/>
  <c r="E324" i="15"/>
  <c r="C37" i="16"/>
  <c r="C38" i="16" s="1"/>
  <c r="C127" i="16" s="1"/>
  <c r="C129" i="16" s="1"/>
  <c r="C133" i="16" s="1"/>
  <c r="F124" i="14" l="1"/>
  <c r="C126" i="14"/>
  <c r="C125" i="14"/>
  <c r="E124" i="14"/>
  <c r="C196" i="14"/>
  <c r="C195" i="14"/>
  <c r="C162" i="14"/>
  <c r="E161" i="14"/>
  <c r="F161" i="14" s="1"/>
  <c r="E195" i="14"/>
  <c r="D264" i="15"/>
  <c r="E263" i="15"/>
  <c r="C158" i="5"/>
  <c r="C112" i="5"/>
  <c r="C111" i="5" s="1"/>
  <c r="C28" i="5"/>
  <c r="C106" i="14"/>
  <c r="E105" i="14"/>
  <c r="F105" i="14" s="1"/>
  <c r="D105" i="15"/>
  <c r="D181" i="15"/>
  <c r="D235" i="15"/>
  <c r="E235" i="15" s="1"/>
  <c r="E211" i="15"/>
  <c r="C89" i="15"/>
  <c r="E89" i="15" s="1"/>
  <c r="C85" i="15"/>
  <c r="E85" i="15" s="1"/>
  <c r="C95" i="15"/>
  <c r="C98" i="15"/>
  <c r="E98" i="15" s="1"/>
  <c r="C87" i="15"/>
  <c r="E87" i="15" s="1"/>
  <c r="C258" i="15"/>
  <c r="E44" i="15"/>
  <c r="C101" i="15"/>
  <c r="E101" i="15" s="1"/>
  <c r="C86" i="15"/>
  <c r="E86" i="15" s="1"/>
  <c r="C96" i="15"/>
  <c r="C99" i="15"/>
  <c r="E99" i="15" s="1"/>
  <c r="C83" i="15"/>
  <c r="C97" i="15"/>
  <c r="E97" i="15" s="1"/>
  <c r="C100" i="15"/>
  <c r="E100" i="15" s="1"/>
  <c r="C84" i="15"/>
  <c r="C88" i="15"/>
  <c r="E88" i="15" s="1"/>
  <c r="E259" i="15"/>
  <c r="C263" i="15"/>
  <c r="D47" i="19"/>
  <c r="D112" i="19"/>
  <c r="D37" i="19"/>
  <c r="D55" i="19"/>
  <c r="D256" i="14"/>
  <c r="D251" i="14"/>
  <c r="E313" i="14"/>
  <c r="F313" i="14" s="1"/>
  <c r="D314" i="14"/>
  <c r="D315" i="14"/>
  <c r="E174" i="14"/>
  <c r="F174" i="14"/>
  <c r="E48" i="2"/>
  <c r="F48" i="2" s="1"/>
  <c r="D211" i="14"/>
  <c r="E210" i="14"/>
  <c r="F210" i="14" s="1"/>
  <c r="F239" i="14"/>
  <c r="E239" i="14"/>
  <c r="D126" i="15"/>
  <c r="E126" i="15" s="1"/>
  <c r="D122" i="15"/>
  <c r="D127" i="15"/>
  <c r="D125" i="15"/>
  <c r="D114" i="15"/>
  <c r="E114" i="15" s="1"/>
  <c r="D124" i="15"/>
  <c r="D109" i="15"/>
  <c r="D123" i="15"/>
  <c r="D111" i="15"/>
  <c r="E111" i="15" s="1"/>
  <c r="D110" i="15"/>
  <c r="D112" i="15"/>
  <c r="D115" i="15"/>
  <c r="D121" i="15"/>
  <c r="D113" i="15"/>
  <c r="E77" i="15"/>
  <c r="E24" i="5"/>
  <c r="E20" i="5" s="1"/>
  <c r="E17" i="5"/>
  <c r="E266" i="14"/>
  <c r="C265" i="14"/>
  <c r="F266" i="14"/>
  <c r="C50" i="14"/>
  <c r="E49" i="14"/>
  <c r="F49" i="14" s="1"/>
  <c r="E194" i="14"/>
  <c r="F194" i="14" s="1"/>
  <c r="C141" i="14"/>
  <c r="F140" i="14"/>
  <c r="D141" i="5"/>
  <c r="C247" i="15"/>
  <c r="E247" i="15" s="1"/>
  <c r="E223" i="15"/>
  <c r="C47" i="19"/>
  <c r="C37" i="19"/>
  <c r="C55" i="19"/>
  <c r="C112" i="19"/>
  <c r="E70" i="10"/>
  <c r="E72" i="10" s="1"/>
  <c r="E69" i="10" s="1"/>
  <c r="E22" i="10"/>
  <c r="C63" i="14"/>
  <c r="F62" i="14"/>
  <c r="E158" i="5"/>
  <c r="C124" i="15"/>
  <c r="C113" i="15"/>
  <c r="C109" i="15"/>
  <c r="C122" i="15"/>
  <c r="C127" i="15"/>
  <c r="C123" i="15"/>
  <c r="C112" i="15"/>
  <c r="C126" i="15"/>
  <c r="C115" i="15"/>
  <c r="C121" i="15"/>
  <c r="C110" i="15"/>
  <c r="C116" i="15" s="1"/>
  <c r="C111" i="15"/>
  <c r="C125" i="15"/>
  <c r="C114" i="15"/>
  <c r="E180" i="15"/>
  <c r="C169" i="15"/>
  <c r="E169" i="15" s="1"/>
  <c r="E145" i="15"/>
  <c r="C181" i="15"/>
  <c r="E176" i="14"/>
  <c r="F176" i="14" s="1"/>
  <c r="E139" i="14"/>
  <c r="F139" i="14" s="1"/>
  <c r="C314" i="14"/>
  <c r="C315" i="14"/>
  <c r="C251" i="14"/>
  <c r="C256" i="14"/>
  <c r="C257" i="14" l="1"/>
  <c r="F315" i="14"/>
  <c r="C117" i="15"/>
  <c r="C322" i="14"/>
  <c r="C211" i="14"/>
  <c r="E141" i="14"/>
  <c r="F141" i="14" s="1"/>
  <c r="F50" i="14"/>
  <c r="E50" i="14"/>
  <c r="C70" i="14"/>
  <c r="E265" i="14"/>
  <c r="F265" i="14" s="1"/>
  <c r="E112" i="5"/>
  <c r="E111" i="5" s="1"/>
  <c r="E28" i="5"/>
  <c r="E121" i="15"/>
  <c r="E112" i="15"/>
  <c r="E109" i="15"/>
  <c r="E127" i="15"/>
  <c r="E315" i="14"/>
  <c r="D257" i="14"/>
  <c r="E257" i="14" s="1"/>
  <c r="E256" i="14"/>
  <c r="F256" i="14" s="1"/>
  <c r="C90" i="15"/>
  <c r="E90" i="15" s="1"/>
  <c r="E84" i="15"/>
  <c r="C103" i="15"/>
  <c r="E103" i="15" s="1"/>
  <c r="E95" i="15"/>
  <c r="F106" i="14"/>
  <c r="E106" i="14"/>
  <c r="C113" i="14"/>
  <c r="C324" i="14"/>
  <c r="F162" i="14"/>
  <c r="E162" i="14"/>
  <c r="C323" i="14"/>
  <c r="C183" i="14"/>
  <c r="F195" i="14"/>
  <c r="E196" i="14"/>
  <c r="F196" i="14" s="1"/>
  <c r="E125" i="14"/>
  <c r="F125" i="14" s="1"/>
  <c r="F314" i="14"/>
  <c r="C318" i="14"/>
  <c r="C129" i="15"/>
  <c r="C128" i="15"/>
  <c r="F63" i="14"/>
  <c r="E63" i="14"/>
  <c r="E113" i="15"/>
  <c r="E115" i="15"/>
  <c r="D116" i="15"/>
  <c r="E116" i="15" s="1"/>
  <c r="E110" i="15"/>
  <c r="E123" i="15"/>
  <c r="E124" i="15"/>
  <c r="E125" i="15"/>
  <c r="D128" i="15"/>
  <c r="E128" i="15" s="1"/>
  <c r="E122" i="15"/>
  <c r="D318" i="14"/>
  <c r="E318" i="14" s="1"/>
  <c r="E314" i="14"/>
  <c r="E251" i="14"/>
  <c r="F251" i="14" s="1"/>
  <c r="E83" i="15"/>
  <c r="C102" i="15"/>
  <c r="E102" i="15" s="1"/>
  <c r="E96" i="15"/>
  <c r="C264" i="15"/>
  <c r="C266" i="15" s="1"/>
  <c r="C267" i="15"/>
  <c r="E258" i="15"/>
  <c r="E181" i="15"/>
  <c r="C99" i="5"/>
  <c r="C101" i="5" s="1"/>
  <c r="C98" i="5" s="1"/>
  <c r="C22" i="5"/>
  <c r="D266" i="15"/>
  <c r="E264" i="15"/>
  <c r="C127" i="14"/>
  <c r="E126" i="14"/>
  <c r="F126" i="14" s="1"/>
  <c r="F127" i="14" l="1"/>
  <c r="C148" i="14"/>
  <c r="C197" i="14"/>
  <c r="E127" i="14"/>
  <c r="E266" i="15"/>
  <c r="D267" i="15"/>
  <c r="C269" i="15"/>
  <c r="C268" i="15"/>
  <c r="F323" i="14"/>
  <c r="E323" i="14"/>
  <c r="E113" i="14"/>
  <c r="F113" i="14" s="1"/>
  <c r="E22" i="5"/>
  <c r="E99" i="5"/>
  <c r="E101" i="5" s="1"/>
  <c r="E98" i="5" s="1"/>
  <c r="F70" i="14"/>
  <c r="E70" i="14"/>
  <c r="F211" i="14"/>
  <c r="E322" i="14"/>
  <c r="F322" i="14" s="1"/>
  <c r="F257" i="14"/>
  <c r="C91" i="15"/>
  <c r="E211" i="14"/>
  <c r="F318" i="14"/>
  <c r="E183" i="14"/>
  <c r="F183" i="14" s="1"/>
  <c r="C325" i="14"/>
  <c r="E324" i="14"/>
  <c r="F324" i="14" s="1"/>
  <c r="D117" i="15"/>
  <c r="D129" i="15"/>
  <c r="E129" i="15" s="1"/>
  <c r="C131" i="15"/>
  <c r="E117" i="15" l="1"/>
  <c r="D131" i="15"/>
  <c r="E131" i="15" s="1"/>
  <c r="C105" i="15"/>
  <c r="E105" i="15" s="1"/>
  <c r="E91" i="15"/>
  <c r="F197" i="14"/>
  <c r="E197" i="14"/>
  <c r="F325" i="14"/>
  <c r="E325" i="14"/>
  <c r="C271" i="15"/>
  <c r="D269" i="15"/>
  <c r="E269" i="15" s="1"/>
  <c r="E267" i="15"/>
  <c r="D268" i="15"/>
  <c r="F148" i="14"/>
  <c r="E148" i="14"/>
  <c r="D271" i="15" l="1"/>
  <c r="E271" i="15" s="1"/>
  <c r="E268" i="15"/>
</calcChain>
</file>

<file path=xl/sharedStrings.xml><?xml version="1.0" encoding="utf-8"?>
<sst xmlns="http://schemas.openxmlformats.org/spreadsheetml/2006/main" count="2300" uniqueCount="978">
  <si>
    <t>SAINT MARY`S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</si>
  <si>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</si>
  <si>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</si>
  <si>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</si>
  <si>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</si>
  <si>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</si>
  <si>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</si>
  <si>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</si>
  <si>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</si>
  <si>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</si>
  <si>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</si>
  <si>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</si>
  <si>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</si>
  <si>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</si>
  <si>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</si>
  <si>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</si>
  <si>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</si>
  <si>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</si>
  <si>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</si>
  <si>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</si>
  <si>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</si>
  <si>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</si>
  <si>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</si>
  <si>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</si>
  <si>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</si>
  <si>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</si>
  <si>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</si>
  <si>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</si>
  <si>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</si>
  <si>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</si>
  <si>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</si>
  <si>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</si>
  <si>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</si>
  <si>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</si>
  <si>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</si>
  <si>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</si>
  <si>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</si>
  <si>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</si>
  <si>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</si>
  <si>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</si>
  <si>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</si>
  <si>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</si>
  <si>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</si>
  <si>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</si>
  <si>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</si>
  <si>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</si>
  <si>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</si>
  <si>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</si>
  <si>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</si>
  <si>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</si>
  <si>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</si>
  <si>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</si>
  <si>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</si>
  <si>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</si>
  <si>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</si>
  <si>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</si>
  <si>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</si>
  <si>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</si>
  <si>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</si>
  <si>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</si>
  <si>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</si>
  <si>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</si>
  <si>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</si>
  <si>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</si>
  <si>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</si>
  <si>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</si>
  <si>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</si>
  <si>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</si>
  <si>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</si>
  <si>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</si>
  <si>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</si>
  <si>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</si>
  <si>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</si>
  <si>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</si>
  <si>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</si>
  <si>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</si>
  <si>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</si>
  <si>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</si>
  <si>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</si>
  <si>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</si>
  <si>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</si>
  <si>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</si>
  <si>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</si>
  <si>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</si>
  <si>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</si>
  <si>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</si>
  <si>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</si>
  <si>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</si>
  <si>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</si>
  <si>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</si>
  <si>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</si>
  <si>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</si>
  <si>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</si>
  <si>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</si>
  <si>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</si>
  <si>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</si>
  <si>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</si>
  <si>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</si>
  <si>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</si>
  <si>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</si>
  <si>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</si>
  <si>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</si>
  <si>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</si>
  <si>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</si>
  <si>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</si>
  <si>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</si>
  <si>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</si>
  <si>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</si>
  <si>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</si>
  <si>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</si>
  <si>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</si>
  <si>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</si>
  <si>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</si>
  <si>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</si>
  <si>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</si>
  <si>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</si>
  <si>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</si>
  <si>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</si>
  <si>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</si>
  <si>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</si>
  <si>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</si>
  <si>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</si>
  <si>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</si>
  <si>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</si>
  <si>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</si>
  <si>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</si>
  <si>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</si>
  <si>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</si>
  <si>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</si>
  <si>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</si>
  <si>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</si>
  <si>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</si>
  <si>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</si>
  <si>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</si>
  <si>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</si>
  <si>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</si>
  <si>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</si>
  <si>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</si>
  <si>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</si>
  <si>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</si>
  <si>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</si>
  <si>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</si>
  <si>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</si>
  <si>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</si>
  <si>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</si>
  <si>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</si>
  <si>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</si>
  <si>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</si>
  <si>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</si>
  <si>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</si>
  <si>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</si>
  <si>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</si>
  <si>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</si>
  <si>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</si>
  <si>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</si>
  <si>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</si>
  <si>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</si>
  <si>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</si>
  <si>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</si>
  <si>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</si>
  <si>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</si>
  <si>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</si>
  <si>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</si>
  <si>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</si>
  <si>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</si>
  <si>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</si>
  <si>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</si>
  <si>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</si>
  <si>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</si>
  <si>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</si>
  <si>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</si>
  <si>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</si>
  <si>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</si>
  <si>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</si>
  <si>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</si>
  <si>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</si>
  <si>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</si>
  <si>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</si>
  <si>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</si>
  <si>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</si>
  <si>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</si>
  <si>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</si>
  <si>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</si>
  <si>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</si>
  <si>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</si>
  <si>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</si>
  <si>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</si>
  <si>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</si>
  <si>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</si>
  <si>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</si>
  <si>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</si>
  <si>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</si>
  <si>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</si>
  <si>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</si>
  <si>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</si>
  <si>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</si>
  <si>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</si>
  <si>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</si>
  <si>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</si>
  <si>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</si>
  <si>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</si>
  <si>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</si>
  <si>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</si>
  <si>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</si>
  <si>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</si>
  <si>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</si>
  <si>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</si>
  <si>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</si>
  <si>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</si>
  <si>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</si>
  <si>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</si>
  <si>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</si>
  <si>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</si>
  <si>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</si>
  <si>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</si>
  <si>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</si>
  <si>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</si>
  <si>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</si>
  <si>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</si>
  <si>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</si>
  <si>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</si>
  <si>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</si>
  <si>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</si>
  <si>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</si>
  <si>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</si>
  <si>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</si>
  <si>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</si>
  <si>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</si>
  <si>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</si>
  <si>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</si>
  <si>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</si>
  <si>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</si>
  <si>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</si>
  <si>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</si>
  <si>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</si>
  <si>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</si>
  <si>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</si>
  <si>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</si>
  <si>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</si>
  <si>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</si>
  <si>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</si>
  <si>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</si>
  <si>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</si>
  <si>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</si>
  <si>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</si>
  <si>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</si>
  <si>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</si>
  <si>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</si>
  <si>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</si>
  <si>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</si>
  <si>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</si>
  <si>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</si>
  <si>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</si>
  <si>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</si>
  <si>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</si>
  <si>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</si>
  <si>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</si>
  <si>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</si>
  <si>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</si>
  <si>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</si>
  <si>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</si>
  <si>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</si>
  <si>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</si>
  <si>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</si>
  <si>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</si>
  <si>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</si>
  <si>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</si>
  <si>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</si>
  <si>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</si>
  <si>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</si>
  <si>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</si>
  <si>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</si>
  <si>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</si>
  <si>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</si>
  <si>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</si>
  <si>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</si>
  <si>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</si>
  <si>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</si>
  <si>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</si>
  <si>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</si>
  <si>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</si>
  <si>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</si>
  <si>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</si>
  <si>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</si>
  <si>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</si>
  <si>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</si>
  <si>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</si>
  <si>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</si>
  <si>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</si>
  <si>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</si>
  <si>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</si>
  <si>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</si>
  <si>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</si>
  <si>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</si>
  <si>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</si>
  <si>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</si>
  <si>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</si>
  <si>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</si>
  <si>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</si>
  <si>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</si>
  <si>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</si>
  <si>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</si>
  <si>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</si>
  <si>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</si>
  <si>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</si>
  <si>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</si>
  <si>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</si>
  <si>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</si>
  <si>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</si>
  <si>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</si>
  <si>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</si>
  <si>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</si>
  <si>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</si>
  <si>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</si>
  <si>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</si>
  <si>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</si>
  <si>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</si>
  <si>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</si>
  <si>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</si>
  <si>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</si>
  <si>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</si>
  <si>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</si>
  <si>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</si>
  <si>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</si>
  <si>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</si>
  <si>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</si>
  <si>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</si>
  <si>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</si>
  <si>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</si>
  <si>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</si>
  <si>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</si>
  <si>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</si>
  <si>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</si>
  <si>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</si>
  <si>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</si>
  <si>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</si>
  <si>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</si>
  <si>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</si>
  <si>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</si>
  <si>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</si>
  <si>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</si>
  <si>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</si>
  <si>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</si>
  <si>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</si>
  <si>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</si>
  <si>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</si>
  <si>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</si>
  <si>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</si>
  <si>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</si>
  <si>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</si>
  <si>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</si>
  <si>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</si>
  <si>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</si>
  <si>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</si>
  <si>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</si>
  <si>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</si>
  <si>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</si>
  <si>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</si>
  <si>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</si>
  <si>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</si>
  <si>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</si>
  <si>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</si>
  <si>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</si>
  <si>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</si>
  <si>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</si>
  <si>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</si>
  <si>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</si>
  <si>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</si>
  <si>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</si>
  <si>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</si>
  <si>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</si>
  <si>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</si>
  <si>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</si>
  <si>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</si>
  <si>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</si>
  <si>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</si>
  <si>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</si>
  <si>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</si>
  <si>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</si>
  <si>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</si>
  <si>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</si>
  <si>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</si>
  <si>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</si>
  <si>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</si>
  <si>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</si>
  <si>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</si>
  <si>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</si>
  <si>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</si>
  <si>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</si>
  <si>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</si>
  <si>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</si>
  <si>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</si>
  <si>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</si>
  <si>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</si>
  <si>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</si>
  <si>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</si>
  <si>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</si>
  <si>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</si>
  <si>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</si>
  <si>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</si>
  <si>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</si>
  <si>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</si>
  <si>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</si>
  <si>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</si>
  <si>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</si>
  <si>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</si>
  <si>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</si>
  <si>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</si>
  <si>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</si>
  <si>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</si>
  <si>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</si>
  <si>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</si>
  <si>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</si>
  <si>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</si>
  <si>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</si>
  <si>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</si>
  <si>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</si>
  <si>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</si>
  <si>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</si>
  <si>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</si>
  <si>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</si>
  <si>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</si>
  <si>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</si>
  <si>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</si>
  <si>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</si>
  <si>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</si>
  <si>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</si>
  <si>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</si>
  <si>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</si>
  <si>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</si>
  <si>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</si>
  <si>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</si>
  <si>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</si>
  <si>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</si>
  <si>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</si>
  <si>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</si>
  <si>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</si>
  <si>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</si>
  <si>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</si>
  <si>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</si>
  <si>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</si>
  <si>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</si>
  <si>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</si>
  <si>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</si>
  <si>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</si>
  <si>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</si>
  <si>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</si>
  <si>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</si>
  <si>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</si>
  <si>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</si>
  <si>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</si>
  <si>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</si>
  <si>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</si>
  <si>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</si>
  <si>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</si>
  <si>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</si>
  <si>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</si>
  <si>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</si>
  <si>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</si>
  <si>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</si>
  <si>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</si>
  <si>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</si>
  <si>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</si>
  <si>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</si>
  <si>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</si>
  <si>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</si>
  <si>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</si>
  <si>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</si>
  <si>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</si>
  <si>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</si>
  <si>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</si>
  <si>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</si>
  <si>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</si>
  <si>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</si>
  <si>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</si>
  <si>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</si>
  <si>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</si>
  <si>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</si>
  <si>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</si>
  <si>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SAINT MARY`S HEALTH SYSTEM,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</si>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</sst>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0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1" fillId="0" borderId="12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4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wrapText="1"/>
    </xf>
    <xf numFmtId="164" fontId="12" fillId="0" borderId="13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left"/>
    </xf>
    <xf numFmtId="164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4" fontId="10" fillId="0" borderId="9" xfId="0" applyNumberFormat="1" applyFont="1" applyBorder="1" applyAlignment="1"/>
    <xf numFmtId="164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4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4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4" fontId="15" fillId="0" borderId="9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14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9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4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4" fontId="6" fillId="0" borderId="1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8" xfId="0" applyNumberFormat="1" applyFont="1" applyFill="1" applyBorder="1" applyAlignment="1">
      <alignment horizontal="left"/>
    </xf>
    <xf numFmtId="164" fontId="6" fillId="33" borderId="19" xfId="0" applyNumberFormat="1" applyFont="1" applyFill="1" applyBorder="1" applyAlignment="1">
      <alignment horizontal="center" wrapText="1"/>
    </xf>
    <xf numFmtId="164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9" xfId="0" applyNumberFormat="1" applyFont="1" applyBorder="1" applyAlignment="1"/>
    <xf numFmtId="164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4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2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2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4" fontId="7" fillId="0" borderId="9" xfId="0" applyNumberFormat="1" applyFont="1" applyBorder="1" applyAlignment="1"/>
    <xf numFmtId="164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4" fontId="8" fillId="0" borderId="9" xfId="0" applyNumberFormat="1" applyFont="1" applyBorder="1" applyAlignment="1"/>
    <xf numFmtId="166" fontId="8" fillId="0" borderId="9" xfId="0" applyNumberFormat="1" applyFont="1" applyBorder="1" applyAlignment="1">
      <alignment horizontal="right"/>
    </xf>
    <xf numFmtId="166" fontId="8" fillId="0" borderId="9" xfId="28" applyNumberFormat="1" applyFont="1" applyBorder="1" applyAlignment="1">
      <alignment horizontal="right"/>
    </xf>
    <xf numFmtId="166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2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4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4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66" fontId="13" fillId="0" borderId="9" xfId="0" applyNumberFormat="1" applyFont="1" applyBorder="1" applyAlignment="1">
      <alignment vertical="top"/>
    </xf>
    <xf numFmtId="171" fontId="13" fillId="0" borderId="9" xfId="28" applyNumberFormat="1" applyFont="1" applyBorder="1" applyAlignment="1">
      <alignment vertical="top"/>
    </xf>
    <xf numFmtId="166" fontId="19" fillId="0" borderId="9" xfId="0" applyNumberFormat="1" applyFont="1" applyBorder="1" applyAlignment="1">
      <alignment vertical="top"/>
    </xf>
    <xf numFmtId="171" fontId="19" fillId="0" borderId="9" xfId="28" applyNumberFormat="1" applyFont="1" applyBorder="1" applyAlignment="1">
      <alignment vertical="top"/>
    </xf>
    <xf numFmtId="171" fontId="13" fillId="0" borderId="9" xfId="0" applyNumberFormat="1" applyFont="1" applyBorder="1" applyAlignment="1">
      <alignment vertical="top"/>
    </xf>
    <xf numFmtId="181" fontId="13" fillId="0" borderId="9" xfId="0" applyNumberFormat="1" applyFont="1" applyBorder="1" applyAlignment="1">
      <alignment horizontal="right" vertical="top"/>
    </xf>
    <xf numFmtId="168" fontId="13" fillId="0" borderId="9" xfId="28" applyNumberFormat="1" applyFont="1" applyBorder="1" applyAlignment="1">
      <alignment vertical="top"/>
    </xf>
    <xf numFmtId="181" fontId="19" fillId="0" borderId="9" xfId="0" applyNumberFormat="1" applyFont="1" applyBorder="1" applyAlignment="1">
      <alignment horizontal="right" vertical="top"/>
    </xf>
    <xf numFmtId="168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0" fontId="13" fillId="0" borderId="9" xfId="28" applyNumberFormat="1" applyFont="1" applyBorder="1" applyProtection="1">
      <protection locked="0"/>
    </xf>
    <xf numFmtId="170" fontId="13" fillId="0" borderId="9" xfId="0" applyNumberFormat="1" applyFont="1" applyBorder="1" applyProtection="1">
      <protection locked="0"/>
    </xf>
    <xf numFmtId="170" fontId="19" fillId="0" borderId="9" xfId="28" applyNumberFormat="1" applyFont="1" applyBorder="1" applyProtection="1">
      <protection locked="0"/>
    </xf>
    <xf numFmtId="170" fontId="19" fillId="0" borderId="9" xfId="0" applyNumberFormat="1" applyFont="1" applyBorder="1" applyProtection="1">
      <protection locked="0"/>
    </xf>
    <xf numFmtId="182" fontId="13" fillId="0" borderId="9" xfId="0" applyNumberFormat="1" applyFont="1" applyBorder="1" applyProtection="1">
      <protection locked="0"/>
    </xf>
    <xf numFmtId="182" fontId="19" fillId="0" borderId="9" xfId="0" applyNumberFormat="1" applyFont="1" applyBorder="1" applyProtection="1">
      <protection locked="0"/>
    </xf>
    <xf numFmtId="183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4" fontId="13" fillId="0" borderId="9" xfId="28" applyNumberFormat="1" applyFont="1" applyBorder="1" applyProtection="1">
      <protection locked="0"/>
    </xf>
    <xf numFmtId="185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86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4" fontId="1" fillId="0" borderId="2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3" borderId="19" xfId="0" applyNumberFormat="1" applyFont="1" applyFill="1" applyBorder="1" applyAlignment="1"/>
    <xf numFmtId="164" fontId="1" fillId="33" borderId="20" xfId="0" applyNumberFormat="1" applyFont="1" applyFill="1" applyBorder="1" applyAlignment="1"/>
    <xf numFmtId="164" fontId="1" fillId="33" borderId="18" xfId="0" applyNumberFormat="1" applyFont="1" applyFill="1" applyBorder="1" applyAlignment="1"/>
    <xf numFmtId="0" fontId="5" fillId="0" borderId="13" xfId="0" applyFont="1" applyBorder="1" applyAlignment="1"/>
    <xf numFmtId="0" fontId="5" fillId="0" borderId="8" xfId="0" applyFont="1" applyBorder="1" applyAlignment="1"/>
    <xf numFmtId="164" fontId="6" fillId="0" borderId="1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9" xfId="0" applyNumberFormat="1" applyFont="1" applyBorder="1" applyAlignment="1">
      <alignment horizontal="center" wrapText="1"/>
    </xf>
    <xf numFmtId="164" fontId="6" fillId="0" borderId="19" xfId="0" applyNumberFormat="1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164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23" xfId="0" applyNumberFormat="1" applyFont="1" applyBorder="1" applyAlignment="1">
      <alignment horizontal="center" wrapText="1"/>
    </xf>
    <xf numFmtId="164" fontId="6" fillId="0" borderId="24" xfId="0" applyNumberFormat="1" applyFont="1" applyBorder="1" applyAlignment="1">
      <alignment horizontal="center" wrapText="1"/>
    </xf>
    <xf numFmtId="164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7" xfId="0" applyNumberFormat="1" applyFont="1" applyFill="1" applyBorder="1" applyAlignment="1">
      <alignment horizontal="center" wrapText="1"/>
    </xf>
    <xf numFmtId="164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1" xfId="0" applyNumberFormat="1" applyFont="1" applyBorder="1" applyAlignment="1"/>
    <xf numFmtId="164" fontId="10" fillId="0" borderId="30" xfId="0" applyNumberFormat="1" applyFont="1" applyBorder="1" applyAlignment="1"/>
    <xf numFmtId="164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>
      <selection activeCell="B3" sqref="B3"/>
    </sheetView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19053028</v>
      </c>
      <c r="D13" s="23">
        <v>22941812</v>
      </c>
      <c r="E13" s="23">
        <f t="shared" ref="E13:E22" si="0">D13-C13</f>
        <v>3888784</v>
      </c>
      <c r="F13" s="24">
        <f t="shared" ref="F13:F22" si="1">IF(C13=0,0,E13/C13)</f>
        <v>0.20410320081406483</v>
      </c>
    </row>
    <row r="14" spans="1:8" ht="24" customHeight="1" x14ac:dyDescent="0.2">
      <c r="A14" s="21">
        <v>2</v>
      </c>
      <c r="B14" s="22" t="s">
        <v>17</v>
      </c>
      <c r="C14" s="23">
        <v>28176</v>
      </c>
      <c r="D14" s="23">
        <v>35207</v>
      </c>
      <c r="E14" s="23">
        <f t="shared" si="0"/>
        <v>7031</v>
      </c>
      <c r="F14" s="24">
        <f t="shared" si="1"/>
        <v>0.24953861442362293</v>
      </c>
    </row>
    <row r="15" spans="1:8" ht="33" customHeight="1" x14ac:dyDescent="0.2">
      <c r="A15" s="21">
        <v>3</v>
      </c>
      <c r="B15" s="22" t="s">
        <v>18</v>
      </c>
      <c r="C15" s="23">
        <v>21361544</v>
      </c>
      <c r="D15" s="23">
        <v>21905974</v>
      </c>
      <c r="E15" s="23">
        <f t="shared" si="0"/>
        <v>544430</v>
      </c>
      <c r="F15" s="24">
        <f t="shared" si="1"/>
        <v>2.5486453600919484E-2</v>
      </c>
    </row>
    <row r="16" spans="1:8" ht="24" customHeight="1" x14ac:dyDescent="0.2">
      <c r="A16" s="21">
        <v>4</v>
      </c>
      <c r="B16" s="22" t="s">
        <v>19</v>
      </c>
      <c r="C16" s="23">
        <v>2594774</v>
      </c>
      <c r="D16" s="23">
        <v>1901735</v>
      </c>
      <c r="E16" s="23">
        <f t="shared" si="0"/>
        <v>-693039</v>
      </c>
      <c r="F16" s="24">
        <f t="shared" si="1"/>
        <v>-0.26709031306772768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2214273</v>
      </c>
      <c r="D19" s="23">
        <v>2240216</v>
      </c>
      <c r="E19" s="23">
        <f t="shared" si="0"/>
        <v>25943</v>
      </c>
      <c r="F19" s="24">
        <f t="shared" si="1"/>
        <v>1.1716260822400851E-2</v>
      </c>
    </row>
    <row r="20" spans="1:11" ht="24" customHeight="1" x14ac:dyDescent="0.2">
      <c r="A20" s="21">
        <v>8</v>
      </c>
      <c r="B20" s="22" t="s">
        <v>23</v>
      </c>
      <c r="C20" s="23">
        <v>1778630</v>
      </c>
      <c r="D20" s="23">
        <v>2070542</v>
      </c>
      <c r="E20" s="23">
        <f t="shared" si="0"/>
        <v>291912</v>
      </c>
      <c r="F20" s="24">
        <f t="shared" si="1"/>
        <v>0.1641218241005718</v>
      </c>
    </row>
    <row r="21" spans="1:11" ht="24" customHeight="1" x14ac:dyDescent="0.2">
      <c r="A21" s="21">
        <v>9</v>
      </c>
      <c r="B21" s="22" t="s">
        <v>24</v>
      </c>
      <c r="C21" s="23">
        <v>4048869</v>
      </c>
      <c r="D21" s="23">
        <v>5438349</v>
      </c>
      <c r="E21" s="23">
        <f t="shared" si="0"/>
        <v>1389480</v>
      </c>
      <c r="F21" s="24">
        <f t="shared" si="1"/>
        <v>0.34317731692480047</v>
      </c>
    </row>
    <row r="22" spans="1:11" ht="24" customHeight="1" x14ac:dyDescent="0.25">
      <c r="A22" s="25"/>
      <c r="B22" s="26" t="s">
        <v>25</v>
      </c>
      <c r="C22" s="27">
        <f>SUM(C13:C21)</f>
        <v>51079294</v>
      </c>
      <c r="D22" s="27">
        <f>SUM(D13:D21)</f>
        <v>56533835</v>
      </c>
      <c r="E22" s="27">
        <f t="shared" si="0"/>
        <v>5454541</v>
      </c>
      <c r="F22" s="28">
        <f t="shared" si="1"/>
        <v>0.10678575549615076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16502428</v>
      </c>
      <c r="D25" s="23">
        <v>17309228</v>
      </c>
      <c r="E25" s="23">
        <f>D25-C25</f>
        <v>806800</v>
      </c>
      <c r="F25" s="24">
        <f>IF(C25=0,0,E25/C25)</f>
        <v>4.8889775492430565E-2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3278038</v>
      </c>
      <c r="D28" s="23">
        <v>3176250</v>
      </c>
      <c r="E28" s="23">
        <f>D28-C28</f>
        <v>-101788</v>
      </c>
      <c r="F28" s="24">
        <f>IF(C28=0,0,E28/C28)</f>
        <v>-3.1051500928299183E-2</v>
      </c>
    </row>
    <row r="29" spans="1:11" ht="24" customHeight="1" x14ac:dyDescent="0.25">
      <c r="A29" s="25"/>
      <c r="B29" s="26" t="s">
        <v>32</v>
      </c>
      <c r="C29" s="27">
        <f>SUM(C25:C28)</f>
        <v>19780466</v>
      </c>
      <c r="D29" s="27">
        <f>SUM(D25:D28)</f>
        <v>20485478</v>
      </c>
      <c r="E29" s="27">
        <f>D29-C29</f>
        <v>705012</v>
      </c>
      <c r="F29" s="28">
        <f>IF(C29=0,0,E29/C29)</f>
        <v>3.5641829671757982E-2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4269933</v>
      </c>
      <c r="D31" s="23">
        <v>4509184</v>
      </c>
      <c r="E31" s="23">
        <f>D31-C31</f>
        <v>239251</v>
      </c>
      <c r="F31" s="24">
        <f>IF(C31=0,0,E31/C31)</f>
        <v>5.6031558340610965E-2</v>
      </c>
    </row>
    <row r="32" spans="1:11" ht="24" customHeight="1" x14ac:dyDescent="0.2">
      <c r="A32" s="21">
        <v>6</v>
      </c>
      <c r="B32" s="22" t="s">
        <v>34</v>
      </c>
      <c r="C32" s="23">
        <v>11261191</v>
      </c>
      <c r="D32" s="23">
        <v>12790730</v>
      </c>
      <c r="E32" s="23">
        <f>D32-C32</f>
        <v>1529539</v>
      </c>
      <c r="F32" s="24">
        <f>IF(C32=0,0,E32/C32)</f>
        <v>0.13582391063254323</v>
      </c>
    </row>
    <row r="33" spans="1:8" ht="24" customHeight="1" x14ac:dyDescent="0.2">
      <c r="A33" s="21">
        <v>7</v>
      </c>
      <c r="B33" s="22" t="s">
        <v>35</v>
      </c>
      <c r="C33" s="23">
        <v>20392152</v>
      </c>
      <c r="D33" s="23">
        <v>20822558</v>
      </c>
      <c r="E33" s="23">
        <f>D33-C33</f>
        <v>430406</v>
      </c>
      <c r="F33" s="24">
        <f>IF(C33=0,0,E33/C33)</f>
        <v>2.1106453110000357E-2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150318389</v>
      </c>
      <c r="D36" s="23">
        <v>152831943</v>
      </c>
      <c r="E36" s="23">
        <f>D36-C36</f>
        <v>2513554</v>
      </c>
      <c r="F36" s="24">
        <f>IF(C36=0,0,E36/C36)</f>
        <v>1.6721533650816335E-2</v>
      </c>
    </row>
    <row r="37" spans="1:8" ht="24" customHeight="1" x14ac:dyDescent="0.2">
      <c r="A37" s="21">
        <v>2</v>
      </c>
      <c r="B37" s="22" t="s">
        <v>39</v>
      </c>
      <c r="C37" s="23">
        <v>104096037</v>
      </c>
      <c r="D37" s="23">
        <v>108161901</v>
      </c>
      <c r="E37" s="23">
        <f>D37-C37</f>
        <v>4065864</v>
      </c>
      <c r="F37" s="24">
        <f>IF(C37=0,0,E37/C37)</f>
        <v>3.9058778001318149E-2</v>
      </c>
    </row>
    <row r="38" spans="1:8" ht="24" customHeight="1" x14ac:dyDescent="0.25">
      <c r="A38" s="25"/>
      <c r="B38" s="26" t="s">
        <v>40</v>
      </c>
      <c r="C38" s="27">
        <f>C36-C37</f>
        <v>46222352</v>
      </c>
      <c r="D38" s="27">
        <f>D36-D37</f>
        <v>44670042</v>
      </c>
      <c r="E38" s="27">
        <f>D38-C38</f>
        <v>-1552310</v>
      </c>
      <c r="F38" s="28">
        <f>IF(C38=0,0,E38/C38)</f>
        <v>-3.3583535515457973E-2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0</v>
      </c>
      <c r="D40" s="23">
        <v>0</v>
      </c>
      <c r="E40" s="23">
        <f>D40-C40</f>
        <v>0</v>
      </c>
      <c r="F40" s="24">
        <f>IF(C40=0,0,E40/C40)</f>
        <v>0</v>
      </c>
    </row>
    <row r="41" spans="1:8" ht="24" customHeight="1" x14ac:dyDescent="0.25">
      <c r="A41" s="25"/>
      <c r="B41" s="26" t="s">
        <v>42</v>
      </c>
      <c r="C41" s="27">
        <f>+C38+C40</f>
        <v>46222352</v>
      </c>
      <c r="D41" s="27">
        <f>+D38+D40</f>
        <v>44670042</v>
      </c>
      <c r="E41" s="27">
        <f>D41-C41</f>
        <v>-1552310</v>
      </c>
      <c r="F41" s="28">
        <f>IF(C41=0,0,E41/C41)</f>
        <v>-3.3583535515457973E-2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153005388</v>
      </c>
      <c r="D43" s="27">
        <f>D22+D29+D31+D32+D33+D41</f>
        <v>159811827</v>
      </c>
      <c r="E43" s="27">
        <f>D43-C43</f>
        <v>6806439</v>
      </c>
      <c r="F43" s="28">
        <f>IF(C43=0,0,E43/C43)</f>
        <v>4.4484962843269284E-2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10257305</v>
      </c>
      <c r="D49" s="23">
        <v>11742861</v>
      </c>
      <c r="E49" s="23">
        <f t="shared" ref="E49:E56" si="2">D49-C49</f>
        <v>1485556</v>
      </c>
      <c r="F49" s="24">
        <f t="shared" ref="F49:F56" si="3">IF(C49=0,0,E49/C49)</f>
        <v>0.14482907547352838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4374680</v>
      </c>
      <c r="D50" s="23">
        <v>4183195</v>
      </c>
      <c r="E50" s="23">
        <f t="shared" si="2"/>
        <v>-191485</v>
      </c>
      <c r="F50" s="24">
        <f t="shared" si="3"/>
        <v>-4.3771201550741996E-2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6846898</v>
      </c>
      <c r="D51" s="23">
        <v>5935477</v>
      </c>
      <c r="E51" s="23">
        <f t="shared" si="2"/>
        <v>-911421</v>
      </c>
      <c r="F51" s="24">
        <f t="shared" si="3"/>
        <v>-0.13311444102132089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2636558</v>
      </c>
      <c r="D53" s="23">
        <v>2749509</v>
      </c>
      <c r="E53" s="23">
        <f t="shared" si="2"/>
        <v>112951</v>
      </c>
      <c r="F53" s="24">
        <f t="shared" si="3"/>
        <v>4.2840324392636159E-2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6107330</v>
      </c>
      <c r="D55" s="23">
        <v>7670100</v>
      </c>
      <c r="E55" s="23">
        <f t="shared" si="2"/>
        <v>1562770</v>
      </c>
      <c r="F55" s="24">
        <f t="shared" si="3"/>
        <v>0.25588432260906158</v>
      </c>
    </row>
    <row r="56" spans="1:6" ht="24" customHeight="1" x14ac:dyDescent="0.25">
      <c r="A56" s="25"/>
      <c r="B56" s="26" t="s">
        <v>54</v>
      </c>
      <c r="C56" s="27">
        <f>SUM(C49:C55)</f>
        <v>30222771</v>
      </c>
      <c r="D56" s="27">
        <f>SUM(D49:D55)</f>
        <v>32281142</v>
      </c>
      <c r="E56" s="27">
        <f t="shared" si="2"/>
        <v>2058371</v>
      </c>
      <c r="F56" s="28">
        <f t="shared" si="3"/>
        <v>6.8106627284440599E-2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26158144</v>
      </c>
      <c r="D59" s="23">
        <v>24638555</v>
      </c>
      <c r="E59" s="23">
        <f>D59-C59</f>
        <v>-1519589</v>
      </c>
      <c r="F59" s="24">
        <f>IF(C59=0,0,E59/C59)</f>
        <v>-5.8092386065311058E-2</v>
      </c>
    </row>
    <row r="60" spans="1:6" ht="24" customHeight="1" x14ac:dyDescent="0.2">
      <c r="A60" s="21">
        <v>2</v>
      </c>
      <c r="B60" s="22" t="s">
        <v>57</v>
      </c>
      <c r="C60" s="23">
        <v>1808369</v>
      </c>
      <c r="D60" s="23">
        <v>613860</v>
      </c>
      <c r="E60" s="23">
        <f>D60-C60</f>
        <v>-1194509</v>
      </c>
      <c r="F60" s="24">
        <f>IF(C60=0,0,E60/C60)</f>
        <v>-0.66054494409050368</v>
      </c>
    </row>
    <row r="61" spans="1:6" ht="24" customHeight="1" x14ac:dyDescent="0.25">
      <c r="A61" s="25"/>
      <c r="B61" s="26" t="s">
        <v>58</v>
      </c>
      <c r="C61" s="27">
        <f>SUM(C59:C60)</f>
        <v>27966513</v>
      </c>
      <c r="D61" s="27">
        <f>SUM(D59:D60)</f>
        <v>25252415</v>
      </c>
      <c r="E61" s="27">
        <f>D61-C61</f>
        <v>-2714098</v>
      </c>
      <c r="F61" s="28">
        <f>IF(C61=0,0,E61/C61)</f>
        <v>-9.7048137535058449E-2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71556888</v>
      </c>
      <c r="D63" s="23">
        <v>67434427</v>
      </c>
      <c r="E63" s="23">
        <f>D63-C63</f>
        <v>-4122461</v>
      </c>
      <c r="F63" s="24">
        <f>IF(C63=0,0,E63/C63)</f>
        <v>-5.7610959828213883E-2</v>
      </c>
    </row>
    <row r="64" spans="1:6" ht="24" customHeight="1" x14ac:dyDescent="0.2">
      <c r="A64" s="21">
        <v>4</v>
      </c>
      <c r="B64" s="22" t="s">
        <v>60</v>
      </c>
      <c r="C64" s="23">
        <v>11997906</v>
      </c>
      <c r="D64" s="23">
        <v>11129704</v>
      </c>
      <c r="E64" s="23">
        <f>D64-C64</f>
        <v>-868202</v>
      </c>
      <c r="F64" s="24">
        <f>IF(C64=0,0,E64/C64)</f>
        <v>-7.2362793974215162E-2</v>
      </c>
    </row>
    <row r="65" spans="1:6" ht="24" customHeight="1" x14ac:dyDescent="0.25">
      <c r="A65" s="25"/>
      <c r="B65" s="26" t="s">
        <v>61</v>
      </c>
      <c r="C65" s="27">
        <f>SUM(C61:C64)</f>
        <v>111521307</v>
      </c>
      <c r="D65" s="27">
        <f>SUM(D61:D64)</f>
        <v>103816546</v>
      </c>
      <c r="E65" s="27">
        <f>D65-C65</f>
        <v>-7704761</v>
      </c>
      <c r="F65" s="28">
        <f>IF(C65=0,0,E65/C65)</f>
        <v>-6.9087793241160628E-2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-4907594</v>
      </c>
      <c r="D70" s="23">
        <v>6754167</v>
      </c>
      <c r="E70" s="23">
        <f>D70-C70</f>
        <v>11661761</v>
      </c>
      <c r="F70" s="24">
        <f>IF(C70=0,0,E70/C70)</f>
        <v>-2.3762684932779687</v>
      </c>
    </row>
    <row r="71" spans="1:6" ht="24" customHeight="1" x14ac:dyDescent="0.2">
      <c r="A71" s="21">
        <v>2</v>
      </c>
      <c r="B71" s="22" t="s">
        <v>65</v>
      </c>
      <c r="C71" s="23">
        <v>2387465</v>
      </c>
      <c r="D71" s="23">
        <v>2582333</v>
      </c>
      <c r="E71" s="23">
        <f>D71-C71</f>
        <v>194868</v>
      </c>
      <c r="F71" s="24">
        <f>IF(C71=0,0,E71/C71)</f>
        <v>8.1621301254678078E-2</v>
      </c>
    </row>
    <row r="72" spans="1:6" ht="24" customHeight="1" x14ac:dyDescent="0.2">
      <c r="A72" s="21">
        <v>3</v>
      </c>
      <c r="B72" s="22" t="s">
        <v>66</v>
      </c>
      <c r="C72" s="23">
        <v>13781439</v>
      </c>
      <c r="D72" s="23">
        <v>14377639</v>
      </c>
      <c r="E72" s="23">
        <f>D72-C72</f>
        <v>596200</v>
      </c>
      <c r="F72" s="24">
        <f>IF(C72=0,0,E72/C72)</f>
        <v>4.3261084709659128E-2</v>
      </c>
    </row>
    <row r="73" spans="1:6" ht="24" customHeight="1" x14ac:dyDescent="0.25">
      <c r="A73" s="21"/>
      <c r="B73" s="26" t="s">
        <v>67</v>
      </c>
      <c r="C73" s="27">
        <f>SUM(C70:C72)</f>
        <v>11261310</v>
      </c>
      <c r="D73" s="27">
        <f>SUM(D70:D72)</f>
        <v>23714139</v>
      </c>
      <c r="E73" s="27">
        <f>D73-C73</f>
        <v>12452829</v>
      </c>
      <c r="F73" s="28">
        <f>IF(C73=0,0,E73/C73)</f>
        <v>1.105806429269774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153005388</v>
      </c>
      <c r="D75" s="27">
        <f>D56+D65+D67+D73</f>
        <v>159811827</v>
      </c>
      <c r="E75" s="27">
        <f>D75-C75</f>
        <v>6806439</v>
      </c>
      <c r="F75" s="28">
        <f>IF(C75=0,0,E75/C75)</f>
        <v>4.4484962843269284E-2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zoomScaleSheetLayoutView="75" workbookViewId="0">
      <selection sqref="A1:F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223019000</v>
      </c>
      <c r="D11" s="51">
        <v>238143000</v>
      </c>
      <c r="E11" s="51">
        <v>243847000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12133000</v>
      </c>
      <c r="D12" s="49">
        <v>7585000</v>
      </c>
      <c r="E12" s="49">
        <v>7572000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235152000</v>
      </c>
      <c r="D13" s="51">
        <f>+D11+D12</f>
        <v>245728000</v>
      </c>
      <c r="E13" s="51">
        <f>+E11+E12</f>
        <v>251419000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232346000</v>
      </c>
      <c r="D14" s="49">
        <v>237560000</v>
      </c>
      <c r="E14" s="49">
        <v>247317000</v>
      </c>
      <c r="F14" s="70"/>
    </row>
    <row r="15" spans="1:6" s="56" customFormat="1" ht="33" customHeight="1" x14ac:dyDescent="0.2">
      <c r="A15" s="44">
        <v>5</v>
      </c>
      <c r="B15" s="48" t="s">
        <v>90</v>
      </c>
      <c r="C15" s="51">
        <f>+C13-C14</f>
        <v>2806000</v>
      </c>
      <c r="D15" s="51">
        <f>+D13-D14</f>
        <v>8168000</v>
      </c>
      <c r="E15" s="51">
        <f>+E13-E14</f>
        <v>4102000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1445000</v>
      </c>
      <c r="D16" s="49">
        <v>285000</v>
      </c>
      <c r="E16" s="49">
        <v>2435000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4251000</v>
      </c>
      <c r="D17" s="51">
        <f>D15+D16</f>
        <v>8453000</v>
      </c>
      <c r="E17" s="51">
        <f>E15+E16</f>
        <v>6537000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1.1859829160978372E-2</v>
      </c>
      <c r="D20" s="169">
        <f>IF(+D27=0,0,+D24/+D27)</f>
        <v>3.320149748184039E-2</v>
      </c>
      <c r="E20" s="169">
        <f>IF(+E27=0,0,+E24/+E27)</f>
        <v>1.6158894482655384E-2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6.1074316242386842E-3</v>
      </c>
      <c r="D21" s="169">
        <f>IF(+D27=0,0,+D26/+D27)</f>
        <v>1.1584753651229813E-3</v>
      </c>
      <c r="E21" s="169">
        <f>IF(+E27=0,0,+E26/+E27)</f>
        <v>9.5921277584753439E-3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1.7967260785217057E-2</v>
      </c>
      <c r="D22" s="169">
        <f>IF(+D27=0,0,+D28/+D27)</f>
        <v>3.435997284696337E-2</v>
      </c>
      <c r="E22" s="169">
        <f>IF(+E27=0,0,+E28/+E27)</f>
        <v>2.5751022241130728E-2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2806000</v>
      </c>
      <c r="D24" s="51">
        <f>+D15</f>
        <v>8168000</v>
      </c>
      <c r="E24" s="51">
        <f>+E15</f>
        <v>4102000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235152000</v>
      </c>
      <c r="D25" s="51">
        <f>+D13</f>
        <v>245728000</v>
      </c>
      <c r="E25" s="51">
        <f>+E13</f>
        <v>251419000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1445000</v>
      </c>
      <c r="D26" s="51">
        <f>+D16</f>
        <v>285000</v>
      </c>
      <c r="E26" s="51">
        <f>+E16</f>
        <v>2435000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236597000</v>
      </c>
      <c r="D27" s="51">
        <f>SUM(D25:D26)</f>
        <v>246013000</v>
      </c>
      <c r="E27" s="51">
        <f>SUM(E25:E26)</f>
        <v>253854000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4251000</v>
      </c>
      <c r="D28" s="51">
        <f>+D17</f>
        <v>8453000</v>
      </c>
      <c r="E28" s="51">
        <f>+E17</f>
        <v>6537000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945000</v>
      </c>
      <c r="D31" s="51">
        <v>-3025000</v>
      </c>
      <c r="E31" s="52">
        <v>7737000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17247000</v>
      </c>
      <c r="D32" s="51">
        <v>13143000</v>
      </c>
      <c r="E32" s="51">
        <v>24697000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-3974000</v>
      </c>
      <c r="D33" s="51">
        <f>+D32-C32</f>
        <v>-4104000</v>
      </c>
      <c r="E33" s="51">
        <f>+E32-D32</f>
        <v>11554000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0.81269999999999998</v>
      </c>
      <c r="D34" s="171">
        <f>IF(C32=0,0,+D33/C32)</f>
        <v>-0.23795442685684468</v>
      </c>
      <c r="E34" s="171">
        <f>IF(D32=0,0,+E33/D32)</f>
        <v>0.87909914022673663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1.4098800591489129</v>
      </c>
      <c r="D38" s="269">
        <f>IF(+D40=0,0,+D39/+D40)</f>
        <v>1.6006970918200631</v>
      </c>
      <c r="E38" s="269">
        <f>IF(+E40=0,0,+E39/+E40)</f>
        <v>1.657609262543027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51486000</v>
      </c>
      <c r="D39" s="270">
        <v>58784000</v>
      </c>
      <c r="E39" s="270">
        <v>63566000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36518000</v>
      </c>
      <c r="D40" s="270">
        <v>36724000</v>
      </c>
      <c r="E40" s="270">
        <v>38348000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30.322251933869936</v>
      </c>
      <c r="D42" s="271">
        <f>IF((D48/365)=0,0,+D45/(D48/365))</f>
        <v>37.328148678228658</v>
      </c>
      <c r="E42" s="271">
        <f>IF((E48/365)=0,0,+E45/(E48/365))</f>
        <v>40.644597823845508</v>
      </c>
    </row>
    <row r="43" spans="1:14" ht="24" customHeight="1" x14ac:dyDescent="0.2">
      <c r="A43" s="17">
        <v>5</v>
      </c>
      <c r="B43" s="188" t="s">
        <v>16</v>
      </c>
      <c r="C43" s="272">
        <v>17469000</v>
      </c>
      <c r="D43" s="272">
        <v>23213000</v>
      </c>
      <c r="E43" s="272">
        <v>26358000</v>
      </c>
    </row>
    <row r="44" spans="1:14" ht="24" customHeight="1" x14ac:dyDescent="0.2">
      <c r="A44" s="17">
        <v>6</v>
      </c>
      <c r="B44" s="273" t="s">
        <v>17</v>
      </c>
      <c r="C44" s="274">
        <v>1078000</v>
      </c>
      <c r="D44" s="274">
        <v>1082000</v>
      </c>
      <c r="E44" s="274">
        <v>1182000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18547000</v>
      </c>
      <c r="D45" s="270">
        <f>+D43+D44</f>
        <v>24295000</v>
      </c>
      <c r="E45" s="270">
        <f>+E43+E44</f>
        <v>27540000</v>
      </c>
    </row>
    <row r="46" spans="1:14" ht="24" customHeight="1" x14ac:dyDescent="0.2">
      <c r="A46" s="17">
        <v>8</v>
      </c>
      <c r="B46" s="45" t="s">
        <v>324</v>
      </c>
      <c r="C46" s="270">
        <f>+C14</f>
        <v>232346000</v>
      </c>
      <c r="D46" s="270">
        <f>+D14</f>
        <v>237560000</v>
      </c>
      <c r="E46" s="270">
        <f>+E14</f>
        <v>247317000</v>
      </c>
    </row>
    <row r="47" spans="1:14" ht="24" customHeight="1" x14ac:dyDescent="0.2">
      <c r="A47" s="17">
        <v>9</v>
      </c>
      <c r="B47" s="45" t="s">
        <v>347</v>
      </c>
      <c r="C47" s="270">
        <v>9089000</v>
      </c>
      <c r="D47" s="270">
        <v>0</v>
      </c>
      <c r="E47" s="270">
        <v>0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223257000</v>
      </c>
      <c r="D48" s="270">
        <f>+D46-D47</f>
        <v>237560000</v>
      </c>
      <c r="E48" s="270">
        <f>+E46-E47</f>
        <v>247317000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30.02073814338689</v>
      </c>
      <c r="D50" s="278">
        <f>IF((D55/365)=0,0,+D54/(D55/365))</f>
        <v>29.0245986655077</v>
      </c>
      <c r="E50" s="278">
        <f>IF((E55/365)=0,0,+E54/(E55/365))</f>
        <v>31.159723105061783</v>
      </c>
    </row>
    <row r="51" spans="1:5" ht="24" customHeight="1" x14ac:dyDescent="0.2">
      <c r="A51" s="17">
        <v>12</v>
      </c>
      <c r="B51" s="188" t="s">
        <v>350</v>
      </c>
      <c r="C51" s="279">
        <v>23771000</v>
      </c>
      <c r="D51" s="279">
        <v>25784000</v>
      </c>
      <c r="E51" s="279">
        <v>26752000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5428000</v>
      </c>
      <c r="D53" s="270">
        <v>6847000</v>
      </c>
      <c r="E53" s="270">
        <v>5935000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18343000</v>
      </c>
      <c r="D54" s="280">
        <f>+D51+D52-D53</f>
        <v>18937000</v>
      </c>
      <c r="E54" s="280">
        <f>+E51+E52-E53</f>
        <v>20817000</v>
      </c>
    </row>
    <row r="55" spans="1:5" ht="24" customHeight="1" x14ac:dyDescent="0.2">
      <c r="A55" s="17">
        <v>16</v>
      </c>
      <c r="B55" s="45" t="s">
        <v>75</v>
      </c>
      <c r="C55" s="270">
        <f>+C11</f>
        <v>223019000</v>
      </c>
      <c r="D55" s="270">
        <f>+D11</f>
        <v>238143000</v>
      </c>
      <c r="E55" s="270">
        <f>+E11</f>
        <v>243847000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59.702808870494543</v>
      </c>
      <c r="D57" s="283">
        <f>IF((D61/365)=0,0,+D58/(D61/365))</f>
        <v>56.42473480383903</v>
      </c>
      <c r="E57" s="283">
        <f>IF((E61/365)=0,0,+E58/(E61/365))</f>
        <v>56.595462503588507</v>
      </c>
    </row>
    <row r="58" spans="1:5" ht="24" customHeight="1" x14ac:dyDescent="0.2">
      <c r="A58" s="17">
        <v>18</v>
      </c>
      <c r="B58" s="45" t="s">
        <v>54</v>
      </c>
      <c r="C58" s="281">
        <f>+C40</f>
        <v>36518000</v>
      </c>
      <c r="D58" s="281">
        <f>+D40</f>
        <v>36724000</v>
      </c>
      <c r="E58" s="281">
        <f>+E40</f>
        <v>38348000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232346000</v>
      </c>
      <c r="D59" s="281">
        <f t="shared" si="0"/>
        <v>237560000</v>
      </c>
      <c r="E59" s="281">
        <f t="shared" si="0"/>
        <v>247317000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9089000</v>
      </c>
      <c r="D60" s="176">
        <f t="shared" si="0"/>
        <v>0</v>
      </c>
      <c r="E60" s="176">
        <f t="shared" si="0"/>
        <v>0</v>
      </c>
    </row>
    <row r="61" spans="1:5" ht="24" customHeight="1" x14ac:dyDescent="0.2">
      <c r="A61" s="17">
        <v>21</v>
      </c>
      <c r="B61" s="45" t="s">
        <v>353</v>
      </c>
      <c r="C61" s="281">
        <f>+C59-C60</f>
        <v>223257000</v>
      </c>
      <c r="D61" s="281">
        <f>+D59-D60</f>
        <v>237560000</v>
      </c>
      <c r="E61" s="281">
        <f>+E59-E60</f>
        <v>247317000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10.172400573292361</v>
      </c>
      <c r="D65" s="284">
        <f>IF(D67=0,0,(D66/D67)*100)</f>
        <v>7.3906417818964982</v>
      </c>
      <c r="E65" s="284">
        <f>IF(E67=0,0,(E66/E67)*100)</f>
        <v>13.233276893070709</v>
      </c>
    </row>
    <row r="66" spans="1:5" ht="24" customHeight="1" x14ac:dyDescent="0.2">
      <c r="A66" s="17">
        <v>2</v>
      </c>
      <c r="B66" s="45" t="s">
        <v>67</v>
      </c>
      <c r="C66" s="281">
        <f>+C32</f>
        <v>17247000</v>
      </c>
      <c r="D66" s="281">
        <f>+D32</f>
        <v>13143000</v>
      </c>
      <c r="E66" s="281">
        <f>+E32</f>
        <v>24697000</v>
      </c>
    </row>
    <row r="67" spans="1:5" ht="24" customHeight="1" x14ac:dyDescent="0.2">
      <c r="A67" s="17">
        <v>3</v>
      </c>
      <c r="B67" s="45" t="s">
        <v>43</v>
      </c>
      <c r="C67" s="281">
        <v>169547000</v>
      </c>
      <c r="D67" s="281">
        <v>177833000</v>
      </c>
      <c r="E67" s="281">
        <v>186628000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19.885516665672888</v>
      </c>
      <c r="D69" s="284">
        <f>IF(D75=0,0,(D72/D75)*100)</f>
        <v>13.007216827980979</v>
      </c>
      <c r="E69" s="284">
        <f>IF(E75=0,0,(E72/E75)*100)</f>
        <v>10.035770760090271</v>
      </c>
    </row>
    <row r="70" spans="1:5" ht="24" customHeight="1" x14ac:dyDescent="0.2">
      <c r="A70" s="17">
        <v>5</v>
      </c>
      <c r="B70" s="45" t="s">
        <v>358</v>
      </c>
      <c r="C70" s="281">
        <f>+C28</f>
        <v>4251000</v>
      </c>
      <c r="D70" s="281">
        <f>+D28</f>
        <v>8453000</v>
      </c>
      <c r="E70" s="281">
        <f>+E28</f>
        <v>6537000</v>
      </c>
    </row>
    <row r="71" spans="1:5" ht="24" customHeight="1" x14ac:dyDescent="0.2">
      <c r="A71" s="17">
        <v>6</v>
      </c>
      <c r="B71" s="45" t="s">
        <v>347</v>
      </c>
      <c r="C71" s="176">
        <f>+C47</f>
        <v>9089000</v>
      </c>
      <c r="D71" s="176">
        <f>+D47</f>
        <v>0</v>
      </c>
      <c r="E71" s="176">
        <f>+E47</f>
        <v>0</v>
      </c>
    </row>
    <row r="72" spans="1:5" ht="24" customHeight="1" x14ac:dyDescent="0.2">
      <c r="A72" s="17">
        <v>7</v>
      </c>
      <c r="B72" s="45" t="s">
        <v>359</v>
      </c>
      <c r="C72" s="281">
        <f>+C70+C71</f>
        <v>13340000</v>
      </c>
      <c r="D72" s="281">
        <f>+D70+D71</f>
        <v>8453000</v>
      </c>
      <c r="E72" s="281">
        <f>+E70+E71</f>
        <v>6537000</v>
      </c>
    </row>
    <row r="73" spans="1:5" ht="24" customHeight="1" x14ac:dyDescent="0.2">
      <c r="A73" s="17">
        <v>8</v>
      </c>
      <c r="B73" s="45" t="s">
        <v>54</v>
      </c>
      <c r="C73" s="270">
        <f>+C40</f>
        <v>36518000</v>
      </c>
      <c r="D73" s="270">
        <f>+D40</f>
        <v>36724000</v>
      </c>
      <c r="E73" s="270">
        <f>+E40</f>
        <v>38348000</v>
      </c>
    </row>
    <row r="74" spans="1:5" ht="24" customHeight="1" x14ac:dyDescent="0.2">
      <c r="A74" s="17">
        <v>9</v>
      </c>
      <c r="B74" s="45" t="s">
        <v>58</v>
      </c>
      <c r="C74" s="281">
        <v>30566000</v>
      </c>
      <c r="D74" s="281">
        <v>28263000</v>
      </c>
      <c r="E74" s="281">
        <v>26789000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67084000</v>
      </c>
      <c r="D75" s="270">
        <f>+D73+D74</f>
        <v>64987000</v>
      </c>
      <c r="E75" s="270">
        <f>+E73+E74</f>
        <v>65137000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63.928220358479912</v>
      </c>
      <c r="D77" s="286">
        <f>IF(D80=0,0,(D78/D80)*100)</f>
        <v>68.258223445877405</v>
      </c>
      <c r="E77" s="286">
        <f>IF(E80=0,0,(E78/E80)*100)</f>
        <v>52.031620246280539</v>
      </c>
    </row>
    <row r="78" spans="1:5" ht="24" customHeight="1" x14ac:dyDescent="0.2">
      <c r="A78" s="17">
        <v>12</v>
      </c>
      <c r="B78" s="45" t="s">
        <v>58</v>
      </c>
      <c r="C78" s="270">
        <f>+C74</f>
        <v>30566000</v>
      </c>
      <c r="D78" s="270">
        <f>+D74</f>
        <v>28263000</v>
      </c>
      <c r="E78" s="270">
        <f>+E74</f>
        <v>26789000</v>
      </c>
    </row>
    <row r="79" spans="1:5" ht="24" customHeight="1" x14ac:dyDescent="0.2">
      <c r="A79" s="17">
        <v>13</v>
      </c>
      <c r="B79" s="45" t="s">
        <v>67</v>
      </c>
      <c r="C79" s="270">
        <f>+C32</f>
        <v>17247000</v>
      </c>
      <c r="D79" s="270">
        <f>+D32</f>
        <v>13143000</v>
      </c>
      <c r="E79" s="270">
        <f>+E32</f>
        <v>24697000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47813000</v>
      </c>
      <c r="D80" s="270">
        <f>+D78+D79</f>
        <v>41406000</v>
      </c>
      <c r="E80" s="270">
        <f>+E78+E79</f>
        <v>51486000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r:id="rId1"/>
  <headerFooter>
    <oddHeader>&amp;L&amp;8OFFICE OF HEALTH CARE ACCESS&amp;C&amp;8TWELVE MONTHS ACTUAL FILING&amp;R&amp;8SAINT MARY`S HEALTH SYSTEM,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zoomScaleSheetLayoutView="75" workbookViewId="0">
      <selection sqref="A1:F1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38326</v>
      </c>
      <c r="D11" s="297">
        <v>124</v>
      </c>
      <c r="E11" s="297">
        <v>124</v>
      </c>
      <c r="F11" s="298">
        <f>IF(D11=0,0,$C11/(D11*365))</f>
        <v>0.84679628811312413</v>
      </c>
      <c r="G11" s="298">
        <f>IF(E11=0,0,$C11/(E11*365))</f>
        <v>0.84679628811312413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3485</v>
      </c>
      <c r="D13" s="297">
        <v>16</v>
      </c>
      <c r="E13" s="297">
        <v>16</v>
      </c>
      <c r="F13" s="298">
        <f>IF(D13=0,0,$C13/(D13*365))</f>
        <v>0.59674657534246578</v>
      </c>
      <c r="G13" s="298">
        <f>IF(E13=0,0,$C13/(E13*365))</f>
        <v>0.59674657534246578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33" customHeight="1" x14ac:dyDescent="0.2">
      <c r="A15" s="294">
        <v>3</v>
      </c>
      <c r="B15" s="295" t="s">
        <v>507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4116</v>
      </c>
      <c r="D16" s="297">
        <v>12</v>
      </c>
      <c r="E16" s="297">
        <v>12</v>
      </c>
      <c r="F16" s="298">
        <f t="shared" si="0"/>
        <v>0.9397260273972603</v>
      </c>
      <c r="G16" s="298">
        <f t="shared" si="0"/>
        <v>0.9397260273972603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4116</v>
      </c>
      <c r="D17" s="300">
        <f>SUM(D15:D16)</f>
        <v>12</v>
      </c>
      <c r="E17" s="300">
        <f>SUM(E15:E16)</f>
        <v>12</v>
      </c>
      <c r="F17" s="301">
        <f t="shared" si="0"/>
        <v>0.9397260273972603</v>
      </c>
      <c r="G17" s="301">
        <f t="shared" si="0"/>
        <v>0.9397260273972603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3022</v>
      </c>
      <c r="D21" s="297">
        <v>14</v>
      </c>
      <c r="E21" s="297">
        <v>14</v>
      </c>
      <c r="F21" s="298">
        <f>IF(D21=0,0,$C21/(D21*365))</f>
        <v>0.59138943248532294</v>
      </c>
      <c r="G21" s="298">
        <f>IF(E21=0,0,$C21/(E21*365))</f>
        <v>0.59138943248532294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2204</v>
      </c>
      <c r="D23" s="297">
        <v>7</v>
      </c>
      <c r="E23" s="297">
        <v>7</v>
      </c>
      <c r="F23" s="298">
        <f>IF(D23=0,0,$C23/(D23*365))</f>
        <v>0.8626223091976517</v>
      </c>
      <c r="G23" s="298">
        <f>IF(E23=0,0,$C23/(E23*365))</f>
        <v>0.8626223091976517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0</v>
      </c>
      <c r="D25" s="297">
        <v>0</v>
      </c>
      <c r="E25" s="297">
        <v>0</v>
      </c>
      <c r="F25" s="298">
        <f>IF(D25=0,0,$C25/(D25*365))</f>
        <v>0</v>
      </c>
      <c r="G25" s="298">
        <f>IF(E25=0,0,$C25/(E25*365))</f>
        <v>0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0</v>
      </c>
      <c r="D27" s="297">
        <v>0</v>
      </c>
      <c r="E27" s="297">
        <v>0</v>
      </c>
      <c r="F27" s="298">
        <f>IF(D27=0,0,$C27/(D27*365))</f>
        <v>0</v>
      </c>
      <c r="G27" s="298">
        <f>IF(E27=0,0,$C27/(E27*365))</f>
        <v>0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1454</v>
      </c>
      <c r="D29" s="297">
        <v>8</v>
      </c>
      <c r="E29" s="297">
        <v>8</v>
      </c>
      <c r="F29" s="298">
        <f>IF(D29=0,0,$C29/(D29*365))</f>
        <v>0.49794520547945204</v>
      </c>
      <c r="G29" s="298">
        <f>IF(E29=0,0,$C29/(E29*365))</f>
        <v>0.49794520547945204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50403</v>
      </c>
      <c r="D31" s="300">
        <f>SUM(D10:D29)-D17-D23</f>
        <v>174</v>
      </c>
      <c r="E31" s="300">
        <f>SUM(E10:E29)-E17-E23</f>
        <v>174</v>
      </c>
      <c r="F31" s="301">
        <f>IF(D31=0,0,$C31/(D31*365))</f>
        <v>0.79362305148795464</v>
      </c>
      <c r="G31" s="301">
        <f>IF(E31=0,0,$C31/(E31*365))</f>
        <v>0.79362305148795464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52607</v>
      </c>
      <c r="D33" s="300">
        <f>SUM(D10:D29)-D17</f>
        <v>181</v>
      </c>
      <c r="E33" s="300">
        <f>SUM(E10:E29)-E17</f>
        <v>181</v>
      </c>
      <c r="F33" s="301">
        <f>IF(D33=0,0,$C33/(D33*365))</f>
        <v>0.79629153106788764</v>
      </c>
      <c r="G33" s="301">
        <f>IF(E33=0,0,$C33/(E33*365))</f>
        <v>0.79629153106788764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52607</v>
      </c>
      <c r="D36" s="300">
        <f>+D33</f>
        <v>181</v>
      </c>
      <c r="E36" s="300">
        <f>+E33</f>
        <v>181</v>
      </c>
      <c r="F36" s="301">
        <f>+F33</f>
        <v>0.79629153106788764</v>
      </c>
      <c r="G36" s="301">
        <f>+G33</f>
        <v>0.79629153106788764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53096</v>
      </c>
      <c r="D37" s="302">
        <v>196</v>
      </c>
      <c r="E37" s="302">
        <v>196</v>
      </c>
      <c r="F37" s="301">
        <f>IF(D37=0,0,$C37/(D37*365))</f>
        <v>0.74218618954431093</v>
      </c>
      <c r="G37" s="301">
        <f>IF(E37=0,0,$C37/(E37*365))</f>
        <v>0.74218618954431093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-489</v>
      </c>
      <c r="D38" s="300">
        <f>+D36-D37</f>
        <v>-15</v>
      </c>
      <c r="E38" s="300">
        <f>+E36-E37</f>
        <v>-15</v>
      </c>
      <c r="F38" s="301">
        <f>+F36-F37</f>
        <v>5.4105341523576711E-2</v>
      </c>
      <c r="G38" s="301">
        <f>+G36-G37</f>
        <v>5.4105341523576711E-2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-9.2097333132439355E-3</v>
      </c>
      <c r="D40" s="148">
        <f>IF(D37=0,0,D38/D37)</f>
        <v>-7.6530612244897961E-2</v>
      </c>
      <c r="E40" s="148">
        <f>IF(E37=0,0,E38/E37)</f>
        <v>-7.6530612244897961E-2</v>
      </c>
      <c r="F40" s="148">
        <f>IF(F37=0,0,F38/F37)</f>
        <v>7.2899957296155601E-2</v>
      </c>
      <c r="G40" s="148">
        <f>IF(G37=0,0,G38/G37)</f>
        <v>7.2899957296155601E-2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379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r:id="rId1"/>
  <headerFooter>
    <oddHeader>&amp;LOFFICE OF HEALTH CARE ACCESS&amp;CTWELVE MONTHS ACTUAL FILING&amp;RSAINT MARY`S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8674</v>
      </c>
      <c r="D12" s="296">
        <v>8343</v>
      </c>
      <c r="E12" s="296">
        <f>+D12-C12</f>
        <v>-331</v>
      </c>
      <c r="F12" s="316">
        <f>IF(C12=0,0,+E12/C12)</f>
        <v>-3.8160018445930366E-2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6194</v>
      </c>
      <c r="D13" s="296">
        <v>5988</v>
      </c>
      <c r="E13" s="296">
        <f>+D13-C13</f>
        <v>-206</v>
      </c>
      <c r="F13" s="316">
        <f>IF(C13=0,0,+E13/C13)</f>
        <v>-3.3257991604778818E-2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9597</v>
      </c>
      <c r="D14" s="296">
        <v>10189</v>
      </c>
      <c r="E14" s="296">
        <f>+D14-C14</f>
        <v>592</v>
      </c>
      <c r="F14" s="316">
        <f>IF(C14=0,0,+E14/C14)</f>
        <v>6.1685943524017919E-2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33" customHeight="1" x14ac:dyDescent="0.25">
      <c r="A15" s="294">
        <v>4</v>
      </c>
      <c r="B15" s="295" t="s">
        <v>528</v>
      </c>
      <c r="C15" s="296">
        <v>5167</v>
      </c>
      <c r="D15" s="296">
        <v>4792</v>
      </c>
      <c r="E15" s="296">
        <f>+D15-C15</f>
        <v>-375</v>
      </c>
      <c r="F15" s="316">
        <f>IF(C15=0,0,+E15/C15)</f>
        <v>-7.2575962841107025E-2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29632</v>
      </c>
      <c r="D16" s="300">
        <f>SUM(D12:D15)</f>
        <v>29312</v>
      </c>
      <c r="E16" s="300">
        <f>+D16-C16</f>
        <v>-320</v>
      </c>
      <c r="F16" s="309">
        <f>IF(C16=0,0,+E16/C16)</f>
        <v>-1.079913606911447E-2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1984</v>
      </c>
      <c r="D19" s="296">
        <v>1830</v>
      </c>
      <c r="E19" s="296">
        <f>+D19-C19</f>
        <v>-154</v>
      </c>
      <c r="F19" s="316">
        <f>IF(C19=0,0,+E19/C19)</f>
        <v>-7.7620967741935484E-2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1890</v>
      </c>
      <c r="D20" s="296">
        <v>1907</v>
      </c>
      <c r="E20" s="296">
        <f>+D20-C20</f>
        <v>17</v>
      </c>
      <c r="F20" s="316">
        <f>IF(C20=0,0,+E20/C20)</f>
        <v>8.9947089947089946E-3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98</v>
      </c>
      <c r="D21" s="296">
        <v>126</v>
      </c>
      <c r="E21" s="296">
        <f>+D21-C21</f>
        <v>28</v>
      </c>
      <c r="F21" s="316">
        <f>IF(C21=0,0,+E21/C21)</f>
        <v>0.2857142857142857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11123</v>
      </c>
      <c r="D22" s="296">
        <v>10955</v>
      </c>
      <c r="E22" s="296">
        <f>+D22-C22</f>
        <v>-168</v>
      </c>
      <c r="F22" s="316">
        <f>IF(C22=0,0,+E22/C22)</f>
        <v>-1.5103838892385148E-2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15095</v>
      </c>
      <c r="D23" s="300">
        <f>SUM(D19:D22)</f>
        <v>14818</v>
      </c>
      <c r="E23" s="300">
        <f>+D23-C23</f>
        <v>-277</v>
      </c>
      <c r="F23" s="309">
        <f>IF(C23=0,0,+E23/C23)</f>
        <v>-1.8350447167936403E-2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838</v>
      </c>
      <c r="D29" s="296">
        <v>804</v>
      </c>
      <c r="E29" s="296">
        <f>+D29-C29</f>
        <v>-34</v>
      </c>
      <c r="F29" s="316">
        <f>IF(C29=0,0,+E29/C29)</f>
        <v>-4.0572792362768499E-2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838</v>
      </c>
      <c r="D30" s="300">
        <f>SUM(D26:D29)</f>
        <v>804</v>
      </c>
      <c r="E30" s="300">
        <f>+D30-C30</f>
        <v>-34</v>
      </c>
      <c r="F30" s="309">
        <f>IF(C30=0,0,+E30/C30)</f>
        <v>-4.0572792362768499E-2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12715</v>
      </c>
      <c r="D44" s="296">
        <v>11132</v>
      </c>
      <c r="E44" s="296">
        <f>+D44-C44</f>
        <v>-1583</v>
      </c>
      <c r="F44" s="316">
        <f>IF(C44=0,0,+E44/C44)</f>
        <v>-0.12449862367282737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12715</v>
      </c>
      <c r="D45" s="300">
        <f>SUM(D43:D44)</f>
        <v>11132</v>
      </c>
      <c r="E45" s="300">
        <f>+D45-C45</f>
        <v>-1583</v>
      </c>
      <c r="F45" s="309">
        <f>IF(C45=0,0,+E45/C45)</f>
        <v>-0.12449862367282737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470</v>
      </c>
      <c r="D48" s="296">
        <v>470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290</v>
      </c>
      <c r="D49" s="296">
        <v>334</v>
      </c>
      <c r="E49" s="296">
        <f>+D49-C49</f>
        <v>44</v>
      </c>
      <c r="F49" s="316">
        <f>IF(C49=0,0,+E49/C49)</f>
        <v>0.15172413793103448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760</v>
      </c>
      <c r="D50" s="300">
        <f>SUM(D48:D49)</f>
        <v>804</v>
      </c>
      <c r="E50" s="300">
        <f>+D50-C50</f>
        <v>44</v>
      </c>
      <c r="F50" s="309">
        <f>IF(C50=0,0,+E50/C50)</f>
        <v>5.7894736842105263E-2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255</v>
      </c>
      <c r="D53" s="296">
        <v>291</v>
      </c>
      <c r="E53" s="296">
        <f>+D53-C53</f>
        <v>36</v>
      </c>
      <c r="F53" s="316">
        <f>IF(C53=0,0,+E53/C53)</f>
        <v>0.14117647058823529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255</v>
      </c>
      <c r="D55" s="300">
        <f>SUM(D53:D54)</f>
        <v>291</v>
      </c>
      <c r="E55" s="300">
        <f>+D55-C55</f>
        <v>36</v>
      </c>
      <c r="F55" s="309">
        <f>IF(C55=0,0,+E55/C55)</f>
        <v>0.14117647058823529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258</v>
      </c>
      <c r="D58" s="296">
        <v>149</v>
      </c>
      <c r="E58" s="296">
        <f>+D58-C58</f>
        <v>-109</v>
      </c>
      <c r="F58" s="316">
        <f>IF(C58=0,0,+E58/C58)</f>
        <v>-0.42248062015503873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20</v>
      </c>
      <c r="D59" s="296">
        <v>23</v>
      </c>
      <c r="E59" s="296">
        <f>+D59-C59</f>
        <v>3</v>
      </c>
      <c r="F59" s="316">
        <f>IF(C59=0,0,+E59/C59)</f>
        <v>0.15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278</v>
      </c>
      <c r="D60" s="300">
        <f>SUM(D58:D59)</f>
        <v>172</v>
      </c>
      <c r="E60" s="300">
        <f>SUM(E58:E59)</f>
        <v>-106</v>
      </c>
      <c r="F60" s="309">
        <f>IF(C60=0,0,+E60/C60)</f>
        <v>-0.38129496402877699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8870</v>
      </c>
      <c r="D63" s="296">
        <v>8642</v>
      </c>
      <c r="E63" s="296">
        <f>+D63-C63</f>
        <v>-228</v>
      </c>
      <c r="F63" s="316">
        <f>IF(C63=0,0,+E63/C63)</f>
        <v>-2.5704622322435176E-2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10164</v>
      </c>
      <c r="D64" s="296">
        <v>9804</v>
      </c>
      <c r="E64" s="296">
        <f>+D64-C64</f>
        <v>-360</v>
      </c>
      <c r="F64" s="316">
        <f>IF(C64=0,0,+E64/C64)</f>
        <v>-3.541912632821724E-2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19034</v>
      </c>
      <c r="D65" s="300">
        <f>SUM(D63:D64)</f>
        <v>18446</v>
      </c>
      <c r="E65" s="300">
        <f>+D65-C65</f>
        <v>-588</v>
      </c>
      <c r="F65" s="309">
        <f>IF(C65=0,0,+E65/C65)</f>
        <v>-3.0892087842807607E-2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367</v>
      </c>
      <c r="D68" s="296">
        <v>336</v>
      </c>
      <c r="E68" s="296">
        <f>+D68-C68</f>
        <v>-31</v>
      </c>
      <c r="F68" s="316">
        <f>IF(C68=0,0,+E68/C68)</f>
        <v>-8.4468664850136238E-2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1943</v>
      </c>
      <c r="D69" s="296">
        <v>1648</v>
      </c>
      <c r="E69" s="296">
        <f>+D69-C69</f>
        <v>-295</v>
      </c>
      <c r="F69" s="318">
        <f>IF(C69=0,0,+E69/C69)</f>
        <v>-0.15182707153885744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2310</v>
      </c>
      <c r="D70" s="300">
        <f>SUM(D68:D69)</f>
        <v>1984</v>
      </c>
      <c r="E70" s="300">
        <f>+D70-C70</f>
        <v>-326</v>
      </c>
      <c r="F70" s="309">
        <f>IF(C70=0,0,+E70/C70)</f>
        <v>-0.14112554112554113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7575</v>
      </c>
      <c r="D73" s="319">
        <v>7441</v>
      </c>
      <c r="E73" s="296">
        <f>+D73-C73</f>
        <v>-134</v>
      </c>
      <c r="F73" s="316">
        <f>IF(C73=0,0,+E73/C73)</f>
        <v>-1.7689768976897689E-2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61984</v>
      </c>
      <c r="D74" s="319">
        <v>60527</v>
      </c>
      <c r="E74" s="296">
        <f>+D74-C74</f>
        <v>-1457</v>
      </c>
      <c r="F74" s="316">
        <f>IF(C74=0,0,+E74/C74)</f>
        <v>-2.3506066081569438E-2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69559</v>
      </c>
      <c r="D75" s="300">
        <f>SUM(D73:D74)</f>
        <v>67968</v>
      </c>
      <c r="E75" s="300">
        <f>SUM(E73:E74)</f>
        <v>-1591</v>
      </c>
      <c r="F75" s="309">
        <f>IF(C75=0,0,+E75/C75)</f>
        <v>-2.2872669244813754E-2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187</v>
      </c>
      <c r="D79" s="319">
        <v>268</v>
      </c>
      <c r="E79" s="296">
        <f t="shared" ref="E79:E84" si="0">+D79-C79</f>
        <v>81</v>
      </c>
      <c r="F79" s="316">
        <f t="shared" ref="F79:F84" si="1">IF(C79=0,0,+E79/C79)</f>
        <v>0.43315508021390375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6669</v>
      </c>
      <c r="D80" s="319">
        <v>6517</v>
      </c>
      <c r="E80" s="296">
        <f t="shared" si="0"/>
        <v>-152</v>
      </c>
      <c r="F80" s="316">
        <f t="shared" si="1"/>
        <v>-2.2792022792022793E-2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7883</v>
      </c>
      <c r="D81" s="319">
        <v>8216</v>
      </c>
      <c r="E81" s="296">
        <f t="shared" si="0"/>
        <v>333</v>
      </c>
      <c r="F81" s="316">
        <f t="shared" si="1"/>
        <v>4.2242800964099964E-2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83480</v>
      </c>
      <c r="D82" s="319">
        <v>45748</v>
      </c>
      <c r="E82" s="296">
        <f t="shared" si="0"/>
        <v>-37732</v>
      </c>
      <c r="F82" s="316">
        <f t="shared" si="1"/>
        <v>-0.45198850023957832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98219</v>
      </c>
      <c r="D84" s="320">
        <f>SUM(D79:D83)</f>
        <v>60749</v>
      </c>
      <c r="E84" s="300">
        <f t="shared" si="0"/>
        <v>-37470</v>
      </c>
      <c r="F84" s="309">
        <f t="shared" si="1"/>
        <v>-0.38149441554078134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10947</v>
      </c>
      <c r="D87" s="322">
        <v>11896</v>
      </c>
      <c r="E87" s="323">
        <f t="shared" ref="E87:E92" si="2">+D87-C87</f>
        <v>949</v>
      </c>
      <c r="F87" s="318">
        <f t="shared" ref="F87:F92" si="3">IF(C87=0,0,+E87/C87)</f>
        <v>8.6690417465972419E-2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2464</v>
      </c>
      <c r="D88" s="322">
        <v>2098</v>
      </c>
      <c r="E88" s="296">
        <f t="shared" si="2"/>
        <v>-366</v>
      </c>
      <c r="F88" s="316">
        <f t="shared" si="3"/>
        <v>-0.14853896103896103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110</v>
      </c>
      <c r="D89" s="322">
        <v>112</v>
      </c>
      <c r="E89" s="296">
        <f t="shared" si="2"/>
        <v>2</v>
      </c>
      <c r="F89" s="316">
        <f t="shared" si="3"/>
        <v>1.8181818181818181E-2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2648</v>
      </c>
      <c r="D90" s="322">
        <v>2221</v>
      </c>
      <c r="E90" s="296">
        <f t="shared" si="2"/>
        <v>-427</v>
      </c>
      <c r="F90" s="316">
        <f t="shared" si="3"/>
        <v>-0.16125377643504532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145202</v>
      </c>
      <c r="D91" s="322">
        <v>147135</v>
      </c>
      <c r="E91" s="296">
        <f t="shared" si="2"/>
        <v>1933</v>
      </c>
      <c r="F91" s="316">
        <f t="shared" si="3"/>
        <v>1.3312488808694095E-2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161371</v>
      </c>
      <c r="D92" s="320">
        <f>SUM(D87:D91)</f>
        <v>163462</v>
      </c>
      <c r="E92" s="300">
        <f t="shared" si="2"/>
        <v>2091</v>
      </c>
      <c r="F92" s="309">
        <f t="shared" si="3"/>
        <v>1.29577185491817E-2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339.6</v>
      </c>
      <c r="D96" s="325">
        <v>328.2</v>
      </c>
      <c r="E96" s="326">
        <f>+D96-C96</f>
        <v>-11.400000000000034</v>
      </c>
      <c r="F96" s="316">
        <f>IF(C96=0,0,+E96/C96)</f>
        <v>-3.3568904593639676E-2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50.8</v>
      </c>
      <c r="D97" s="325">
        <v>52.2</v>
      </c>
      <c r="E97" s="326">
        <f>+D97-C97</f>
        <v>1.4000000000000057</v>
      </c>
      <c r="F97" s="316">
        <f>IF(C97=0,0,+E97/C97)</f>
        <v>2.755905511811035E-2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815</v>
      </c>
      <c r="D98" s="325">
        <v>818.3</v>
      </c>
      <c r="E98" s="326">
        <f>+D98-C98</f>
        <v>3.2999999999999545</v>
      </c>
      <c r="F98" s="316">
        <f>IF(C98=0,0,+E98/C98)</f>
        <v>4.0490797546011712E-3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1205.4000000000001</v>
      </c>
      <c r="D99" s="327">
        <f>SUM(D96:D98)</f>
        <v>1198.6999999999998</v>
      </c>
      <c r="E99" s="327">
        <f>+D99-C99</f>
        <v>-6.7000000000002728</v>
      </c>
      <c r="F99" s="309">
        <f>IF(C99=0,0,+E99/C99)</f>
        <v>-5.5583208893315679E-3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r:id="rId1"/>
  <headerFooter>
    <oddHeader>&amp;LOFFICE OF HEALTH CARE ACCESS&amp;CTWELVE MONTHS ACTUAL FILING&amp;RSAINT MARY`S HOSPITAL</oddHeader>
    <oddFooter>&amp;LREPORT 450&amp;CPAGE &amp;P of &amp;N&amp;R&amp;D, &amp;T</oddFooter>
  </headerFooter>
  <rowBreaks count="1" manualBreakCount="1">
    <brk id="66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10164</v>
      </c>
      <c r="D12" s="296">
        <v>9804</v>
      </c>
      <c r="E12" s="296">
        <f>+D12-C12</f>
        <v>-360</v>
      </c>
      <c r="F12" s="316">
        <f>IF(C12=0,0,+E12/C12)</f>
        <v>-3.541912632821724E-2</v>
      </c>
    </row>
    <row r="13" spans="1:16" ht="15.75" customHeight="1" x14ac:dyDescent="0.25">
      <c r="A13" s="294"/>
      <c r="B13" s="135" t="s">
        <v>584</v>
      </c>
      <c r="C13" s="300">
        <f>SUM(C11:C12)</f>
        <v>10164</v>
      </c>
      <c r="D13" s="300">
        <f>SUM(D11:D12)</f>
        <v>9804</v>
      </c>
      <c r="E13" s="300">
        <f>+D13-C13</f>
        <v>-360</v>
      </c>
      <c r="F13" s="309">
        <f>IF(C13=0,0,+E13/C13)</f>
        <v>-3.541912632821724E-2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33" customHeight="1" x14ac:dyDescent="0.25">
      <c r="A15" s="293" t="s">
        <v>124</v>
      </c>
      <c r="B15" s="291" t="s">
        <v>558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583</v>
      </c>
      <c r="C16" s="296">
        <v>1943</v>
      </c>
      <c r="D16" s="296">
        <v>1648</v>
      </c>
      <c r="E16" s="296">
        <f>+D16-C16</f>
        <v>-295</v>
      </c>
      <c r="F16" s="316">
        <f>IF(C16=0,0,+E16/C16)</f>
        <v>-0.15182707153885744</v>
      </c>
    </row>
    <row r="17" spans="1:6" ht="15.75" customHeight="1" x14ac:dyDescent="0.25">
      <c r="A17" s="294"/>
      <c r="B17" s="135" t="s">
        <v>585</v>
      </c>
      <c r="C17" s="300">
        <f>SUM(C15:C16)</f>
        <v>1943</v>
      </c>
      <c r="D17" s="300">
        <f>SUM(D15:D16)</f>
        <v>1648</v>
      </c>
      <c r="E17" s="300">
        <f>+D17-C17</f>
        <v>-295</v>
      </c>
      <c r="F17" s="309">
        <f>IF(C17=0,0,+E17/C17)</f>
        <v>-0.15182707153885744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586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583</v>
      </c>
      <c r="C20" s="296">
        <v>61984</v>
      </c>
      <c r="D20" s="296">
        <v>60527</v>
      </c>
      <c r="E20" s="296">
        <f>+D20-C20</f>
        <v>-1457</v>
      </c>
      <c r="F20" s="316">
        <f>IF(C20=0,0,+E20/C20)</f>
        <v>-2.3506066081569438E-2</v>
      </c>
    </row>
    <row r="21" spans="1:6" ht="15.75" customHeight="1" x14ac:dyDescent="0.25">
      <c r="A21" s="294"/>
      <c r="B21" s="135" t="s">
        <v>587</v>
      </c>
      <c r="C21" s="300">
        <f>SUM(C19:C20)</f>
        <v>61984</v>
      </c>
      <c r="D21" s="300">
        <f>SUM(D19:D20)</f>
        <v>60527</v>
      </c>
      <c r="E21" s="300">
        <f>+D21-C21</f>
        <v>-1457</v>
      </c>
      <c r="F21" s="309">
        <f>IF(C21=0,0,+E21/C21)</f>
        <v>-2.3506066081569438E-2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588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589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590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FILING&amp;RSAINT MARY`S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Normal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591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592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593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594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595</v>
      </c>
      <c r="D7" s="341" t="s">
        <v>595</v>
      </c>
      <c r="E7" s="341" t="s">
        <v>596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597</v>
      </c>
      <c r="D8" s="344" t="s">
        <v>598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599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600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601</v>
      </c>
      <c r="C14" s="333"/>
      <c r="D14" s="333"/>
      <c r="E14" s="333"/>
      <c r="F14" s="333"/>
      <c r="Q14" s="330"/>
    </row>
    <row r="15" spans="1:21" ht="33" customHeight="1" x14ac:dyDescent="0.2">
      <c r="A15" s="338">
        <v>1</v>
      </c>
      <c r="B15" s="360" t="s">
        <v>602</v>
      </c>
      <c r="C15" s="361">
        <v>121263136</v>
      </c>
      <c r="D15" s="361">
        <v>121221236</v>
      </c>
      <c r="E15" s="361">
        <f t="shared" ref="E15:E24" si="0">D15-C15</f>
        <v>-41900</v>
      </c>
      <c r="F15" s="362">
        <f t="shared" ref="F15:F24" si="1">IF(C15=0,0,E15/C15)</f>
        <v>-3.455295762761735E-4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603</v>
      </c>
      <c r="C16" s="361">
        <v>69739881</v>
      </c>
      <c r="D16" s="361">
        <v>68673576</v>
      </c>
      <c r="E16" s="361">
        <f t="shared" si="0"/>
        <v>-1066305</v>
      </c>
      <c r="F16" s="362">
        <f t="shared" si="1"/>
        <v>-1.5289745045593066E-2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604</v>
      </c>
      <c r="C17" s="366">
        <f>IF(C15=0,0,C16/C15)</f>
        <v>0.57511196972507783</v>
      </c>
      <c r="D17" s="366">
        <f>IF(LN_IA1=0,0,LN_IA2/LN_IA1)</f>
        <v>0.56651440181652657</v>
      </c>
      <c r="E17" s="367">
        <f t="shared" si="0"/>
        <v>-8.5975679085512624E-3</v>
      </c>
      <c r="F17" s="362">
        <f t="shared" si="1"/>
        <v>-1.4949380922572657E-2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5300</v>
      </c>
      <c r="D18" s="369">
        <v>5130</v>
      </c>
      <c r="E18" s="369">
        <f t="shared" si="0"/>
        <v>-170</v>
      </c>
      <c r="F18" s="362">
        <f t="shared" si="1"/>
        <v>-3.2075471698113207E-2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605</v>
      </c>
      <c r="C19" s="372">
        <v>1.5644400000000001</v>
      </c>
      <c r="D19" s="372">
        <v>1.5350600000000001</v>
      </c>
      <c r="E19" s="373">
        <f t="shared" si="0"/>
        <v>-2.9379999999999962E-2</v>
      </c>
      <c r="F19" s="362">
        <f t="shared" si="1"/>
        <v>-1.877988289739457E-2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606</v>
      </c>
      <c r="C20" s="376">
        <f>C18*C19</f>
        <v>8291.5320000000011</v>
      </c>
      <c r="D20" s="376">
        <f>LN_IA4*LN_IA5</f>
        <v>7874.8578000000007</v>
      </c>
      <c r="E20" s="376">
        <f t="shared" si="0"/>
        <v>-416.67420000000038</v>
      </c>
      <c r="F20" s="362">
        <f t="shared" si="1"/>
        <v>-5.0252980993138581E-2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607</v>
      </c>
      <c r="C21" s="378">
        <f>IF(C20=0,0,C16/C20)</f>
        <v>8410.9765240006291</v>
      </c>
      <c r="D21" s="378">
        <f>IF(LN_IA6=0,0,LN_IA2/LN_IA6)</f>
        <v>8720.6115645669179</v>
      </c>
      <c r="E21" s="378">
        <f t="shared" si="0"/>
        <v>309.63504056628881</v>
      </c>
      <c r="F21" s="362">
        <f t="shared" si="1"/>
        <v>3.6813209462985497E-2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27889</v>
      </c>
      <c r="D22" s="369">
        <v>25670</v>
      </c>
      <c r="E22" s="369">
        <f t="shared" si="0"/>
        <v>-2219</v>
      </c>
      <c r="F22" s="362">
        <f t="shared" si="1"/>
        <v>-7.9565420058087422E-2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608</v>
      </c>
      <c r="C23" s="378">
        <f>IF(C22=0,0,C16/C22)</f>
        <v>2500.6232206246191</v>
      </c>
      <c r="D23" s="378">
        <f>IF(LN_IA8=0,0,LN_IA2/LN_IA8)</f>
        <v>2675.2464355278535</v>
      </c>
      <c r="E23" s="378">
        <f t="shared" si="0"/>
        <v>174.62321490323438</v>
      </c>
      <c r="F23" s="362">
        <f t="shared" si="1"/>
        <v>6.9831877694719657E-2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609</v>
      </c>
      <c r="C24" s="379">
        <f>IF(C18=0,0,C22/C18)</f>
        <v>5.2620754716981128</v>
      </c>
      <c r="D24" s="379">
        <f>IF(LN_IA4=0,0,LN_IA8/LN_IA4)</f>
        <v>5.003898635477583</v>
      </c>
      <c r="E24" s="379">
        <f t="shared" si="0"/>
        <v>-0.25817683622052989</v>
      </c>
      <c r="F24" s="362">
        <f t="shared" si="1"/>
        <v>-4.9063689338764691E-2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610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611</v>
      </c>
      <c r="C27" s="361">
        <v>57952582</v>
      </c>
      <c r="D27" s="361">
        <v>64353684</v>
      </c>
      <c r="E27" s="361">
        <f t="shared" ref="E27:E32" si="2">D27-C27</f>
        <v>6401102</v>
      </c>
      <c r="F27" s="362">
        <f t="shared" ref="F27:F32" si="3">IF(C27=0,0,E27/C27)</f>
        <v>0.11045412955025886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612</v>
      </c>
      <c r="C28" s="361">
        <v>14793198</v>
      </c>
      <c r="D28" s="361">
        <v>15758451</v>
      </c>
      <c r="E28" s="361">
        <f t="shared" si="2"/>
        <v>965253</v>
      </c>
      <c r="F28" s="362">
        <f t="shared" si="3"/>
        <v>6.5249785746124667E-2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613</v>
      </c>
      <c r="C29" s="366">
        <f>IF(C27=0,0,C28/C27)</f>
        <v>0.25526382931480085</v>
      </c>
      <c r="D29" s="366">
        <f>IF(LN_IA11=0,0,LN_IA12/LN_IA11)</f>
        <v>0.24487255461552132</v>
      </c>
      <c r="E29" s="367">
        <f t="shared" si="2"/>
        <v>-1.0391274699279529E-2</v>
      </c>
      <c r="F29" s="362">
        <f t="shared" si="3"/>
        <v>-4.0707979376367588E-2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614</v>
      </c>
      <c r="C30" s="366">
        <f>IF(C15=0,0,C27/C15)</f>
        <v>0.47790766354582814</v>
      </c>
      <c r="D30" s="366">
        <f>IF(LN_IA1=0,0,LN_IA11/LN_IA1)</f>
        <v>0.53087797256909675</v>
      </c>
      <c r="E30" s="367">
        <f t="shared" si="2"/>
        <v>5.2970309023268602E-2</v>
      </c>
      <c r="F30" s="362">
        <f t="shared" si="3"/>
        <v>0.11083795691882456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615</v>
      </c>
      <c r="C31" s="376">
        <f>C30*C18</f>
        <v>2532.910616792889</v>
      </c>
      <c r="D31" s="376">
        <f>LN_IA14*LN_IA4</f>
        <v>2723.4039992794665</v>
      </c>
      <c r="E31" s="376">
        <f t="shared" si="2"/>
        <v>190.4933824865775</v>
      </c>
      <c r="F31" s="362">
        <f t="shared" si="3"/>
        <v>7.5207305470485056E-2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616</v>
      </c>
      <c r="C32" s="378">
        <f>IF(C31=0,0,C28/C31)</f>
        <v>5840.3948019021673</v>
      </c>
      <c r="D32" s="378">
        <f>IF(LN_IA15=0,0,LN_IA12/LN_IA15)</f>
        <v>5786.3067705596486</v>
      </c>
      <c r="E32" s="378">
        <f t="shared" si="2"/>
        <v>-54.088031342518661</v>
      </c>
      <c r="F32" s="362">
        <f t="shared" si="3"/>
        <v>-9.2610231289334492E-3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617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618</v>
      </c>
      <c r="C35" s="361">
        <f>C15+C27</f>
        <v>179215718</v>
      </c>
      <c r="D35" s="361">
        <f>LN_IA1+LN_IA11</f>
        <v>185574920</v>
      </c>
      <c r="E35" s="361">
        <f>D35-C35</f>
        <v>6359202</v>
      </c>
      <c r="F35" s="362">
        <f>IF(C35=0,0,E35/C35)</f>
        <v>3.5483505972394677E-2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619</v>
      </c>
      <c r="C36" s="361">
        <f>C16+C28</f>
        <v>84533079</v>
      </c>
      <c r="D36" s="361">
        <f>LN_IA2+LN_IA12</f>
        <v>84432027</v>
      </c>
      <c r="E36" s="361">
        <f>D36-C36</f>
        <v>-101052</v>
      </c>
      <c r="F36" s="362">
        <f>IF(C36=0,0,E36/C36)</f>
        <v>-1.1954136912486059E-3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620</v>
      </c>
      <c r="C37" s="361">
        <f>C35-C36</f>
        <v>94682639</v>
      </c>
      <c r="D37" s="361">
        <f>LN_IA17-LN_IA18</f>
        <v>101142893</v>
      </c>
      <c r="E37" s="361">
        <f>D37-C37</f>
        <v>6460254</v>
      </c>
      <c r="F37" s="362">
        <f>IF(C37=0,0,E37/C37)</f>
        <v>6.8230607725245168E-2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621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622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602</v>
      </c>
      <c r="C42" s="361">
        <v>73492301</v>
      </c>
      <c r="D42" s="361">
        <v>77476915</v>
      </c>
      <c r="E42" s="361">
        <f t="shared" ref="E42:E53" si="4">D42-C42</f>
        <v>3984614</v>
      </c>
      <c r="F42" s="362">
        <f t="shared" ref="F42:F53" si="5">IF(C42=0,0,E42/C42)</f>
        <v>5.4218114629449414E-2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603</v>
      </c>
      <c r="C43" s="361">
        <v>36379406</v>
      </c>
      <c r="D43" s="361">
        <v>40064166</v>
      </c>
      <c r="E43" s="361">
        <f t="shared" si="4"/>
        <v>3684760</v>
      </c>
      <c r="F43" s="362">
        <f t="shared" si="5"/>
        <v>0.10128697538382017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604</v>
      </c>
      <c r="C44" s="366">
        <f>IF(C42=0,0,C43/C42)</f>
        <v>0.49500975619201254</v>
      </c>
      <c r="D44" s="366">
        <f>IF(LN_IB1=0,0,LN_IB2/LN_IB1)</f>
        <v>0.51711101300303453</v>
      </c>
      <c r="E44" s="367">
        <f t="shared" si="4"/>
        <v>2.2101256811021985E-2</v>
      </c>
      <c r="F44" s="362">
        <f t="shared" si="5"/>
        <v>4.46481236673828E-2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3956</v>
      </c>
      <c r="D45" s="369">
        <v>4007</v>
      </c>
      <c r="E45" s="369">
        <f t="shared" si="4"/>
        <v>51</v>
      </c>
      <c r="F45" s="362">
        <f t="shared" si="5"/>
        <v>1.289180990899899E-2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605</v>
      </c>
      <c r="C46" s="372">
        <v>1.1393500000000001</v>
      </c>
      <c r="D46" s="372">
        <v>1.1935500000000001</v>
      </c>
      <c r="E46" s="373">
        <f t="shared" si="4"/>
        <v>5.4200000000000026E-2</v>
      </c>
      <c r="F46" s="362">
        <f t="shared" si="5"/>
        <v>4.757098345547902E-2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606</v>
      </c>
      <c r="C47" s="376">
        <f>C45*C46</f>
        <v>4507.2686000000003</v>
      </c>
      <c r="D47" s="376">
        <f>LN_IB4*LN_IB5</f>
        <v>4782.5548500000004</v>
      </c>
      <c r="E47" s="376">
        <f t="shared" si="4"/>
        <v>275.28625000000011</v>
      </c>
      <c r="F47" s="362">
        <f t="shared" si="5"/>
        <v>6.1076069440370181E-2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607</v>
      </c>
      <c r="C48" s="378">
        <f>IF(C47=0,0,C43/C47)</f>
        <v>8071.2753617567851</v>
      </c>
      <c r="D48" s="378">
        <f>IF(LN_IB6=0,0,LN_IB2/LN_IB6)</f>
        <v>8377.1472061632485</v>
      </c>
      <c r="E48" s="378">
        <f t="shared" si="4"/>
        <v>305.87184440646342</v>
      </c>
      <c r="F48" s="362">
        <f t="shared" si="5"/>
        <v>3.7896346078804537E-2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623</v>
      </c>
      <c r="C49" s="378">
        <f>C21-C48</f>
        <v>339.70116224384401</v>
      </c>
      <c r="D49" s="378">
        <f>LN_IA7-LN_IB7</f>
        <v>343.46435840366939</v>
      </c>
      <c r="E49" s="378">
        <f t="shared" si="4"/>
        <v>3.7631961598253838</v>
      </c>
      <c r="F49" s="362">
        <f t="shared" si="5"/>
        <v>1.1077960802277412E-2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624</v>
      </c>
      <c r="C50" s="391">
        <f>C49*C47</f>
        <v>1531124.3819651837</v>
      </c>
      <c r="D50" s="391">
        <f>LN_IB8*LN_IB6</f>
        <v>1642637.1330856076</v>
      </c>
      <c r="E50" s="391">
        <f t="shared" si="4"/>
        <v>111512.7511204239</v>
      </c>
      <c r="F50" s="362">
        <f t="shared" si="5"/>
        <v>7.283062854586532E-2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13059</v>
      </c>
      <c r="D51" s="369">
        <v>14454</v>
      </c>
      <c r="E51" s="369">
        <f t="shared" si="4"/>
        <v>1395</v>
      </c>
      <c r="F51" s="362">
        <f t="shared" si="5"/>
        <v>0.10682288077188146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608</v>
      </c>
      <c r="C52" s="378">
        <f>IF(C51=0,0,C43/C51)</f>
        <v>2785.7727237920208</v>
      </c>
      <c r="D52" s="378">
        <f>IF(LN_IB10=0,0,LN_IB2/LN_IB10)</f>
        <v>2771.8393524283933</v>
      </c>
      <c r="E52" s="378">
        <f t="shared" si="4"/>
        <v>-13.93337136362743</v>
      </c>
      <c r="F52" s="362">
        <f t="shared" si="5"/>
        <v>-5.001618130807595E-3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609</v>
      </c>
      <c r="C53" s="379">
        <f>IF(C45=0,0,C51/C45)</f>
        <v>3.301061678463094</v>
      </c>
      <c r="D53" s="379">
        <f>IF(LN_IB4=0,0,LN_IB10/LN_IB4)</f>
        <v>3.6071874220114801</v>
      </c>
      <c r="E53" s="379">
        <f t="shared" si="4"/>
        <v>0.30612574354838618</v>
      </c>
      <c r="F53" s="362">
        <f t="shared" si="5"/>
        <v>9.2735541885091949E-2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625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611</v>
      </c>
      <c r="C56" s="361">
        <v>100639158</v>
      </c>
      <c r="D56" s="361">
        <v>108850178</v>
      </c>
      <c r="E56" s="361">
        <f t="shared" ref="E56:E63" si="6">D56-C56</f>
        <v>8211020</v>
      </c>
      <c r="F56" s="362">
        <f t="shared" ref="F56:F63" si="7">IF(C56=0,0,E56/C56)</f>
        <v>8.1588719174299926E-2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612</v>
      </c>
      <c r="C57" s="361">
        <v>33286906</v>
      </c>
      <c r="D57" s="361">
        <v>31055051</v>
      </c>
      <c r="E57" s="361">
        <f t="shared" si="6"/>
        <v>-2231855</v>
      </c>
      <c r="F57" s="362">
        <f t="shared" si="7"/>
        <v>-6.7049037240048681E-2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613</v>
      </c>
      <c r="C58" s="366">
        <f>IF(C56=0,0,C57/C56)</f>
        <v>0.33075501287480963</v>
      </c>
      <c r="D58" s="366">
        <f>IF(LN_IB13=0,0,LN_IB14/LN_IB13)</f>
        <v>0.28530087474914373</v>
      </c>
      <c r="E58" s="367">
        <f t="shared" si="6"/>
        <v>-4.5454138125665899E-2</v>
      </c>
      <c r="F58" s="362">
        <f t="shared" si="7"/>
        <v>-0.13742539449544258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614</v>
      </c>
      <c r="C59" s="366">
        <f>IF(C42=0,0,C56/C42)</f>
        <v>1.3693836855101325</v>
      </c>
      <c r="D59" s="366">
        <f>IF(LN_IB1=0,0,LN_IB13/LN_IB1)</f>
        <v>1.404936915725155</v>
      </c>
      <c r="E59" s="367">
        <f t="shared" si="6"/>
        <v>3.5553230215022547E-2</v>
      </c>
      <c r="F59" s="362">
        <f t="shared" si="7"/>
        <v>2.5962942739293705E-2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615</v>
      </c>
      <c r="C60" s="376">
        <f>C59*C45</f>
        <v>5417.2818598780841</v>
      </c>
      <c r="D60" s="376">
        <f>LN_IB16*LN_IB4</f>
        <v>5629.5822213106958</v>
      </c>
      <c r="E60" s="376">
        <f t="shared" si="6"/>
        <v>212.30036143261168</v>
      </c>
      <c r="F60" s="362">
        <f t="shared" si="7"/>
        <v>3.9189461970765817E-2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616</v>
      </c>
      <c r="C61" s="378">
        <f>IF(C60=0,0,C57/C60)</f>
        <v>6144.577088840846</v>
      </c>
      <c r="D61" s="378">
        <f>IF(LN_IB17=0,0,LN_IB14/LN_IB17)</f>
        <v>5516.4041982443368</v>
      </c>
      <c r="E61" s="378">
        <f t="shared" si="6"/>
        <v>-628.17289059650921</v>
      </c>
      <c r="F61" s="362">
        <f t="shared" si="7"/>
        <v>-0.10223207903719407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626</v>
      </c>
      <c r="C62" s="378">
        <f>C32-C61</f>
        <v>-304.18228693867877</v>
      </c>
      <c r="D62" s="378">
        <f>LN_IA16-LN_IB18</f>
        <v>269.90257231531177</v>
      </c>
      <c r="E62" s="378">
        <f t="shared" si="6"/>
        <v>574.08485925399054</v>
      </c>
      <c r="F62" s="362">
        <f t="shared" si="7"/>
        <v>-1.8873053557182389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627</v>
      </c>
      <c r="C63" s="361">
        <f>C62*C60</f>
        <v>-1647841.1851291347</v>
      </c>
      <c r="D63" s="361">
        <f>LN_IB19*LN_IB17</f>
        <v>1519438.7225923035</v>
      </c>
      <c r="E63" s="361">
        <f t="shared" si="6"/>
        <v>3167279.9077214384</v>
      </c>
      <c r="F63" s="362">
        <f t="shared" si="7"/>
        <v>-1.9220783752126158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628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618</v>
      </c>
      <c r="C66" s="361">
        <f>C42+C56</f>
        <v>174131459</v>
      </c>
      <c r="D66" s="361">
        <f>LN_IB1+LN_IB13</f>
        <v>186327093</v>
      </c>
      <c r="E66" s="361">
        <f>D66-C66</f>
        <v>12195634</v>
      </c>
      <c r="F66" s="362">
        <f>IF(C66=0,0,E66/C66)</f>
        <v>7.0036936863889718E-2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619</v>
      </c>
      <c r="C67" s="361">
        <f>C43+C57</f>
        <v>69666312</v>
      </c>
      <c r="D67" s="361">
        <f>LN_IB2+LN_IB14</f>
        <v>71119217</v>
      </c>
      <c r="E67" s="361">
        <f>D67-C67</f>
        <v>1452905</v>
      </c>
      <c r="F67" s="362">
        <f>IF(C67=0,0,E67/C67)</f>
        <v>2.0855201865716676E-2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620</v>
      </c>
      <c r="C68" s="361">
        <f>C66-C67</f>
        <v>104465147</v>
      </c>
      <c r="D68" s="361">
        <f>LN_IB21-LN_IB22</f>
        <v>115207876</v>
      </c>
      <c r="E68" s="361">
        <f>D68-C68</f>
        <v>10742729</v>
      </c>
      <c r="F68" s="362">
        <f>IF(C68=0,0,E68/C68)</f>
        <v>0.10283553231394965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629</v>
      </c>
      <c r="C70" s="353">
        <f>C50+C63</f>
        <v>-116716.80316395103</v>
      </c>
      <c r="D70" s="353">
        <f>LN_IB9+LN_IB20</f>
        <v>3162075.8556779111</v>
      </c>
      <c r="E70" s="361">
        <f>D70-C70</f>
        <v>3278792.6588418623</v>
      </c>
      <c r="F70" s="362">
        <f>IF(C70=0,0,E70/C70)</f>
        <v>-28.091864838314429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630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631</v>
      </c>
      <c r="C73" s="400">
        <v>174131459</v>
      </c>
      <c r="D73" s="400">
        <v>186327093</v>
      </c>
      <c r="E73" s="400">
        <f>D73-C73</f>
        <v>12195634</v>
      </c>
      <c r="F73" s="401">
        <f>IF(C73=0,0,E73/C73)</f>
        <v>7.0036936863889718E-2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632</v>
      </c>
      <c r="C74" s="400">
        <v>69666312</v>
      </c>
      <c r="D74" s="400">
        <v>71119217</v>
      </c>
      <c r="E74" s="400">
        <f>D74-C74</f>
        <v>1452905</v>
      </c>
      <c r="F74" s="401">
        <f>IF(C74=0,0,E74/C74)</f>
        <v>2.0855201865716676E-2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633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634</v>
      </c>
      <c r="C76" s="353">
        <f>C73-C74</f>
        <v>104465147</v>
      </c>
      <c r="D76" s="353">
        <f>LN_IB32-LN_IB33</f>
        <v>115207876</v>
      </c>
      <c r="E76" s="400">
        <f>D76-C76</f>
        <v>10742729</v>
      </c>
      <c r="F76" s="401">
        <f>IF(C76=0,0,E76/C76)</f>
        <v>0.10283553231394965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635</v>
      </c>
      <c r="C77" s="366">
        <f>IF(C73=0,0,C76/C73)</f>
        <v>0.5999211607134125</v>
      </c>
      <c r="D77" s="366">
        <f>IF(LN_IB1=0,0,LN_IB34/LN_IB32)</f>
        <v>0.61830984504223441</v>
      </c>
      <c r="E77" s="405">
        <f>D77-C77</f>
        <v>1.8388684328821903E-2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636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637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602</v>
      </c>
      <c r="C83" s="361">
        <v>2609364</v>
      </c>
      <c r="D83" s="361">
        <v>2728843</v>
      </c>
      <c r="E83" s="361">
        <f t="shared" ref="E83:E95" si="8">D83-C83</f>
        <v>119479</v>
      </c>
      <c r="F83" s="362">
        <f t="shared" ref="F83:F95" si="9">IF(C83=0,0,E83/C83)</f>
        <v>4.5788552306232473E-2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603</v>
      </c>
      <c r="C84" s="361">
        <v>22505</v>
      </c>
      <c r="D84" s="361">
        <v>19808</v>
      </c>
      <c r="E84" s="361">
        <f t="shared" si="8"/>
        <v>-2697</v>
      </c>
      <c r="F84" s="362">
        <f t="shared" si="9"/>
        <v>-0.11984003554765607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604</v>
      </c>
      <c r="C85" s="366">
        <f>IF(C83=0,0,C84/C83)</f>
        <v>8.6247070167289799E-3</v>
      </c>
      <c r="D85" s="366">
        <f>IF(LN_IC1=0,0,LN_IC2/LN_IC1)</f>
        <v>7.2587539847473823E-3</v>
      </c>
      <c r="E85" s="367">
        <f t="shared" si="8"/>
        <v>-1.3659530319815975E-3</v>
      </c>
      <c r="F85" s="362">
        <f t="shared" si="9"/>
        <v>-0.15837674593839723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196</v>
      </c>
      <c r="D86" s="369">
        <v>184</v>
      </c>
      <c r="E86" s="369">
        <f t="shared" si="8"/>
        <v>-12</v>
      </c>
      <c r="F86" s="362">
        <f t="shared" si="9"/>
        <v>-6.1224489795918366E-2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605</v>
      </c>
      <c r="C87" s="372">
        <v>0.98958999999999997</v>
      </c>
      <c r="D87" s="372">
        <v>1.0383500000000001</v>
      </c>
      <c r="E87" s="373">
        <f t="shared" si="8"/>
        <v>4.8760000000000137E-2</v>
      </c>
      <c r="F87" s="362">
        <f t="shared" si="9"/>
        <v>4.9272931213937228E-2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606</v>
      </c>
      <c r="C88" s="376">
        <f>C86*C87</f>
        <v>193.95964000000001</v>
      </c>
      <c r="D88" s="376">
        <f>LN_IC4*LN_IC5</f>
        <v>191.05640000000002</v>
      </c>
      <c r="E88" s="376">
        <f t="shared" si="8"/>
        <v>-2.9032399999999825</v>
      </c>
      <c r="F88" s="362">
        <f t="shared" si="9"/>
        <v>-1.496826865630387E-2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607</v>
      </c>
      <c r="C89" s="378">
        <f>IF(C88=0,0,C84/C88)</f>
        <v>116.02929351693992</v>
      </c>
      <c r="D89" s="378">
        <f>IF(LN_IC6=0,0,LN_IC2/LN_IC6)</f>
        <v>103.67619195169593</v>
      </c>
      <c r="E89" s="378">
        <f t="shared" si="8"/>
        <v>-12.353101565243989</v>
      </c>
      <c r="F89" s="362">
        <f t="shared" si="9"/>
        <v>-0.10646536913922064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638</v>
      </c>
      <c r="C90" s="378">
        <f>C48-C89</f>
        <v>7955.246068239845</v>
      </c>
      <c r="D90" s="378">
        <f>LN_IB7-LN_IC7</f>
        <v>8273.4710142115528</v>
      </c>
      <c r="E90" s="378">
        <f t="shared" si="8"/>
        <v>318.22494597170771</v>
      </c>
      <c r="F90" s="362">
        <f t="shared" si="9"/>
        <v>4.0001898526077551E-2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639</v>
      </c>
      <c r="C91" s="378">
        <f>C21-C89</f>
        <v>8294.9472304836891</v>
      </c>
      <c r="D91" s="378">
        <f>LN_IA7-LN_IC7</f>
        <v>8616.9353726152221</v>
      </c>
      <c r="E91" s="378">
        <f t="shared" si="8"/>
        <v>321.9881421315331</v>
      </c>
      <c r="F91" s="362">
        <f t="shared" si="9"/>
        <v>3.8817382821705736E-2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624</v>
      </c>
      <c r="C92" s="353">
        <f>C91*C88</f>
        <v>1608884.9786436134</v>
      </c>
      <c r="D92" s="353">
        <f>LN_IC9*LN_IC6</f>
        <v>1646320.6513245231</v>
      </c>
      <c r="E92" s="353">
        <f t="shared" si="8"/>
        <v>37435.672680909745</v>
      </c>
      <c r="F92" s="362">
        <f t="shared" si="9"/>
        <v>2.3268085150791987E-2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566</v>
      </c>
      <c r="D93" s="369">
        <v>647</v>
      </c>
      <c r="E93" s="369">
        <f t="shared" si="8"/>
        <v>81</v>
      </c>
      <c r="F93" s="362">
        <f t="shared" si="9"/>
        <v>0.14310954063604239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608</v>
      </c>
      <c r="C94" s="411">
        <f>IF(C93=0,0,C84/C93)</f>
        <v>39.761484098939931</v>
      </c>
      <c r="D94" s="411">
        <f>IF(LN_IC11=0,0,LN_IC2/LN_IC11)</f>
        <v>30.61514683153014</v>
      </c>
      <c r="E94" s="411">
        <f t="shared" si="8"/>
        <v>-9.1463372674097911</v>
      </c>
      <c r="F94" s="362">
        <f t="shared" si="9"/>
        <v>-0.23003007746518292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609</v>
      </c>
      <c r="C95" s="379">
        <f>IF(C86=0,0,C93/C86)</f>
        <v>2.8877551020408165</v>
      </c>
      <c r="D95" s="379">
        <f>IF(LN_IC4=0,0,LN_IC11/LN_IC4)</f>
        <v>3.5163043478260869</v>
      </c>
      <c r="E95" s="379">
        <f t="shared" si="8"/>
        <v>0.62854924578527038</v>
      </c>
      <c r="F95" s="362">
        <f t="shared" si="9"/>
        <v>0.21766016285143638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640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611</v>
      </c>
      <c r="C98" s="361">
        <v>7794023</v>
      </c>
      <c r="D98" s="361">
        <v>7905155</v>
      </c>
      <c r="E98" s="361">
        <f t="shared" ref="E98:E106" si="10">D98-C98</f>
        <v>111132</v>
      </c>
      <c r="F98" s="362">
        <f t="shared" ref="F98:F106" si="11">IF(C98=0,0,E98/C98)</f>
        <v>1.4258618431072118E-2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612</v>
      </c>
      <c r="C99" s="361">
        <v>309287</v>
      </c>
      <c r="D99" s="361">
        <v>229219</v>
      </c>
      <c r="E99" s="361">
        <f t="shared" si="10"/>
        <v>-80068</v>
      </c>
      <c r="F99" s="362">
        <f t="shared" si="11"/>
        <v>-0.25887929334242954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613</v>
      </c>
      <c r="C100" s="366">
        <f>IF(C98=0,0,C99/C98)</f>
        <v>3.9682587541761169E-2</v>
      </c>
      <c r="D100" s="366">
        <f>IF(LN_IC14=0,0,LN_IC15/LN_IC14)</f>
        <v>2.8996142390629913E-2</v>
      </c>
      <c r="E100" s="367">
        <f t="shared" si="10"/>
        <v>-1.0686445151131256E-2</v>
      </c>
      <c r="F100" s="362">
        <f t="shared" si="11"/>
        <v>-0.26929809302090124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614</v>
      </c>
      <c r="C101" s="366">
        <f>IF(C83=0,0,C98/C83)</f>
        <v>2.9869435617261524</v>
      </c>
      <c r="D101" s="366">
        <f>IF(LN_IC1=0,0,LN_IC14/LN_IC1)</f>
        <v>2.896888901266947</v>
      </c>
      <c r="E101" s="367">
        <f t="shared" si="10"/>
        <v>-9.0054660459205405E-2</v>
      </c>
      <c r="F101" s="362">
        <f t="shared" si="11"/>
        <v>-3.014943489831555E-2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615</v>
      </c>
      <c r="C102" s="376">
        <f>C101*C86</f>
        <v>585.44093809832589</v>
      </c>
      <c r="D102" s="376">
        <f>LN_IC17*LN_IC4</f>
        <v>533.02755783311829</v>
      </c>
      <c r="E102" s="376">
        <f t="shared" si="10"/>
        <v>-52.413380265207593</v>
      </c>
      <c r="F102" s="362">
        <f t="shared" si="11"/>
        <v>-8.9528040924949231E-2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616</v>
      </c>
      <c r="C103" s="378">
        <f>IF(C102=0,0,C99/C102)</f>
        <v>528.29752733836779</v>
      </c>
      <c r="D103" s="378">
        <f>IF(LN_IC18=0,0,LN_IC15/LN_IC18)</f>
        <v>430.03217494387877</v>
      </c>
      <c r="E103" s="378">
        <f t="shared" si="10"/>
        <v>-98.265352394489014</v>
      </c>
      <c r="F103" s="362">
        <f t="shared" si="11"/>
        <v>-0.18600380904594185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641</v>
      </c>
      <c r="C104" s="378">
        <f>C61-C103</f>
        <v>5616.2795615024779</v>
      </c>
      <c r="D104" s="378">
        <f>LN_IB18-LN_IC19</f>
        <v>5086.3720233004578</v>
      </c>
      <c r="E104" s="378">
        <f t="shared" si="10"/>
        <v>-529.90753820202008</v>
      </c>
      <c r="F104" s="362">
        <f t="shared" si="11"/>
        <v>-9.435205858240045E-2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642</v>
      </c>
      <c r="C105" s="378">
        <f>C32-C103</f>
        <v>5312.0972745637991</v>
      </c>
      <c r="D105" s="378">
        <f>LN_IA16-LN_IC19</f>
        <v>5356.2745956157696</v>
      </c>
      <c r="E105" s="378">
        <f t="shared" si="10"/>
        <v>44.177321051970466</v>
      </c>
      <c r="F105" s="362">
        <f t="shared" si="11"/>
        <v>8.3163614611327062E-3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627</v>
      </c>
      <c r="C106" s="361">
        <f>C105*C102</f>
        <v>3109919.2116901907</v>
      </c>
      <c r="D106" s="361">
        <f>LN_IC21*LN_IC18</f>
        <v>2855041.9667846467</v>
      </c>
      <c r="E106" s="361">
        <f t="shared" si="10"/>
        <v>-254877.24490554398</v>
      </c>
      <c r="F106" s="362">
        <f t="shared" si="11"/>
        <v>-8.1956227013055535E-2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643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618</v>
      </c>
      <c r="C109" s="361">
        <f>C83+C98</f>
        <v>10403387</v>
      </c>
      <c r="D109" s="361">
        <f>LN_IC1+LN_IC14</f>
        <v>10633998</v>
      </c>
      <c r="E109" s="361">
        <f>D109-C109</f>
        <v>230611</v>
      </c>
      <c r="F109" s="362">
        <f>IF(C109=0,0,E109/C109)</f>
        <v>2.2166915447824828E-2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619</v>
      </c>
      <c r="C110" s="361">
        <f>C84+C99</f>
        <v>331792</v>
      </c>
      <c r="D110" s="361">
        <f>LN_IC2+LN_IC15</f>
        <v>249027</v>
      </c>
      <c r="E110" s="361">
        <f>D110-C110</f>
        <v>-82765</v>
      </c>
      <c r="F110" s="362">
        <f>IF(C110=0,0,E110/C110)</f>
        <v>-0.24944844963109417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620</v>
      </c>
      <c r="C111" s="361">
        <f>C109-C110</f>
        <v>10071595</v>
      </c>
      <c r="D111" s="361">
        <f>LN_IC23-LN_IC24</f>
        <v>10384971</v>
      </c>
      <c r="E111" s="361">
        <f>D111-C111</f>
        <v>313376</v>
      </c>
      <c r="F111" s="362">
        <f>IF(C111=0,0,E111/C111)</f>
        <v>3.1114833350626193E-2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629</v>
      </c>
      <c r="C113" s="361">
        <f>C92+C106</f>
        <v>4718804.1903338041</v>
      </c>
      <c r="D113" s="361">
        <f>LN_IC10+LN_IC22</f>
        <v>4501362.6181091703</v>
      </c>
      <c r="E113" s="361">
        <f>D113-C113</f>
        <v>-217441.57222463377</v>
      </c>
      <c r="F113" s="362">
        <f>IF(C113=0,0,E113/C113)</f>
        <v>-4.6079804004169146E-2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644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645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602</v>
      </c>
      <c r="C118" s="361">
        <v>26960292</v>
      </c>
      <c r="D118" s="361">
        <v>34158558</v>
      </c>
      <c r="E118" s="361">
        <f t="shared" ref="E118:E130" si="12">D118-C118</f>
        <v>7198266</v>
      </c>
      <c r="F118" s="362">
        <f t="shared" ref="F118:F130" si="13">IF(C118=0,0,E118/C118)</f>
        <v>0.26699510524589276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603</v>
      </c>
      <c r="C119" s="361">
        <v>9702923</v>
      </c>
      <c r="D119" s="361">
        <v>12605983</v>
      </c>
      <c r="E119" s="361">
        <f t="shared" si="12"/>
        <v>2903060</v>
      </c>
      <c r="F119" s="362">
        <f t="shared" si="13"/>
        <v>0.29919437678728361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604</v>
      </c>
      <c r="C120" s="366">
        <f>IF(C118=0,0,C119/C118)</f>
        <v>0.35989680675565383</v>
      </c>
      <c r="D120" s="366">
        <f>IF(LN_ID1=0,0,LN_1D2/LN_ID1)</f>
        <v>0.3690431838486859</v>
      </c>
      <c r="E120" s="367">
        <f t="shared" si="12"/>
        <v>9.1463770930320654E-3</v>
      </c>
      <c r="F120" s="362">
        <f t="shared" si="13"/>
        <v>2.5413887873814482E-2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2603</v>
      </c>
      <c r="D121" s="369">
        <v>2687</v>
      </c>
      <c r="E121" s="369">
        <f t="shared" si="12"/>
        <v>84</v>
      </c>
      <c r="F121" s="362">
        <f t="shared" si="13"/>
        <v>3.2270457164809835E-2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605</v>
      </c>
      <c r="C122" s="372">
        <v>0.85870000000000002</v>
      </c>
      <c r="D122" s="372">
        <v>0.97384000000000004</v>
      </c>
      <c r="E122" s="373">
        <f t="shared" si="12"/>
        <v>0.11514000000000002</v>
      </c>
      <c r="F122" s="362">
        <f t="shared" si="13"/>
        <v>0.13408640968906488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606</v>
      </c>
      <c r="C123" s="376">
        <f>C121*C122</f>
        <v>2235.1961000000001</v>
      </c>
      <c r="D123" s="376">
        <f>LN_ID4*LN_ID5</f>
        <v>2616.7080799999999</v>
      </c>
      <c r="E123" s="376">
        <f t="shared" si="12"/>
        <v>381.51197999999977</v>
      </c>
      <c r="F123" s="362">
        <f t="shared" si="13"/>
        <v>0.17068389659412869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607</v>
      </c>
      <c r="C124" s="378">
        <f>IF(C123=0,0,C119/C123)</f>
        <v>4340.971693714032</v>
      </c>
      <c r="D124" s="378">
        <f>IF(LN_ID6=0,0,LN_1D2/LN_ID6)</f>
        <v>4817.4968756927601</v>
      </c>
      <c r="E124" s="378">
        <f t="shared" si="12"/>
        <v>476.52518197872814</v>
      </c>
      <c r="F124" s="362">
        <f t="shared" si="13"/>
        <v>0.10977385147863623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646</v>
      </c>
      <c r="C125" s="378">
        <f>C48-C124</f>
        <v>3730.3036680427531</v>
      </c>
      <c r="D125" s="378">
        <f>LN_IB7-LN_ID7</f>
        <v>3559.6503304704884</v>
      </c>
      <c r="E125" s="378">
        <f t="shared" si="12"/>
        <v>-170.65333757226472</v>
      </c>
      <c r="F125" s="362">
        <f t="shared" si="13"/>
        <v>-4.5747840593847559E-2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647</v>
      </c>
      <c r="C126" s="378">
        <f>C21-C124</f>
        <v>4070.0048302865971</v>
      </c>
      <c r="D126" s="378">
        <f>LN_IA7-LN_ID7</f>
        <v>3903.1146888741578</v>
      </c>
      <c r="E126" s="378">
        <f t="shared" si="12"/>
        <v>-166.89014141243933</v>
      </c>
      <c r="F126" s="362">
        <f t="shared" si="13"/>
        <v>-4.1004900085262912E-2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624</v>
      </c>
      <c r="C127" s="391">
        <f>C126*C123</f>
        <v>9097258.9236377645</v>
      </c>
      <c r="D127" s="391">
        <f>LN_ID9*LN_ID6</f>
        <v>10213311.743543694</v>
      </c>
      <c r="E127" s="391">
        <f t="shared" si="12"/>
        <v>1116052.8199059293</v>
      </c>
      <c r="F127" s="362">
        <f t="shared" si="13"/>
        <v>0.12268012038286011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9362</v>
      </c>
      <c r="D128" s="369">
        <v>10695</v>
      </c>
      <c r="E128" s="369">
        <f t="shared" si="12"/>
        <v>1333</v>
      </c>
      <c r="F128" s="362">
        <f t="shared" si="13"/>
        <v>0.14238410596026491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608</v>
      </c>
      <c r="C129" s="378">
        <f>IF(C128=0,0,C119/C128)</f>
        <v>1036.4156163212988</v>
      </c>
      <c r="D129" s="378">
        <f>IF(LN_ID11=0,0,LN_1D2/LN_ID11)</f>
        <v>1178.6800374006546</v>
      </c>
      <c r="E129" s="378">
        <f t="shared" si="12"/>
        <v>142.26442107935577</v>
      </c>
      <c r="F129" s="362">
        <f t="shared" si="13"/>
        <v>0.13726580228915852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609</v>
      </c>
      <c r="C130" s="379">
        <f>IF(C121=0,0,C128/C121)</f>
        <v>3.5966192854398771</v>
      </c>
      <c r="D130" s="379">
        <f>IF(LN_ID4=0,0,LN_ID11/LN_ID4)</f>
        <v>3.9802754000744325</v>
      </c>
      <c r="E130" s="379">
        <f t="shared" si="12"/>
        <v>0.3836561146345554</v>
      </c>
      <c r="F130" s="362">
        <f t="shared" si="13"/>
        <v>0.10667131664107538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648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611</v>
      </c>
      <c r="C133" s="361">
        <v>50029863</v>
      </c>
      <c r="D133" s="361">
        <v>62082792</v>
      </c>
      <c r="E133" s="361">
        <f t="shared" ref="E133:E141" si="14">D133-C133</f>
        <v>12052929</v>
      </c>
      <c r="F133" s="362">
        <f t="shared" ref="F133:F141" si="15">IF(C133=0,0,E133/C133)</f>
        <v>0.24091469129147924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612</v>
      </c>
      <c r="C134" s="361">
        <v>11266023</v>
      </c>
      <c r="D134" s="361">
        <v>12727374</v>
      </c>
      <c r="E134" s="361">
        <f t="shared" si="14"/>
        <v>1461351</v>
      </c>
      <c r="F134" s="362">
        <f t="shared" si="15"/>
        <v>0.12971312059277706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613</v>
      </c>
      <c r="C135" s="366">
        <f>IF(C133=0,0,C134/C133)</f>
        <v>0.2251859654302871</v>
      </c>
      <c r="D135" s="366">
        <f>IF(LN_ID14=0,0,LN_ID15/LN_ID14)</f>
        <v>0.20500646942553744</v>
      </c>
      <c r="E135" s="367">
        <f t="shared" si="14"/>
        <v>-2.0179496004749664E-2</v>
      </c>
      <c r="F135" s="362">
        <f t="shared" si="15"/>
        <v>-8.9612582943126698E-2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614</v>
      </c>
      <c r="C136" s="366">
        <f>IF(C118=0,0,C133/C118)</f>
        <v>1.8556869858827938</v>
      </c>
      <c r="D136" s="366">
        <f>IF(LN_ID1=0,0,LN_ID14/LN_ID1)</f>
        <v>1.8174886656515183</v>
      </c>
      <c r="E136" s="367">
        <f t="shared" si="14"/>
        <v>-3.8198320231275451E-2</v>
      </c>
      <c r="F136" s="362">
        <f t="shared" si="15"/>
        <v>-2.05844630704804E-2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615</v>
      </c>
      <c r="C137" s="376">
        <f>C136*C121</f>
        <v>4830.3532242529127</v>
      </c>
      <c r="D137" s="376">
        <f>LN_ID17*LN_ID4</f>
        <v>4883.5920446056298</v>
      </c>
      <c r="E137" s="376">
        <f t="shared" si="14"/>
        <v>53.238820352717084</v>
      </c>
      <c r="F137" s="362">
        <f t="shared" si="15"/>
        <v>1.1021724060552792E-2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616</v>
      </c>
      <c r="C138" s="378">
        <f>IF(C137=0,0,C134/C137)</f>
        <v>2332.3393708422764</v>
      </c>
      <c r="D138" s="378">
        <f>IF(LN_ID18=0,0,LN_ID15/LN_ID18)</f>
        <v>2606.1501214169884</v>
      </c>
      <c r="E138" s="378">
        <f t="shared" si="14"/>
        <v>273.81075057471207</v>
      </c>
      <c r="F138" s="362">
        <f t="shared" si="15"/>
        <v>0.11739747396873507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649</v>
      </c>
      <c r="C139" s="378">
        <f>C61-C138</f>
        <v>3812.2377179985697</v>
      </c>
      <c r="D139" s="378">
        <f>LN_IB18-LN_ID19</f>
        <v>2910.2540768273484</v>
      </c>
      <c r="E139" s="378">
        <f t="shared" si="14"/>
        <v>-901.98364117122128</v>
      </c>
      <c r="F139" s="362">
        <f t="shared" si="15"/>
        <v>-0.23660215020504125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650</v>
      </c>
      <c r="C140" s="378">
        <f>C32-C138</f>
        <v>3508.0554310598909</v>
      </c>
      <c r="D140" s="378">
        <f>LN_IA16-LN_ID19</f>
        <v>3180.1566491426602</v>
      </c>
      <c r="E140" s="378">
        <f t="shared" si="14"/>
        <v>-327.89878191723074</v>
      </c>
      <c r="F140" s="362">
        <f t="shared" si="15"/>
        <v>-9.3470239670119026E-2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627</v>
      </c>
      <c r="C141" s="353">
        <f>C140*C137</f>
        <v>16945146.862278085</v>
      </c>
      <c r="D141" s="353">
        <f>LN_ID21*LN_ID18</f>
        <v>15530587.712352792</v>
      </c>
      <c r="E141" s="353">
        <f t="shared" si="14"/>
        <v>-1414559.1499252934</v>
      </c>
      <c r="F141" s="362">
        <f t="shared" si="15"/>
        <v>-8.3478718799084028E-2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651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618</v>
      </c>
      <c r="C144" s="361">
        <f>C118+C133</f>
        <v>76990155</v>
      </c>
      <c r="D144" s="361">
        <f>LN_ID1+LN_ID14</f>
        <v>96241350</v>
      </c>
      <c r="E144" s="361">
        <f>D144-C144</f>
        <v>19251195</v>
      </c>
      <c r="F144" s="362">
        <f>IF(C144=0,0,E144/C144)</f>
        <v>0.25004748983814878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619</v>
      </c>
      <c r="C145" s="361">
        <f>C119+C134</f>
        <v>20968946</v>
      </c>
      <c r="D145" s="361">
        <f>LN_1D2+LN_ID15</f>
        <v>25333357</v>
      </c>
      <c r="E145" s="361">
        <f>D145-C145</f>
        <v>4364411</v>
      </c>
      <c r="F145" s="362">
        <f>IF(C145=0,0,E145/C145)</f>
        <v>0.20813688012740364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620</v>
      </c>
      <c r="C146" s="361">
        <f>C144-C145</f>
        <v>56021209</v>
      </c>
      <c r="D146" s="361">
        <f>LN_ID23-LN_ID24</f>
        <v>70907993</v>
      </c>
      <c r="E146" s="361">
        <f>D146-C146</f>
        <v>14886784</v>
      </c>
      <c r="F146" s="362">
        <f>IF(C146=0,0,E146/C146)</f>
        <v>0.26573478626639424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629</v>
      </c>
      <c r="C148" s="361">
        <f>C127+C141</f>
        <v>26042405.785915852</v>
      </c>
      <c r="D148" s="361">
        <f>LN_ID10+LN_ID22</f>
        <v>25743899.455896486</v>
      </c>
      <c r="E148" s="361">
        <f>D148-C148</f>
        <v>-298506.330019366</v>
      </c>
      <c r="F148" s="415">
        <f>IF(C148=0,0,E148/C148)</f>
        <v>-1.1462317747187666E-2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652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653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602</v>
      </c>
      <c r="C153" s="361">
        <v>9284921</v>
      </c>
      <c r="D153" s="361">
        <v>4706147</v>
      </c>
      <c r="E153" s="361">
        <f t="shared" ref="E153:E165" si="16">D153-C153</f>
        <v>-4578774</v>
      </c>
      <c r="F153" s="362">
        <f t="shared" ref="F153:F165" si="17">IF(C153=0,0,E153/C153)</f>
        <v>-0.49314086786521932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603</v>
      </c>
      <c r="C154" s="361">
        <v>1511782</v>
      </c>
      <c r="D154" s="361">
        <v>979349</v>
      </c>
      <c r="E154" s="361">
        <f t="shared" si="16"/>
        <v>-532433</v>
      </c>
      <c r="F154" s="362">
        <f t="shared" si="17"/>
        <v>-0.35218900608685644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604</v>
      </c>
      <c r="C155" s="366">
        <f>IF(C153=0,0,C154/C153)</f>
        <v>0.16282120224824745</v>
      </c>
      <c r="D155" s="366">
        <f>IF(LN_IE1=0,0,LN_IE2/LN_IE1)</f>
        <v>0.20809995947852883</v>
      </c>
      <c r="E155" s="367">
        <f t="shared" si="16"/>
        <v>4.527875723028138E-2</v>
      </c>
      <c r="F155" s="362">
        <f t="shared" si="17"/>
        <v>0.27808882753025332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573</v>
      </c>
      <c r="D156" s="419">
        <v>336</v>
      </c>
      <c r="E156" s="419">
        <f t="shared" si="16"/>
        <v>-237</v>
      </c>
      <c r="F156" s="362">
        <f t="shared" si="17"/>
        <v>-0.41361256544502617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605</v>
      </c>
      <c r="C157" s="372">
        <v>1.149</v>
      </c>
      <c r="D157" s="372">
        <v>1.1022700000000001</v>
      </c>
      <c r="E157" s="373">
        <f t="shared" si="16"/>
        <v>-4.6729999999999938E-2</v>
      </c>
      <c r="F157" s="362">
        <f t="shared" si="17"/>
        <v>-4.0670147954743198E-2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606</v>
      </c>
      <c r="C158" s="376">
        <f>C156*C157</f>
        <v>658.37700000000007</v>
      </c>
      <c r="D158" s="376">
        <f>LN_IE4*LN_IE5</f>
        <v>370.36272000000002</v>
      </c>
      <c r="E158" s="376">
        <f t="shared" si="16"/>
        <v>-288.01428000000004</v>
      </c>
      <c r="F158" s="362">
        <f t="shared" si="17"/>
        <v>-0.43746102916717933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607</v>
      </c>
      <c r="C159" s="378">
        <f>IF(C158=0,0,C154/C158)</f>
        <v>2296.2254149218456</v>
      </c>
      <c r="D159" s="378">
        <f>IF(LN_IE6=0,0,LN_IE2/LN_IE6)</f>
        <v>2644.2969205971917</v>
      </c>
      <c r="E159" s="378">
        <f t="shared" si="16"/>
        <v>348.07150567534609</v>
      </c>
      <c r="F159" s="362">
        <f t="shared" si="17"/>
        <v>0.15158420572014836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654</v>
      </c>
      <c r="C160" s="378">
        <f>C48-C159</f>
        <v>5775.049946834939</v>
      </c>
      <c r="D160" s="378">
        <f>LN_IB7-LN_IE7</f>
        <v>5732.8502855660572</v>
      </c>
      <c r="E160" s="378">
        <f t="shared" si="16"/>
        <v>-42.199661268881755</v>
      </c>
      <c r="F160" s="362">
        <f t="shared" si="17"/>
        <v>-7.3072374537660242E-3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655</v>
      </c>
      <c r="C161" s="378">
        <f>C21-C159</f>
        <v>6114.751109078783</v>
      </c>
      <c r="D161" s="378">
        <f>LN_IA7-LN_IE7</f>
        <v>6076.3146439697266</v>
      </c>
      <c r="E161" s="378">
        <f t="shared" si="16"/>
        <v>-38.436465109056371</v>
      </c>
      <c r="F161" s="362">
        <f t="shared" si="17"/>
        <v>-6.2858592971982812E-3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624</v>
      </c>
      <c r="C162" s="391">
        <f>C161*C158</f>
        <v>4025811.4909419622</v>
      </c>
      <c r="D162" s="391">
        <f>LN_IE9*LN_IE6</f>
        <v>2250440.4191164598</v>
      </c>
      <c r="E162" s="391">
        <f t="shared" si="16"/>
        <v>-1775371.0718255024</v>
      </c>
      <c r="F162" s="362">
        <f t="shared" si="17"/>
        <v>-0.44099706998702509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2712</v>
      </c>
      <c r="D163" s="369">
        <v>1613</v>
      </c>
      <c r="E163" s="419">
        <f t="shared" si="16"/>
        <v>-1099</v>
      </c>
      <c r="F163" s="362">
        <f t="shared" si="17"/>
        <v>-0.40523598820058998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608</v>
      </c>
      <c r="C164" s="378">
        <f>IF(C163=0,0,C154/C163)</f>
        <v>557.44174041297936</v>
      </c>
      <c r="D164" s="378">
        <f>IF(LN_IE11=0,0,LN_IE2/LN_IE11)</f>
        <v>607.15995040297582</v>
      </c>
      <c r="E164" s="378">
        <f t="shared" si="16"/>
        <v>49.718209989996467</v>
      </c>
      <c r="F164" s="362">
        <f t="shared" si="17"/>
        <v>8.9189966207343666E-2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609</v>
      </c>
      <c r="C165" s="379">
        <f>IF(C156=0,0,C163/C156)</f>
        <v>4.7329842931937174</v>
      </c>
      <c r="D165" s="379">
        <f>IF(LN_IE4=0,0,LN_IE11/LN_IE4)</f>
        <v>4.8005952380952381</v>
      </c>
      <c r="E165" s="379">
        <f t="shared" si="16"/>
        <v>6.7610944901520753E-2</v>
      </c>
      <c r="F165" s="362">
        <f t="shared" si="17"/>
        <v>1.4285055836493876E-2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656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611</v>
      </c>
      <c r="C168" s="424">
        <v>12619090</v>
      </c>
      <c r="D168" s="424">
        <v>7093595</v>
      </c>
      <c r="E168" s="424">
        <f t="shared" ref="E168:E176" si="18">D168-C168</f>
        <v>-5525495</v>
      </c>
      <c r="F168" s="362">
        <f t="shared" ref="F168:F176" si="19">IF(C168=0,0,E168/C168)</f>
        <v>-0.43786794451897876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612</v>
      </c>
      <c r="C169" s="424">
        <v>1277165</v>
      </c>
      <c r="D169" s="424">
        <v>788737</v>
      </c>
      <c r="E169" s="424">
        <f t="shared" si="18"/>
        <v>-488428</v>
      </c>
      <c r="F169" s="362">
        <f t="shared" si="19"/>
        <v>-0.38243140079786087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613</v>
      </c>
      <c r="C170" s="366">
        <f>IF(C168=0,0,C169/C168)</f>
        <v>0.10120896197744846</v>
      </c>
      <c r="D170" s="366">
        <f>IF(LN_IE14=0,0,LN_IE15/LN_IE14)</f>
        <v>0.11119002424017722</v>
      </c>
      <c r="E170" s="367">
        <f t="shared" si="18"/>
        <v>9.9810622627287682E-3</v>
      </c>
      <c r="F170" s="362">
        <f t="shared" si="19"/>
        <v>9.8618364102506698E-2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614</v>
      </c>
      <c r="C171" s="366">
        <f>IF(C153=0,0,C168/C153)</f>
        <v>1.3590950316109314</v>
      </c>
      <c r="D171" s="366">
        <f>IF(LN_IE1=0,0,LN_IE14/LN_IE1)</f>
        <v>1.5073041704817125</v>
      </c>
      <c r="E171" s="367">
        <f t="shared" si="18"/>
        <v>0.14820913887078113</v>
      </c>
      <c r="F171" s="362">
        <f t="shared" si="19"/>
        <v>0.10904987173347935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615</v>
      </c>
      <c r="C172" s="376">
        <f>C171*C156</f>
        <v>778.76145311306368</v>
      </c>
      <c r="D172" s="376">
        <f>LN_IE17*LN_IE4</f>
        <v>506.45420128185538</v>
      </c>
      <c r="E172" s="376">
        <f t="shared" si="18"/>
        <v>-272.3072518312083</v>
      </c>
      <c r="F172" s="362">
        <f t="shared" si="19"/>
        <v>-0.34966709092068232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616</v>
      </c>
      <c r="C173" s="378">
        <f>IF(C172=0,0,C169/C172)</f>
        <v>1639.9951421511564</v>
      </c>
      <c r="D173" s="378">
        <f>IF(LN_IE18=0,0,LN_IE15/LN_IE18)</f>
        <v>1557.3708303804685</v>
      </c>
      <c r="E173" s="378">
        <f t="shared" si="18"/>
        <v>-82.624311770687882</v>
      </c>
      <c r="F173" s="362">
        <f t="shared" si="19"/>
        <v>-5.0380827142152897E-2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657</v>
      </c>
      <c r="C174" s="378">
        <f>C61-C173</f>
        <v>4504.5819466896901</v>
      </c>
      <c r="D174" s="378">
        <f>LN_IB18-LN_IE19</f>
        <v>3959.0333678638681</v>
      </c>
      <c r="E174" s="378">
        <f t="shared" si="18"/>
        <v>-545.54857882582201</v>
      </c>
      <c r="F174" s="362">
        <f t="shared" si="19"/>
        <v>-0.12110970236133292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658</v>
      </c>
      <c r="C175" s="378">
        <f>C32-C173</f>
        <v>4200.3996597510104</v>
      </c>
      <c r="D175" s="378">
        <f>LN_IA16-LN_IE19</f>
        <v>4228.9359401791799</v>
      </c>
      <c r="E175" s="378">
        <f t="shared" si="18"/>
        <v>28.536280428169448</v>
      </c>
      <c r="F175" s="362">
        <f t="shared" si="19"/>
        <v>6.7937060136465709E-3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627</v>
      </c>
      <c r="C176" s="353">
        <f>C175*C172</f>
        <v>3271109.3426833153</v>
      </c>
      <c r="D176" s="353">
        <f>LN_IE21*LN_IE18</f>
        <v>2141762.3738555787</v>
      </c>
      <c r="E176" s="353">
        <f t="shared" si="18"/>
        <v>-1129346.9688277366</v>
      </c>
      <c r="F176" s="362">
        <f t="shared" si="19"/>
        <v>-0.34524892032539789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659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618</v>
      </c>
      <c r="C179" s="361">
        <f>C153+C168</f>
        <v>21904011</v>
      </c>
      <c r="D179" s="361">
        <f>LN_IE1+LN_IE14</f>
        <v>11799742</v>
      </c>
      <c r="E179" s="361">
        <f>D179-C179</f>
        <v>-10104269</v>
      </c>
      <c r="F179" s="362">
        <f>IF(C179=0,0,E179/C179)</f>
        <v>-0.46129765913649329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619</v>
      </c>
      <c r="C180" s="361">
        <f>C154+C169</f>
        <v>2788947</v>
      </c>
      <c r="D180" s="361">
        <f>LN_IE15+LN_IE2</f>
        <v>1768086</v>
      </c>
      <c r="E180" s="361">
        <f>D180-C180</f>
        <v>-1020861</v>
      </c>
      <c r="F180" s="362">
        <f>IF(C180=0,0,E180/C180)</f>
        <v>-0.36603814988237499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620</v>
      </c>
      <c r="C181" s="361">
        <f>C179-C180</f>
        <v>19115064</v>
      </c>
      <c r="D181" s="361">
        <f>LN_IE23-LN_IE24</f>
        <v>10031656</v>
      </c>
      <c r="E181" s="361">
        <f>D181-C181</f>
        <v>-9083408</v>
      </c>
      <c r="F181" s="362">
        <f>IF(C181=0,0,E181/C181)</f>
        <v>-0.47519631637121384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660</v>
      </c>
      <c r="C183" s="361">
        <f>C162+C176</f>
        <v>7296920.8336252775</v>
      </c>
      <c r="D183" s="361">
        <f>LN_IE10+LN_IE22</f>
        <v>4392202.7929720385</v>
      </c>
      <c r="E183" s="353">
        <f>D183-C183</f>
        <v>-2904718.040653239</v>
      </c>
      <c r="F183" s="362">
        <f>IF(C183=0,0,E183/C183)</f>
        <v>-0.39807449016958957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661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662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602</v>
      </c>
      <c r="C188" s="361">
        <f>C118+C153</f>
        <v>36245213</v>
      </c>
      <c r="D188" s="361">
        <f>LN_ID1+LN_IE1</f>
        <v>38864705</v>
      </c>
      <c r="E188" s="361">
        <f t="shared" ref="E188:E200" si="20">D188-C188</f>
        <v>2619492</v>
      </c>
      <c r="F188" s="362">
        <f t="shared" ref="F188:F200" si="21">IF(C188=0,0,E188/C188)</f>
        <v>7.2271392087004699E-2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603</v>
      </c>
      <c r="C189" s="361">
        <f>C119+C154</f>
        <v>11214705</v>
      </c>
      <c r="D189" s="361">
        <f>LN_1D2+LN_IE2</f>
        <v>13585332</v>
      </c>
      <c r="E189" s="361">
        <f t="shared" si="20"/>
        <v>2370627</v>
      </c>
      <c r="F189" s="362">
        <f t="shared" si="21"/>
        <v>0.21138558704843327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604</v>
      </c>
      <c r="C190" s="366">
        <f>IF(C188=0,0,C189/C188)</f>
        <v>0.30941203187300897</v>
      </c>
      <c r="D190" s="366">
        <f>IF(LN_IF1=0,0,LN_IF2/LN_IF1)</f>
        <v>0.34955448651932391</v>
      </c>
      <c r="E190" s="367">
        <f t="shared" si="20"/>
        <v>4.014245464631494E-2</v>
      </c>
      <c r="F190" s="362">
        <f t="shared" si="21"/>
        <v>0.12973785926589462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3176</v>
      </c>
      <c r="D191" s="369">
        <f>LN_ID4+LN_IE4</f>
        <v>3023</v>
      </c>
      <c r="E191" s="369">
        <f t="shared" si="20"/>
        <v>-153</v>
      </c>
      <c r="F191" s="362">
        <f t="shared" si="21"/>
        <v>-4.8173803526448365E-2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605</v>
      </c>
      <c r="C192" s="372">
        <f>IF((C121+C156)=0,0,(C123+C158)/(C121+C156))</f>
        <v>0.91107465365239293</v>
      </c>
      <c r="D192" s="372">
        <f>IF((LN_ID4+LN_IE4)=0,0,(LN_ID6+LN_IE6)/(LN_ID4+LN_IE4))</f>
        <v>0.98811472047634796</v>
      </c>
      <c r="E192" s="373">
        <f t="shared" si="20"/>
        <v>7.7040066823955033E-2</v>
      </c>
      <c r="F192" s="362">
        <f t="shared" si="21"/>
        <v>8.4559554494365877E-2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606</v>
      </c>
      <c r="C193" s="376">
        <f>C123+C158</f>
        <v>2893.5731000000001</v>
      </c>
      <c r="D193" s="376">
        <f>LN_IF4*LN_IF5</f>
        <v>2987.0708</v>
      </c>
      <c r="E193" s="376">
        <f t="shared" si="20"/>
        <v>93.497699999999895</v>
      </c>
      <c r="F193" s="362">
        <f t="shared" si="21"/>
        <v>3.2312195603421905E-2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607</v>
      </c>
      <c r="C194" s="378">
        <f>IF(C193=0,0,C189/C193)</f>
        <v>3875.728938729766</v>
      </c>
      <c r="D194" s="378">
        <f>IF(LN_IF6=0,0,LN_IF2/LN_IF6)</f>
        <v>4548.0448605369511</v>
      </c>
      <c r="E194" s="378">
        <f t="shared" si="20"/>
        <v>672.31592180718508</v>
      </c>
      <c r="F194" s="362">
        <f t="shared" si="21"/>
        <v>0.17346825137558003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663</v>
      </c>
      <c r="C195" s="378">
        <f>C48-C194</f>
        <v>4195.546423027019</v>
      </c>
      <c r="D195" s="378">
        <f>LN_IB7-LN_IF7</f>
        <v>3829.1023456262974</v>
      </c>
      <c r="E195" s="378">
        <f t="shared" si="20"/>
        <v>-366.44407740072165</v>
      </c>
      <c r="F195" s="362">
        <f t="shared" si="21"/>
        <v>-8.7341204327883032E-2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664</v>
      </c>
      <c r="C196" s="378">
        <f>C21-C194</f>
        <v>4535.2475852708631</v>
      </c>
      <c r="D196" s="378">
        <f>LN_IA7-LN_IF7</f>
        <v>4172.5667040299668</v>
      </c>
      <c r="E196" s="378">
        <f t="shared" si="20"/>
        <v>-362.68088124089627</v>
      </c>
      <c r="F196" s="362">
        <f t="shared" si="21"/>
        <v>-7.9969367586187806E-2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624</v>
      </c>
      <c r="C197" s="391">
        <f>C127+C162</f>
        <v>13123070.414579727</v>
      </c>
      <c r="D197" s="391">
        <f>LN_IF9*LN_IF6</f>
        <v>12463752.162660155</v>
      </c>
      <c r="E197" s="391">
        <f t="shared" si="20"/>
        <v>-659318.25191957131</v>
      </c>
      <c r="F197" s="362">
        <f t="shared" si="21"/>
        <v>-5.024115783049285E-2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12074</v>
      </c>
      <c r="D198" s="369">
        <f>LN_ID11+LN_IE11</f>
        <v>12308</v>
      </c>
      <c r="E198" s="369">
        <f t="shared" si="20"/>
        <v>234</v>
      </c>
      <c r="F198" s="362">
        <f t="shared" si="21"/>
        <v>1.9380486996852742E-2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608</v>
      </c>
      <c r="C199" s="432">
        <f>IF(C198=0,0,C189/C198)</f>
        <v>928.8309590856386</v>
      </c>
      <c r="D199" s="432">
        <f>IF(LN_IF11=0,0,LN_IF2/LN_IF11)</f>
        <v>1103.7806304842379</v>
      </c>
      <c r="E199" s="432">
        <f t="shared" si="20"/>
        <v>174.94967139859932</v>
      </c>
      <c r="F199" s="362">
        <f t="shared" si="21"/>
        <v>0.18835469434699245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609</v>
      </c>
      <c r="C200" s="379">
        <f>IF(C191=0,0,C198/C191)</f>
        <v>3.8016372795969775</v>
      </c>
      <c r="D200" s="379">
        <f>IF(LN_IF4=0,0,LN_IF11/LN_IF4)</f>
        <v>4.0714521998015218</v>
      </c>
      <c r="E200" s="379">
        <f t="shared" si="20"/>
        <v>0.26981492020454434</v>
      </c>
      <c r="F200" s="362">
        <f t="shared" si="21"/>
        <v>7.0973346576911775E-2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665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611</v>
      </c>
      <c r="C203" s="361">
        <f>C133+C168</f>
        <v>62648953</v>
      </c>
      <c r="D203" s="361">
        <f>LN_ID14+LN_IE14</f>
        <v>69176387</v>
      </c>
      <c r="E203" s="361">
        <f t="shared" ref="E203:E211" si="22">D203-C203</f>
        <v>6527434</v>
      </c>
      <c r="F203" s="362">
        <f t="shared" ref="F203:F211" si="23">IF(C203=0,0,E203/C203)</f>
        <v>0.10419063188494147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612</v>
      </c>
      <c r="C204" s="361">
        <f>C134+C169</f>
        <v>12543188</v>
      </c>
      <c r="D204" s="361">
        <f>LN_ID15+LN_IE15</f>
        <v>13516111</v>
      </c>
      <c r="E204" s="361">
        <f t="shared" si="22"/>
        <v>972923</v>
      </c>
      <c r="F204" s="362">
        <f t="shared" si="23"/>
        <v>7.7565846896339274E-2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613</v>
      </c>
      <c r="C205" s="366">
        <f>IF(C203=0,0,C204/C203)</f>
        <v>0.20021384874540521</v>
      </c>
      <c r="D205" s="366">
        <f>IF(LN_IF14=0,0,LN_IF15/LN_IF14)</f>
        <v>0.19538619442498492</v>
      </c>
      <c r="E205" s="367">
        <f t="shared" si="22"/>
        <v>-4.8276543204202882E-3</v>
      </c>
      <c r="F205" s="362">
        <f t="shared" si="23"/>
        <v>-2.4112489473988398E-2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614</v>
      </c>
      <c r="C206" s="366">
        <f>IF(C188=0,0,C203/C188)</f>
        <v>1.7284752334053051</v>
      </c>
      <c r="D206" s="366">
        <f>IF(LN_IF1=0,0,LN_IF14/LN_IF1)</f>
        <v>1.779928266533864</v>
      </c>
      <c r="E206" s="367">
        <f t="shared" si="22"/>
        <v>5.1453033128558978E-2</v>
      </c>
      <c r="F206" s="362">
        <f t="shared" si="23"/>
        <v>2.9767874097443841E-2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615</v>
      </c>
      <c r="C207" s="376">
        <f>C137+C172</f>
        <v>5609.1146773659766</v>
      </c>
      <c r="D207" s="376">
        <f>LN_ID18+LN_IE18</f>
        <v>5390.0462458874854</v>
      </c>
      <c r="E207" s="376">
        <f t="shared" si="22"/>
        <v>-219.06843147849122</v>
      </c>
      <c r="F207" s="362">
        <f t="shared" si="23"/>
        <v>-3.9055794733967732E-2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616</v>
      </c>
      <c r="C208" s="378">
        <f>IF(C207=0,0,C204/C207)</f>
        <v>2236.2152891283449</v>
      </c>
      <c r="D208" s="378">
        <f>IF(LN_IF18=0,0,LN_IF15/LN_IF18)</f>
        <v>2507.6057576152643</v>
      </c>
      <c r="E208" s="378">
        <f t="shared" si="22"/>
        <v>271.39046848691942</v>
      </c>
      <c r="F208" s="362">
        <f t="shared" si="23"/>
        <v>0.12136151192880217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666</v>
      </c>
      <c r="C209" s="378">
        <f>C61-C208</f>
        <v>3908.3617997125011</v>
      </c>
      <c r="D209" s="378">
        <f>LN_IB18-LN_IF19</f>
        <v>3008.7984406290725</v>
      </c>
      <c r="E209" s="378">
        <f t="shared" si="22"/>
        <v>-899.56335908342862</v>
      </c>
      <c r="F209" s="362">
        <f t="shared" si="23"/>
        <v>-0.23016378861076794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667</v>
      </c>
      <c r="C210" s="378">
        <f>C32-C208</f>
        <v>3604.1795127738224</v>
      </c>
      <c r="D210" s="378">
        <f>LN_IA16-LN_IF19</f>
        <v>3278.7010129443843</v>
      </c>
      <c r="E210" s="378">
        <f t="shared" si="22"/>
        <v>-325.47849982943808</v>
      </c>
      <c r="F210" s="362">
        <f t="shared" si="23"/>
        <v>-9.0305851491549516E-2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627</v>
      </c>
      <c r="C211" s="391">
        <f>C141+C176</f>
        <v>20216256.2049614</v>
      </c>
      <c r="D211" s="353">
        <f>LN_IF21*LN_IF18</f>
        <v>17672350.086208373</v>
      </c>
      <c r="E211" s="353">
        <f t="shared" si="22"/>
        <v>-2543906.1187530272</v>
      </c>
      <c r="F211" s="362">
        <f t="shared" si="23"/>
        <v>-0.12583467942638712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668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618</v>
      </c>
      <c r="C214" s="361">
        <f>C188+C203</f>
        <v>98894166</v>
      </c>
      <c r="D214" s="361">
        <f>LN_IF1+LN_IF14</f>
        <v>108041092</v>
      </c>
      <c r="E214" s="361">
        <f>D214-C214</f>
        <v>9146926</v>
      </c>
      <c r="F214" s="362">
        <f>IF(C214=0,0,E214/C214)</f>
        <v>9.2492068743468644E-2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619</v>
      </c>
      <c r="C215" s="361">
        <f>C189+C204</f>
        <v>23757893</v>
      </c>
      <c r="D215" s="361">
        <f>LN_IF2+LN_IF15</f>
        <v>27101443</v>
      </c>
      <c r="E215" s="361">
        <f>D215-C215</f>
        <v>3343550</v>
      </c>
      <c r="F215" s="362">
        <f>IF(C215=0,0,E215/C215)</f>
        <v>0.1407342814449076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620</v>
      </c>
      <c r="C216" s="361">
        <f>C214-C215</f>
        <v>75136273</v>
      </c>
      <c r="D216" s="361">
        <f>LN_IF23-LN_IF24</f>
        <v>80939649</v>
      </c>
      <c r="E216" s="361">
        <f>D216-C216</f>
        <v>5803376</v>
      </c>
      <c r="F216" s="362">
        <f>IF(C216=0,0,E216/C216)</f>
        <v>7.7238007267142458E-2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669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670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602</v>
      </c>
      <c r="C221" s="361">
        <v>212284</v>
      </c>
      <c r="D221" s="361">
        <v>408034</v>
      </c>
      <c r="E221" s="361">
        <f t="shared" ref="E221:E230" si="24">D221-C221</f>
        <v>195750</v>
      </c>
      <c r="F221" s="362">
        <f t="shared" ref="F221:F230" si="25">IF(C221=0,0,E221/C221)</f>
        <v>0.92211377211659851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603</v>
      </c>
      <c r="C222" s="361">
        <v>98729</v>
      </c>
      <c r="D222" s="361">
        <v>156393</v>
      </c>
      <c r="E222" s="361">
        <f t="shared" si="24"/>
        <v>57664</v>
      </c>
      <c r="F222" s="362">
        <f t="shared" si="25"/>
        <v>0.58406344640379215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604</v>
      </c>
      <c r="C223" s="366">
        <f>IF(C221=0,0,C222/C221)</f>
        <v>0.46507979876015149</v>
      </c>
      <c r="D223" s="366">
        <f>IF(LN_IG1=0,0,LN_IG2/LN_IG1)</f>
        <v>0.38328423611757845</v>
      </c>
      <c r="E223" s="367">
        <f t="shared" si="24"/>
        <v>-8.1795562642573039E-2</v>
      </c>
      <c r="F223" s="362">
        <f t="shared" si="25"/>
        <v>-0.17587425396809422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30</v>
      </c>
      <c r="D224" s="369">
        <v>48</v>
      </c>
      <c r="E224" s="369">
        <f t="shared" si="24"/>
        <v>18</v>
      </c>
      <c r="F224" s="362">
        <f t="shared" si="25"/>
        <v>0.6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605</v>
      </c>
      <c r="C225" s="372">
        <v>0.61797000000000002</v>
      </c>
      <c r="D225" s="372">
        <v>0.68227000000000004</v>
      </c>
      <c r="E225" s="373">
        <f t="shared" si="24"/>
        <v>6.4300000000000024E-2</v>
      </c>
      <c r="F225" s="362">
        <f t="shared" si="25"/>
        <v>0.10405035843163911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606</v>
      </c>
      <c r="C226" s="376">
        <f>C224*C225</f>
        <v>18.539100000000001</v>
      </c>
      <c r="D226" s="376">
        <f>LN_IG3*LN_IG4</f>
        <v>32.748960000000004</v>
      </c>
      <c r="E226" s="376">
        <f t="shared" si="24"/>
        <v>14.209860000000003</v>
      </c>
      <c r="F226" s="362">
        <f t="shared" si="25"/>
        <v>0.7664805734906226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607</v>
      </c>
      <c r="C227" s="378">
        <f>IF(C226=0,0,C222/C226)</f>
        <v>5325.4472978731437</v>
      </c>
      <c r="D227" s="378">
        <f>IF(LN_IG5=0,0,LN_IG2/LN_IG5)</f>
        <v>4775.5104284227646</v>
      </c>
      <c r="E227" s="378">
        <f t="shared" si="24"/>
        <v>-549.93686945037916</v>
      </c>
      <c r="F227" s="362">
        <f t="shared" si="25"/>
        <v>-0.10326585518365956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74</v>
      </c>
      <c r="D228" s="369">
        <v>175</v>
      </c>
      <c r="E228" s="369">
        <f t="shared" si="24"/>
        <v>101</v>
      </c>
      <c r="F228" s="362">
        <f t="shared" si="25"/>
        <v>1.3648648648648649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608</v>
      </c>
      <c r="C229" s="378">
        <f>IF(C228=0,0,C222/C228)</f>
        <v>1334.1756756756756</v>
      </c>
      <c r="D229" s="378">
        <f>IF(LN_IG6=0,0,LN_IG2/LN_IG6)</f>
        <v>893.6742857142857</v>
      </c>
      <c r="E229" s="378">
        <f t="shared" si="24"/>
        <v>-440.50138996138992</v>
      </c>
      <c r="F229" s="362">
        <f t="shared" si="25"/>
        <v>-0.33016745694925359</v>
      </c>
      <c r="Q229" s="330"/>
      <c r="U229" s="375"/>
    </row>
    <row r="230" spans="1:21" ht="11.25" customHeight="1" x14ac:dyDescent="0.2">
      <c r="A230" s="364">
        <v>10</v>
      </c>
      <c r="B230" s="360" t="s">
        <v>609</v>
      </c>
      <c r="C230" s="379">
        <f>IF(C224=0,0,C228/C224)</f>
        <v>2.4666666666666668</v>
      </c>
      <c r="D230" s="379">
        <f>IF(LN_IG3=0,0,LN_IG6/LN_IG3)</f>
        <v>3.6458333333333335</v>
      </c>
      <c r="E230" s="379">
        <f t="shared" si="24"/>
        <v>1.1791666666666667</v>
      </c>
      <c r="F230" s="362">
        <f t="shared" si="25"/>
        <v>0.47804054054054052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671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611</v>
      </c>
      <c r="C233" s="361">
        <v>658533</v>
      </c>
      <c r="D233" s="361">
        <v>668667</v>
      </c>
      <c r="E233" s="361">
        <f>D233-C233</f>
        <v>10134</v>
      </c>
      <c r="F233" s="362">
        <f>IF(C233=0,0,E233/C233)</f>
        <v>1.5388750449863561E-2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612</v>
      </c>
      <c r="C234" s="361">
        <v>219328</v>
      </c>
      <c r="D234" s="361">
        <v>176473</v>
      </c>
      <c r="E234" s="361">
        <f>D234-C234</f>
        <v>-42855</v>
      </c>
      <c r="F234" s="362">
        <f>IF(C234=0,0,E234/C234)</f>
        <v>-0.19539228917420484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672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618</v>
      </c>
      <c r="C237" s="361">
        <f>C221+C233</f>
        <v>870817</v>
      </c>
      <c r="D237" s="361">
        <f>LN_IG1+LN_IG9</f>
        <v>1076701</v>
      </c>
      <c r="E237" s="361">
        <f>D237-C237</f>
        <v>205884</v>
      </c>
      <c r="F237" s="362">
        <f>IF(C237=0,0,E237/C237)</f>
        <v>0.23642625258808683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619</v>
      </c>
      <c r="C238" s="361">
        <f>C222+C234</f>
        <v>318057</v>
      </c>
      <c r="D238" s="361">
        <f>LN_IG2+LN_IG10</f>
        <v>332866</v>
      </c>
      <c r="E238" s="361">
        <f>D238-C238</f>
        <v>14809</v>
      </c>
      <c r="F238" s="362">
        <f>IF(C238=0,0,E238/C238)</f>
        <v>4.6560836579606801E-2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620</v>
      </c>
      <c r="C239" s="361">
        <f>C237-C238</f>
        <v>552760</v>
      </c>
      <c r="D239" s="361">
        <f>LN_IG13-LN_IG14</f>
        <v>743835</v>
      </c>
      <c r="E239" s="361">
        <f>D239-C239</f>
        <v>191075</v>
      </c>
      <c r="F239" s="362">
        <f>IF(C239=0,0,E239/C239)</f>
        <v>0.34567443375063317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673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674</v>
      </c>
      <c r="C243" s="361">
        <v>8145638</v>
      </c>
      <c r="D243" s="361">
        <v>8481266</v>
      </c>
      <c r="E243" s="353">
        <f>D243-C243</f>
        <v>335628</v>
      </c>
      <c r="F243" s="415">
        <f>IF(C243=0,0,E243/C243)</f>
        <v>4.1203402360870937E-2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675</v>
      </c>
      <c r="C244" s="361">
        <v>192136903</v>
      </c>
      <c r="D244" s="361">
        <v>196985263</v>
      </c>
      <c r="E244" s="353">
        <f>D244-C244</f>
        <v>4848360</v>
      </c>
      <c r="F244" s="415">
        <f>IF(C244=0,0,E244/C244)</f>
        <v>2.5233882321919178E-2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676</v>
      </c>
      <c r="C245" s="400">
        <v>1519133</v>
      </c>
      <c r="D245" s="400">
        <v>1270330</v>
      </c>
      <c r="E245" s="400">
        <f>D245-C245</f>
        <v>-248803</v>
      </c>
      <c r="F245" s="401">
        <f>IF(C245=0,0,E245/C245)</f>
        <v>-0.1637796032342132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677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678</v>
      </c>
      <c r="C248" s="353">
        <v>493000</v>
      </c>
      <c r="D248" s="353">
        <v>1043954</v>
      </c>
      <c r="E248" s="353">
        <f>D248-C248</f>
        <v>550954</v>
      </c>
      <c r="F248" s="362">
        <f>IF(C248=0,0,E248/C248)</f>
        <v>1.117553752535497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679</v>
      </c>
      <c r="C249" s="353">
        <v>11724327</v>
      </c>
      <c r="D249" s="353">
        <v>11904617</v>
      </c>
      <c r="E249" s="353">
        <f>D249-C249</f>
        <v>180290</v>
      </c>
      <c r="F249" s="362">
        <f>IF(C249=0,0,E249/C249)</f>
        <v>1.5377428486940018E-2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680</v>
      </c>
      <c r="C250" s="353">
        <f>C248+C249</f>
        <v>12217327</v>
      </c>
      <c r="D250" s="353">
        <f>LN_IH4+LN_IH5</f>
        <v>12948571</v>
      </c>
      <c r="E250" s="353">
        <f>D250-C250</f>
        <v>731244</v>
      </c>
      <c r="F250" s="362">
        <f>IF(C250=0,0,E250/C250)</f>
        <v>5.9853026770913149E-2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681</v>
      </c>
      <c r="C251" s="353">
        <f>C250*C313</f>
        <v>4386131.3074977575</v>
      </c>
      <c r="D251" s="353">
        <f>LN_IH6*LN_III10</f>
        <v>4457978.2030782746</v>
      </c>
      <c r="E251" s="353">
        <f>D251-C251</f>
        <v>71846.895580517128</v>
      </c>
      <c r="F251" s="362">
        <f>IF(C251=0,0,E251/C251)</f>
        <v>1.638047074826518E-2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682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618</v>
      </c>
      <c r="C254" s="353">
        <f>C188+C203</f>
        <v>98894166</v>
      </c>
      <c r="D254" s="353">
        <f>LN_IF23</f>
        <v>108041092</v>
      </c>
      <c r="E254" s="353">
        <f>D254-C254</f>
        <v>9146926</v>
      </c>
      <c r="F254" s="362">
        <f>IF(C254=0,0,E254/C254)</f>
        <v>9.2492068743468644E-2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619</v>
      </c>
      <c r="C255" s="353">
        <f>C189+C204</f>
        <v>23757893</v>
      </c>
      <c r="D255" s="353">
        <f>LN_IF24</f>
        <v>27101443</v>
      </c>
      <c r="E255" s="353">
        <f>D255-C255</f>
        <v>3343550</v>
      </c>
      <c r="F255" s="362">
        <f>IF(C255=0,0,E255/C255)</f>
        <v>0.1407342814449076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683</v>
      </c>
      <c r="C256" s="353">
        <f>C254*C313</f>
        <v>35503903.400594927</v>
      </c>
      <c r="D256" s="353">
        <f>LN_IH8*LN_III10</f>
        <v>37196755.778902128</v>
      </c>
      <c r="E256" s="353">
        <f>D256-C256</f>
        <v>1692852.378307201</v>
      </c>
      <c r="F256" s="362">
        <f>IF(C256=0,0,E256/C256)</f>
        <v>4.7680739754345836E-2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684</v>
      </c>
      <c r="C257" s="353">
        <f>C256-C255</f>
        <v>11746010.400594927</v>
      </c>
      <c r="D257" s="353">
        <f>LN_IH10-LN_IH9</f>
        <v>10095312.778902128</v>
      </c>
      <c r="E257" s="353">
        <f>D257-C257</f>
        <v>-1650697.621692799</v>
      </c>
      <c r="F257" s="362">
        <f>IF(C257=0,0,E257/C257)</f>
        <v>-0.14053262047249612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685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686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687</v>
      </c>
      <c r="C261" s="361">
        <f>C15+C42+C188+C221</f>
        <v>231212934</v>
      </c>
      <c r="D261" s="361">
        <f>LN_IA1+LN_IB1+LN_IF1+LN_IG1</f>
        <v>237970890</v>
      </c>
      <c r="E261" s="361">
        <f t="shared" ref="E261:E274" si="26">D261-C261</f>
        <v>6757956</v>
      </c>
      <c r="F261" s="415">
        <f t="shared" ref="F261:F274" si="27">IF(C261=0,0,E261/C261)</f>
        <v>2.9228278379962946E-2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688</v>
      </c>
      <c r="C262" s="361">
        <f>C16+C43+C189+C222</f>
        <v>117432721</v>
      </c>
      <c r="D262" s="361">
        <f>+LN_IA2+LN_IB2+LN_IF2+LN_IG2</f>
        <v>122479467</v>
      </c>
      <c r="E262" s="361">
        <f t="shared" si="26"/>
        <v>5046746</v>
      </c>
      <c r="F262" s="415">
        <f t="shared" si="27"/>
        <v>4.297563708840571E-2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689</v>
      </c>
      <c r="C263" s="366">
        <f>IF(C261=0,0,C262/C261)</f>
        <v>0.50789858062179172</v>
      </c>
      <c r="D263" s="366">
        <f>IF(LN_IIA1=0,0,LN_IIA2/LN_IIA1)</f>
        <v>0.51468256054343453</v>
      </c>
      <c r="E263" s="367">
        <f t="shared" si="26"/>
        <v>6.7839799216428132E-3</v>
      </c>
      <c r="F263" s="371">
        <f t="shared" si="27"/>
        <v>1.335695782677236E-2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690</v>
      </c>
      <c r="C264" s="369">
        <f>C18+C45+C191+C224</f>
        <v>12462</v>
      </c>
      <c r="D264" s="369">
        <f>LN_IA4+LN_IB4+LN_IF4+LN_IG3</f>
        <v>12208</v>
      </c>
      <c r="E264" s="369">
        <f t="shared" si="26"/>
        <v>-254</v>
      </c>
      <c r="F264" s="415">
        <f t="shared" si="27"/>
        <v>-2.0381961161932274E-2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691</v>
      </c>
      <c r="C265" s="439">
        <f>IF(C264=0,0,C266/C264)</f>
        <v>1.2607055689295459</v>
      </c>
      <c r="D265" s="439">
        <f>IF(LN_IIA4=0,0,LN_IIA6/LN_IIA4)</f>
        <v>1.2841769667431195</v>
      </c>
      <c r="E265" s="439">
        <f t="shared" si="26"/>
        <v>2.3471397813573658E-2</v>
      </c>
      <c r="F265" s="415">
        <f t="shared" si="27"/>
        <v>1.8617668067813023E-2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692</v>
      </c>
      <c r="C266" s="376">
        <f>C20+C47+C193+C226</f>
        <v>15710.912800000002</v>
      </c>
      <c r="D266" s="376">
        <f>LN_IA6+LN_IB6+LN_IF6+LN_IG5</f>
        <v>15677.232410000002</v>
      </c>
      <c r="E266" s="376">
        <f t="shared" si="26"/>
        <v>-33.680389999999534</v>
      </c>
      <c r="F266" s="415">
        <f t="shared" si="27"/>
        <v>-2.1437576816032947E-3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693</v>
      </c>
      <c r="C267" s="361">
        <f>C27+C56+C203+C233</f>
        <v>221899226</v>
      </c>
      <c r="D267" s="361">
        <f>LN_IA11+LN_IB13+LN_IF14+LN_IG9</f>
        <v>243048916</v>
      </c>
      <c r="E267" s="361">
        <f t="shared" si="26"/>
        <v>21149690</v>
      </c>
      <c r="F267" s="415">
        <f t="shared" si="27"/>
        <v>9.5312139574565261E-2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614</v>
      </c>
      <c r="C268" s="366">
        <f>IF(C261=0,0,C267/C261)</f>
        <v>0.95971804933715343</v>
      </c>
      <c r="D268" s="366">
        <f>IF(LN_IIA1=0,0,LN_IIA7/LN_IIA1)</f>
        <v>1.0213388536723966</v>
      </c>
      <c r="E268" s="367">
        <f t="shared" si="26"/>
        <v>6.1620804335243196E-2</v>
      </c>
      <c r="F268" s="371">
        <f t="shared" si="27"/>
        <v>6.4207195413072321E-2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694</v>
      </c>
      <c r="C269" s="361">
        <f>C28+C57+C204+C234</f>
        <v>60842620</v>
      </c>
      <c r="D269" s="361">
        <f>LN_IA12+LN_IB14+LN_IF15+LN_IG10</f>
        <v>60506086</v>
      </c>
      <c r="E269" s="361">
        <f t="shared" si="26"/>
        <v>-336534</v>
      </c>
      <c r="F269" s="415">
        <f t="shared" si="27"/>
        <v>-5.5312213708088179E-3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613</v>
      </c>
      <c r="C270" s="366">
        <f>IF(C267=0,0,C269/C267)</f>
        <v>0.27419032097029489</v>
      </c>
      <c r="D270" s="366">
        <f>IF(LN_IIA7=0,0,LN_IIA9/LN_IIA7)</f>
        <v>0.24894612572557204</v>
      </c>
      <c r="E270" s="367">
        <f t="shared" si="26"/>
        <v>-2.524419524472285E-2</v>
      </c>
      <c r="F270" s="371">
        <f t="shared" si="27"/>
        <v>-9.2068148705576461E-2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695</v>
      </c>
      <c r="C271" s="353">
        <f>C261+C267</f>
        <v>453112160</v>
      </c>
      <c r="D271" s="353">
        <f>LN_IIA1+LN_IIA7</f>
        <v>481019806</v>
      </c>
      <c r="E271" s="353">
        <f t="shared" si="26"/>
        <v>27907646</v>
      </c>
      <c r="F271" s="415">
        <f t="shared" si="27"/>
        <v>6.1591033001630324E-2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696</v>
      </c>
      <c r="C272" s="353">
        <f>C262+C269</f>
        <v>178275341</v>
      </c>
      <c r="D272" s="353">
        <f>LN_IIA2+LN_IIA9</f>
        <v>182985553</v>
      </c>
      <c r="E272" s="353">
        <f t="shared" si="26"/>
        <v>4710212</v>
      </c>
      <c r="F272" s="415">
        <f t="shared" si="27"/>
        <v>2.6420995599161411E-2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697</v>
      </c>
      <c r="C273" s="366">
        <f>IF(C271=0,0,C272/C271)</f>
        <v>0.39344638422416206</v>
      </c>
      <c r="D273" s="366">
        <f>IF(LN_IIA11=0,0,LN_IIA12/LN_IIA11)</f>
        <v>0.38041168101090622</v>
      </c>
      <c r="E273" s="367">
        <f t="shared" si="26"/>
        <v>-1.3034703213255838E-2</v>
      </c>
      <c r="F273" s="371">
        <f t="shared" si="27"/>
        <v>-3.312955395170044E-2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53096</v>
      </c>
      <c r="D274" s="421">
        <f>LN_IA8+LN_IB10+LN_IF11+LN_IG6</f>
        <v>52607</v>
      </c>
      <c r="E274" s="442">
        <f t="shared" si="26"/>
        <v>-489</v>
      </c>
      <c r="F274" s="371">
        <f t="shared" si="27"/>
        <v>-9.2097333132439355E-3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698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699</v>
      </c>
      <c r="C277" s="361">
        <f>C15+C188+C221</f>
        <v>157720633</v>
      </c>
      <c r="D277" s="361">
        <f>LN_IA1+LN_IF1+LN_IG1</f>
        <v>160493975</v>
      </c>
      <c r="E277" s="361">
        <f t="shared" ref="E277:E291" si="28">D277-C277</f>
        <v>2773342</v>
      </c>
      <c r="F277" s="415">
        <f t="shared" ref="F277:F291" si="29">IF(C277=0,0,E277/C277)</f>
        <v>1.758388834262414E-2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700</v>
      </c>
      <c r="C278" s="361">
        <f>C16+C189+C222</f>
        <v>81053315</v>
      </c>
      <c r="D278" s="361">
        <f>LN_IA2+LN_IF2+LN_IG2</f>
        <v>82415301</v>
      </c>
      <c r="E278" s="361">
        <f t="shared" si="28"/>
        <v>1361986</v>
      </c>
      <c r="F278" s="415">
        <f t="shared" si="29"/>
        <v>1.6803581691877748E-2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701</v>
      </c>
      <c r="C279" s="366">
        <f>IF(C277=0,0,C278/C277)</f>
        <v>0.51390432220748183</v>
      </c>
      <c r="D279" s="366">
        <f>IF(D277=0,0,LN_IIB2/D277)</f>
        <v>0.51351024859344407</v>
      </c>
      <c r="E279" s="367">
        <f t="shared" si="28"/>
        <v>-3.9407361403775987E-4</v>
      </c>
      <c r="F279" s="371">
        <f t="shared" si="29"/>
        <v>-7.6682292210544605E-4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702</v>
      </c>
      <c r="C280" s="369">
        <f>C18+C191+C224</f>
        <v>8506</v>
      </c>
      <c r="D280" s="369">
        <f>LN_IA4+LN_IF4+LN_IG3</f>
        <v>8201</v>
      </c>
      <c r="E280" s="369">
        <f t="shared" si="28"/>
        <v>-305</v>
      </c>
      <c r="F280" s="415">
        <f t="shared" si="29"/>
        <v>-3.5857042087937926E-2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703</v>
      </c>
      <c r="C281" s="439">
        <f>IF(C280=0,0,C282/C280)</f>
        <v>1.3171460380907596</v>
      </c>
      <c r="D281" s="439">
        <f>IF(LN_IIB4=0,0,LN_IIB6/LN_IIB4)</f>
        <v>1.3284572076576029</v>
      </c>
      <c r="E281" s="439">
        <f t="shared" si="28"/>
        <v>1.1311169566843304E-2</v>
      </c>
      <c r="F281" s="415">
        <f t="shared" si="29"/>
        <v>8.58763511390063E-3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704</v>
      </c>
      <c r="C282" s="376">
        <f>C20+C193+C226</f>
        <v>11203.644200000001</v>
      </c>
      <c r="D282" s="376">
        <f>LN_IA6+LN_IF6+LN_IG5</f>
        <v>10894.677560000002</v>
      </c>
      <c r="E282" s="376">
        <f t="shared" si="28"/>
        <v>-308.96663999999873</v>
      </c>
      <c r="F282" s="415">
        <f t="shared" si="29"/>
        <v>-2.7577334167752196E-2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705</v>
      </c>
      <c r="C283" s="361">
        <f>C27+C203+C233</f>
        <v>121260068</v>
      </c>
      <c r="D283" s="361">
        <f>LN_IA11+LN_IF14+LN_IG9</f>
        <v>134198738</v>
      </c>
      <c r="E283" s="361">
        <f t="shared" si="28"/>
        <v>12938670</v>
      </c>
      <c r="F283" s="415">
        <f t="shared" si="29"/>
        <v>0.10670182042121236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706</v>
      </c>
      <c r="C284" s="366">
        <f>IF(C277=0,0,C283/C277)</f>
        <v>0.76882818495916128</v>
      </c>
      <c r="D284" s="366">
        <f>IF(D277=0,0,LN_IIB7/D277)</f>
        <v>0.8361605973059113</v>
      </c>
      <c r="E284" s="367">
        <f t="shared" si="28"/>
        <v>6.7332412346750026E-2</v>
      </c>
      <c r="F284" s="371">
        <f t="shared" si="29"/>
        <v>8.7577970818443138E-2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707</v>
      </c>
      <c r="C285" s="361">
        <f>C28+C204+C234</f>
        <v>27555714</v>
      </c>
      <c r="D285" s="361">
        <f>LN_IA12+LN_IF15+LN_IG10</f>
        <v>29451035</v>
      </c>
      <c r="E285" s="361">
        <f t="shared" si="28"/>
        <v>1895321</v>
      </c>
      <c r="F285" s="415">
        <f t="shared" si="29"/>
        <v>6.8781414990734771E-2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708</v>
      </c>
      <c r="C286" s="366">
        <f>IF(C283=0,0,C285/C283)</f>
        <v>0.22724475133891564</v>
      </c>
      <c r="D286" s="366">
        <f>IF(LN_IIB7=0,0,LN_IIB9/LN_IIB7)</f>
        <v>0.21945836033122756</v>
      </c>
      <c r="E286" s="367">
        <f t="shared" si="28"/>
        <v>-7.786391007688076E-3</v>
      </c>
      <c r="F286" s="371">
        <f t="shared" si="29"/>
        <v>-3.4264338171997449E-2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709</v>
      </c>
      <c r="C287" s="353">
        <f>C277+C283</f>
        <v>278980701</v>
      </c>
      <c r="D287" s="353">
        <f>D277+LN_IIB7</f>
        <v>294692713</v>
      </c>
      <c r="E287" s="353">
        <f t="shared" si="28"/>
        <v>15712012</v>
      </c>
      <c r="F287" s="415">
        <f t="shared" si="29"/>
        <v>5.631935092169691E-2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710</v>
      </c>
      <c r="C288" s="353">
        <f>C278+C285</f>
        <v>108609029</v>
      </c>
      <c r="D288" s="353">
        <f>LN_IIB2+LN_IIB9</f>
        <v>111866336</v>
      </c>
      <c r="E288" s="353">
        <f t="shared" si="28"/>
        <v>3257307</v>
      </c>
      <c r="F288" s="415">
        <f t="shared" si="29"/>
        <v>2.9991125323475639E-2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711</v>
      </c>
      <c r="C289" s="366">
        <f>IF(C287=0,0,C288/C287)</f>
        <v>0.38930660296821035</v>
      </c>
      <c r="D289" s="366">
        <f>IF(LN_IIB11=0,0,LN_IIB12/LN_IIB11)</f>
        <v>0.37960333277735309</v>
      </c>
      <c r="E289" s="367">
        <f t="shared" si="28"/>
        <v>-9.7032701908572605E-3</v>
      </c>
      <c r="F289" s="371">
        <f t="shared" si="29"/>
        <v>-2.4924494259475998E-2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40037</v>
      </c>
      <c r="D290" s="421">
        <f>LN_IA8+LN_IF11+LN_IG6</f>
        <v>38153</v>
      </c>
      <c r="E290" s="442">
        <f t="shared" si="28"/>
        <v>-1884</v>
      </c>
      <c r="F290" s="371">
        <f t="shared" si="29"/>
        <v>-4.7056472762694507E-2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712</v>
      </c>
      <c r="C291" s="361">
        <f>C287-C288</f>
        <v>170371672</v>
      </c>
      <c r="D291" s="429">
        <f>LN_IIB11-LN_IIB12</f>
        <v>182826377</v>
      </c>
      <c r="E291" s="353">
        <f t="shared" si="28"/>
        <v>12454705</v>
      </c>
      <c r="F291" s="415">
        <f t="shared" si="29"/>
        <v>7.3103144752843657E-2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609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600</v>
      </c>
      <c r="C294" s="379">
        <f>IF(C18=0,0,C22/C18)</f>
        <v>5.2620754716981128</v>
      </c>
      <c r="D294" s="379">
        <f>IF(LN_IA4=0,0,LN_IA8/LN_IA4)</f>
        <v>5.003898635477583</v>
      </c>
      <c r="E294" s="379">
        <f t="shared" ref="E294:E300" si="30">D294-C294</f>
        <v>-0.25817683622052989</v>
      </c>
      <c r="F294" s="415">
        <f t="shared" ref="F294:F300" si="31">IF(C294=0,0,E294/C294)</f>
        <v>-4.9063689338764691E-2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621</v>
      </c>
      <c r="C295" s="379">
        <f>IF(C45=0,0,C51/C45)</f>
        <v>3.301061678463094</v>
      </c>
      <c r="D295" s="379">
        <f>IF(LN_IB4=0,0,(LN_IB10)/(LN_IB4))</f>
        <v>3.6071874220114801</v>
      </c>
      <c r="E295" s="379">
        <f t="shared" si="30"/>
        <v>0.30612574354838618</v>
      </c>
      <c r="F295" s="415">
        <f t="shared" si="31"/>
        <v>9.2735541885091949E-2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636</v>
      </c>
      <c r="C296" s="379">
        <f>IF(C86=0,0,C93/C86)</f>
        <v>2.8877551020408165</v>
      </c>
      <c r="D296" s="379">
        <f>IF(LN_IC4=0,0,LN_IC11/LN_IC4)</f>
        <v>3.5163043478260869</v>
      </c>
      <c r="E296" s="379">
        <f t="shared" si="30"/>
        <v>0.62854924578527038</v>
      </c>
      <c r="F296" s="415">
        <f t="shared" si="31"/>
        <v>0.21766016285143638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3.5966192854398771</v>
      </c>
      <c r="D297" s="379">
        <f>IF(LN_ID4=0,0,LN_ID11/LN_ID4)</f>
        <v>3.9802754000744325</v>
      </c>
      <c r="E297" s="379">
        <f t="shared" si="30"/>
        <v>0.3836561146345554</v>
      </c>
      <c r="F297" s="415">
        <f t="shared" si="31"/>
        <v>0.10667131664107538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713</v>
      </c>
      <c r="C298" s="379">
        <f>IF(C156=0,0,C163/C156)</f>
        <v>4.7329842931937174</v>
      </c>
      <c r="D298" s="379">
        <f>IF(LN_IE4=0,0,LN_IE11/LN_IE4)</f>
        <v>4.8005952380952381</v>
      </c>
      <c r="E298" s="379">
        <f t="shared" si="30"/>
        <v>6.7610944901520753E-2</v>
      </c>
      <c r="F298" s="415">
        <f t="shared" si="31"/>
        <v>1.4285055836493876E-2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2.4666666666666668</v>
      </c>
      <c r="D299" s="379">
        <f>IF(LN_IG3=0,0,LN_IG6/LN_IG3)</f>
        <v>3.6458333333333335</v>
      </c>
      <c r="E299" s="379">
        <f t="shared" si="30"/>
        <v>1.1791666666666667</v>
      </c>
      <c r="F299" s="415">
        <f t="shared" si="31"/>
        <v>0.47804054054054052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714</v>
      </c>
      <c r="C300" s="379">
        <f>IF(C264=0,0,C274/C264)</f>
        <v>4.2606323222596698</v>
      </c>
      <c r="D300" s="379">
        <f>IF(LN_IIA4=0,0,LN_IIA14/LN_IIA4)</f>
        <v>4.309223460026212</v>
      </c>
      <c r="E300" s="379">
        <f t="shared" si="30"/>
        <v>4.8591137766542225E-2</v>
      </c>
      <c r="F300" s="415">
        <f t="shared" si="31"/>
        <v>1.1404677543442992E-2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715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709</v>
      </c>
      <c r="C304" s="353">
        <f>C35+C66+C214+C221+C233</f>
        <v>453112160</v>
      </c>
      <c r="D304" s="353">
        <f>LN_IIA11</f>
        <v>481019806</v>
      </c>
      <c r="E304" s="353">
        <f t="shared" ref="E304:E316" si="32">D304-C304</f>
        <v>27907646</v>
      </c>
      <c r="F304" s="362">
        <f>IF(C304=0,0,E304/C304)</f>
        <v>6.1591033001630324E-2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712</v>
      </c>
      <c r="C305" s="353">
        <f>C291</f>
        <v>170371672</v>
      </c>
      <c r="D305" s="353">
        <f>LN_IIB14</f>
        <v>182826377</v>
      </c>
      <c r="E305" s="353">
        <f t="shared" si="32"/>
        <v>12454705</v>
      </c>
      <c r="F305" s="362">
        <f>IF(C305=0,0,E305/C305)</f>
        <v>7.3103144752843657E-2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716</v>
      </c>
      <c r="C306" s="353">
        <f>C250</f>
        <v>12217327</v>
      </c>
      <c r="D306" s="353">
        <f>LN_IH6</f>
        <v>12948571</v>
      </c>
      <c r="E306" s="353">
        <f t="shared" si="32"/>
        <v>731244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717</v>
      </c>
      <c r="C307" s="353">
        <f>C73-C74</f>
        <v>104465147</v>
      </c>
      <c r="D307" s="353">
        <f>LN_IB32-LN_IB33</f>
        <v>115207876</v>
      </c>
      <c r="E307" s="353">
        <f t="shared" si="32"/>
        <v>10742729</v>
      </c>
      <c r="F307" s="362">
        <f t="shared" ref="F307:F316" si="33">IF(C307=0,0,E307/C307)</f>
        <v>0.10283553231394965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718</v>
      </c>
      <c r="C308" s="353">
        <v>4905768</v>
      </c>
      <c r="D308" s="353">
        <v>5700172</v>
      </c>
      <c r="E308" s="353">
        <f t="shared" si="32"/>
        <v>794404</v>
      </c>
      <c r="F308" s="362">
        <f t="shared" si="33"/>
        <v>0.16193264744684216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719</v>
      </c>
      <c r="C309" s="353">
        <f>C305+C307+C308+C306</f>
        <v>291959914</v>
      </c>
      <c r="D309" s="353">
        <f>LN_III2+LN_III3+LN_III4+LN_III5</f>
        <v>316682996</v>
      </c>
      <c r="E309" s="353">
        <f t="shared" si="32"/>
        <v>24723082</v>
      </c>
      <c r="F309" s="362">
        <f t="shared" si="33"/>
        <v>8.4679713941825593E-2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720</v>
      </c>
      <c r="C310" s="353">
        <f>C304-C309</f>
        <v>161152246</v>
      </c>
      <c r="D310" s="353">
        <f>LN_III1-LN_III6</f>
        <v>164336810</v>
      </c>
      <c r="E310" s="353">
        <f t="shared" si="32"/>
        <v>3184564</v>
      </c>
      <c r="F310" s="362">
        <f t="shared" si="33"/>
        <v>1.9761213877217697E-2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721</v>
      </c>
      <c r="C311" s="353">
        <f>C245</f>
        <v>1519133</v>
      </c>
      <c r="D311" s="353">
        <f>LN_IH3</f>
        <v>1270330</v>
      </c>
      <c r="E311" s="353">
        <f t="shared" si="32"/>
        <v>-248803</v>
      </c>
      <c r="F311" s="362">
        <f t="shared" si="33"/>
        <v>-0.1637796032342132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722</v>
      </c>
      <c r="C312" s="353">
        <f>C310+C311</f>
        <v>162671379</v>
      </c>
      <c r="D312" s="353">
        <f>LN_III7+LN_III8</f>
        <v>165607140</v>
      </c>
      <c r="E312" s="353">
        <f t="shared" si="32"/>
        <v>2935761</v>
      </c>
      <c r="F312" s="362">
        <f t="shared" si="33"/>
        <v>1.8047188251843614E-2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723</v>
      </c>
      <c r="C313" s="448">
        <f>IF(C304=0,0,C312/C304)</f>
        <v>0.3590090784586315</v>
      </c>
      <c r="D313" s="448">
        <f>IF(LN_III1=0,0,LN_III9/LN_III1)</f>
        <v>0.34428341189759659</v>
      </c>
      <c r="E313" s="448">
        <f t="shared" si="32"/>
        <v>-1.4725666561034911E-2</v>
      </c>
      <c r="F313" s="362">
        <f t="shared" si="33"/>
        <v>-4.1017532548920613E-2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681</v>
      </c>
      <c r="C314" s="353">
        <f>C306*C313</f>
        <v>4386131.3074977575</v>
      </c>
      <c r="D314" s="353">
        <f>D313*LN_III5</f>
        <v>4457978.2030782746</v>
      </c>
      <c r="E314" s="353">
        <f t="shared" si="32"/>
        <v>71846.895580517128</v>
      </c>
      <c r="F314" s="362">
        <f t="shared" si="33"/>
        <v>1.638047074826518E-2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684</v>
      </c>
      <c r="C315" s="353">
        <f>(C214*C313)-C215</f>
        <v>11746010.400594927</v>
      </c>
      <c r="D315" s="353">
        <f>D313*LN_IH8-LN_IH9</f>
        <v>10095312.778902128</v>
      </c>
      <c r="E315" s="353">
        <f t="shared" si="32"/>
        <v>-1650697.621692799</v>
      </c>
      <c r="F315" s="362">
        <f t="shared" si="33"/>
        <v>-0.14053262047249612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724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725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726</v>
      </c>
      <c r="C318" s="353">
        <f>C314+C315+C316</f>
        <v>16132141.708092686</v>
      </c>
      <c r="D318" s="353">
        <f>D314+D315+D316</f>
        <v>14553290.981980402</v>
      </c>
      <c r="E318" s="353">
        <f>D318-C318</f>
        <v>-1578850.7261122838</v>
      </c>
      <c r="F318" s="362">
        <f>IF(C318=0,0,E318/C318)</f>
        <v>-9.7869877086453658E-2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727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16945146.862278085</v>
      </c>
      <c r="D322" s="353">
        <f>LN_ID22</f>
        <v>15530587.712352792</v>
      </c>
      <c r="E322" s="353">
        <f>LN_IV2-C322</f>
        <v>-1414559.1499252934</v>
      </c>
      <c r="F322" s="362">
        <f>IF(C322=0,0,E322/C322)</f>
        <v>-8.3478718799084028E-2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713</v>
      </c>
      <c r="C323" s="353">
        <f>C162+C176</f>
        <v>7296920.8336252775</v>
      </c>
      <c r="D323" s="353">
        <f>LN_IE10+LN_IE22</f>
        <v>4392202.7929720385</v>
      </c>
      <c r="E323" s="353">
        <f>LN_IV3-C323</f>
        <v>-2904718.040653239</v>
      </c>
      <c r="F323" s="362">
        <f>IF(C323=0,0,E323/C323)</f>
        <v>-0.39807449016958957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728</v>
      </c>
      <c r="C324" s="353">
        <f>C92+C106</f>
        <v>4718804.1903338041</v>
      </c>
      <c r="D324" s="353">
        <f>LN_IC10+LN_IC22</f>
        <v>4501362.6181091703</v>
      </c>
      <c r="E324" s="353">
        <f>LN_IV1-C324</f>
        <v>-217441.57222463377</v>
      </c>
      <c r="F324" s="362">
        <f>IF(C324=0,0,E324/C324)</f>
        <v>-4.6079804004169146E-2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729</v>
      </c>
      <c r="C325" s="429">
        <f>C324+C322+C323</f>
        <v>28960871.886237167</v>
      </c>
      <c r="D325" s="429">
        <f>LN_IV1+LN_IV2+LN_IV3</f>
        <v>24424153.123434003</v>
      </c>
      <c r="E325" s="353">
        <f>LN_IV4-C325</f>
        <v>-4536718.7628031634</v>
      </c>
      <c r="F325" s="362">
        <f>IF(C325=0,0,E325/C325)</f>
        <v>-0.15664993721957349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730</v>
      </c>
      <c r="B327" s="446" t="s">
        <v>731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732</v>
      </c>
      <c r="C329" s="431">
        <v>8152172</v>
      </c>
      <c r="D329" s="431">
        <v>9265066</v>
      </c>
      <c r="E329" s="431">
        <f t="shared" ref="E329:E335" si="34">D329-C329</f>
        <v>1112894</v>
      </c>
      <c r="F329" s="462">
        <f t="shared" ref="F329:F335" si="35">IF(C329=0,0,E329/C329)</f>
        <v>0.13651502936886023</v>
      </c>
    </row>
    <row r="330" spans="1:22" s="333" customFormat="1" ht="11.25" customHeight="1" x14ac:dyDescent="0.2">
      <c r="A330" s="364">
        <v>2</v>
      </c>
      <c r="B330" s="360" t="s">
        <v>733</v>
      </c>
      <c r="C330" s="429">
        <v>16703211</v>
      </c>
      <c r="D330" s="429">
        <v>17189016</v>
      </c>
      <c r="E330" s="431">
        <f t="shared" si="34"/>
        <v>485805</v>
      </c>
      <c r="F330" s="463">
        <f t="shared" si="35"/>
        <v>2.9084527519888242E-2</v>
      </c>
    </row>
    <row r="331" spans="1:22" s="333" customFormat="1" ht="11.25" customHeight="1" x14ac:dyDescent="0.2">
      <c r="A331" s="339">
        <v>3</v>
      </c>
      <c r="B331" s="360" t="s">
        <v>734</v>
      </c>
      <c r="C331" s="429">
        <v>196498000</v>
      </c>
      <c r="D331" s="429">
        <v>201445000</v>
      </c>
      <c r="E331" s="431">
        <f t="shared" si="34"/>
        <v>4947000</v>
      </c>
      <c r="F331" s="462">
        <f t="shared" si="35"/>
        <v>2.5175828761615893E-2</v>
      </c>
    </row>
    <row r="332" spans="1:22" s="333" customFormat="1" ht="11.25" customHeight="1" x14ac:dyDescent="0.2">
      <c r="A332" s="364">
        <v>4</v>
      </c>
      <c r="B332" s="360" t="s">
        <v>735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736</v>
      </c>
      <c r="C333" s="429">
        <v>453112000</v>
      </c>
      <c r="D333" s="429">
        <v>481020000</v>
      </c>
      <c r="E333" s="431">
        <f t="shared" si="34"/>
        <v>27908000</v>
      </c>
      <c r="F333" s="462">
        <f t="shared" si="35"/>
        <v>6.1591836014053922E-2</v>
      </c>
    </row>
    <row r="334" spans="1:22" s="333" customFormat="1" ht="11.25" customHeight="1" x14ac:dyDescent="0.2">
      <c r="A334" s="339">
        <v>6</v>
      </c>
      <c r="B334" s="360" t="s">
        <v>737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738</v>
      </c>
      <c r="C335" s="429">
        <v>12217327</v>
      </c>
      <c r="D335" s="429">
        <v>12949000</v>
      </c>
      <c r="E335" s="429">
        <f t="shared" si="34"/>
        <v>731673</v>
      </c>
      <c r="F335" s="462">
        <f t="shared" si="35"/>
        <v>5.9888140834734142E-2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FILING&amp;RSAINT MARY`S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Normal="75" zoomScaleSheetLayoutView="68" workbookViewId="0">
      <selection sqref="A1:F1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591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739</v>
      </c>
      <c r="B5" s="710"/>
      <c r="C5" s="710"/>
      <c r="D5" s="710"/>
      <c r="E5" s="710"/>
    </row>
    <row r="6" spans="1:5" s="338" customFormat="1" ht="15.75" customHeight="1" x14ac:dyDescent="0.25">
      <c r="A6" s="710" t="s">
        <v>740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741</v>
      </c>
      <c r="D9" s="494" t="s">
        <v>742</v>
      </c>
      <c r="E9" s="495" t="s">
        <v>743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744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745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621</v>
      </c>
      <c r="C14" s="513">
        <v>73492301</v>
      </c>
      <c r="D14" s="513">
        <v>77476915</v>
      </c>
      <c r="E14" s="514">
        <f t="shared" ref="E14:E22" si="0">D14-C14</f>
        <v>3984614</v>
      </c>
    </row>
    <row r="15" spans="1:5" s="506" customFormat="1" ht="33" customHeight="1" x14ac:dyDescent="0.2">
      <c r="A15" s="512">
        <v>2</v>
      </c>
      <c r="B15" s="511" t="s">
        <v>600</v>
      </c>
      <c r="C15" s="513">
        <v>121263136</v>
      </c>
      <c r="D15" s="515">
        <v>121221236</v>
      </c>
      <c r="E15" s="514">
        <f t="shared" si="0"/>
        <v>-41900</v>
      </c>
    </row>
    <row r="16" spans="1:5" s="506" customFormat="1" x14ac:dyDescent="0.2">
      <c r="A16" s="512">
        <v>3</v>
      </c>
      <c r="B16" s="511" t="s">
        <v>746</v>
      </c>
      <c r="C16" s="513">
        <v>36245213</v>
      </c>
      <c r="D16" s="515">
        <v>38864705</v>
      </c>
      <c r="E16" s="514">
        <f t="shared" si="0"/>
        <v>2619492</v>
      </c>
    </row>
    <row r="17" spans="1:5" s="506" customFormat="1" x14ac:dyDescent="0.2">
      <c r="A17" s="512">
        <v>4</v>
      </c>
      <c r="B17" s="511" t="s">
        <v>114</v>
      </c>
      <c r="C17" s="513">
        <v>26960292</v>
      </c>
      <c r="D17" s="515">
        <v>34158558</v>
      </c>
      <c r="E17" s="514">
        <f t="shared" si="0"/>
        <v>7198266</v>
      </c>
    </row>
    <row r="18" spans="1:5" s="506" customFormat="1" x14ac:dyDescent="0.2">
      <c r="A18" s="512">
        <v>5</v>
      </c>
      <c r="B18" s="511" t="s">
        <v>713</v>
      </c>
      <c r="C18" s="513">
        <v>9284921</v>
      </c>
      <c r="D18" s="515">
        <v>4706147</v>
      </c>
      <c r="E18" s="514">
        <f t="shared" si="0"/>
        <v>-4578774</v>
      </c>
    </row>
    <row r="19" spans="1:5" s="506" customFormat="1" x14ac:dyDescent="0.2">
      <c r="A19" s="512">
        <v>6</v>
      </c>
      <c r="B19" s="511" t="s">
        <v>418</v>
      </c>
      <c r="C19" s="513">
        <v>212284</v>
      </c>
      <c r="D19" s="515">
        <v>408034</v>
      </c>
      <c r="E19" s="514">
        <f t="shared" si="0"/>
        <v>195750</v>
      </c>
    </row>
    <row r="20" spans="1:5" s="506" customFormat="1" x14ac:dyDescent="0.2">
      <c r="A20" s="512">
        <v>7</v>
      </c>
      <c r="B20" s="511" t="s">
        <v>728</v>
      </c>
      <c r="C20" s="513">
        <v>2609364</v>
      </c>
      <c r="D20" s="515">
        <v>2728843</v>
      </c>
      <c r="E20" s="514">
        <f t="shared" si="0"/>
        <v>119479</v>
      </c>
    </row>
    <row r="21" spans="1:5" s="506" customFormat="1" x14ac:dyDescent="0.2">
      <c r="A21" s="512"/>
      <c r="B21" s="516" t="s">
        <v>747</v>
      </c>
      <c r="C21" s="517">
        <f>SUM(C15+C16+C19)</f>
        <v>157720633</v>
      </c>
      <c r="D21" s="517">
        <f>SUM(D15+D16+D19)</f>
        <v>160493975</v>
      </c>
      <c r="E21" s="517">
        <f t="shared" si="0"/>
        <v>2773342</v>
      </c>
    </row>
    <row r="22" spans="1:5" s="506" customFormat="1" x14ac:dyDescent="0.2">
      <c r="A22" s="512"/>
      <c r="B22" s="516" t="s">
        <v>687</v>
      </c>
      <c r="C22" s="517">
        <f>SUM(C14+C21)</f>
        <v>231212934</v>
      </c>
      <c r="D22" s="517">
        <f>SUM(D14+D21)</f>
        <v>237970890</v>
      </c>
      <c r="E22" s="517">
        <f t="shared" si="0"/>
        <v>6757956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748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621</v>
      </c>
      <c r="C25" s="513">
        <v>100639158</v>
      </c>
      <c r="D25" s="513">
        <v>108850178</v>
      </c>
      <c r="E25" s="514">
        <f t="shared" ref="E25:E33" si="1">D25-C25</f>
        <v>8211020</v>
      </c>
    </row>
    <row r="26" spans="1:5" s="506" customFormat="1" x14ac:dyDescent="0.2">
      <c r="A26" s="512">
        <v>2</v>
      </c>
      <c r="B26" s="511" t="s">
        <v>600</v>
      </c>
      <c r="C26" s="513">
        <v>57952582</v>
      </c>
      <c r="D26" s="515">
        <v>64353684</v>
      </c>
      <c r="E26" s="514">
        <f t="shared" si="1"/>
        <v>6401102</v>
      </c>
    </row>
    <row r="27" spans="1:5" s="506" customFormat="1" x14ac:dyDescent="0.2">
      <c r="A27" s="512">
        <v>3</v>
      </c>
      <c r="B27" s="511" t="s">
        <v>746</v>
      </c>
      <c r="C27" s="513">
        <v>62648953</v>
      </c>
      <c r="D27" s="515">
        <v>69176387</v>
      </c>
      <c r="E27" s="514">
        <f t="shared" si="1"/>
        <v>6527434</v>
      </c>
    </row>
    <row r="28" spans="1:5" s="506" customFormat="1" x14ac:dyDescent="0.2">
      <c r="A28" s="512">
        <v>4</v>
      </c>
      <c r="B28" s="511" t="s">
        <v>114</v>
      </c>
      <c r="C28" s="513">
        <v>50029863</v>
      </c>
      <c r="D28" s="515">
        <v>62082792</v>
      </c>
      <c r="E28" s="514">
        <f t="shared" si="1"/>
        <v>12052929</v>
      </c>
    </row>
    <row r="29" spans="1:5" s="506" customFormat="1" x14ac:dyDescent="0.2">
      <c r="A29" s="512">
        <v>5</v>
      </c>
      <c r="B29" s="511" t="s">
        <v>713</v>
      </c>
      <c r="C29" s="513">
        <v>12619090</v>
      </c>
      <c r="D29" s="515">
        <v>7093595</v>
      </c>
      <c r="E29" s="514">
        <f t="shared" si="1"/>
        <v>-5525495</v>
      </c>
    </row>
    <row r="30" spans="1:5" s="506" customFormat="1" x14ac:dyDescent="0.2">
      <c r="A30" s="512">
        <v>6</v>
      </c>
      <c r="B30" s="511" t="s">
        <v>418</v>
      </c>
      <c r="C30" s="513">
        <v>658533</v>
      </c>
      <c r="D30" s="515">
        <v>668667</v>
      </c>
      <c r="E30" s="514">
        <f t="shared" si="1"/>
        <v>10134</v>
      </c>
    </row>
    <row r="31" spans="1:5" s="506" customFormat="1" x14ac:dyDescent="0.2">
      <c r="A31" s="512">
        <v>7</v>
      </c>
      <c r="B31" s="511" t="s">
        <v>728</v>
      </c>
      <c r="C31" s="514">
        <v>7794023</v>
      </c>
      <c r="D31" s="518">
        <v>7905155</v>
      </c>
      <c r="E31" s="514">
        <f t="shared" si="1"/>
        <v>111132</v>
      </c>
    </row>
    <row r="32" spans="1:5" s="506" customFormat="1" x14ac:dyDescent="0.2">
      <c r="A32" s="512"/>
      <c r="B32" s="516" t="s">
        <v>749</v>
      </c>
      <c r="C32" s="517">
        <f>SUM(C26+C27+C30)</f>
        <v>121260068</v>
      </c>
      <c r="D32" s="517">
        <f>SUM(D26+D27+D30)</f>
        <v>134198738</v>
      </c>
      <c r="E32" s="517">
        <f t="shared" si="1"/>
        <v>12938670</v>
      </c>
    </row>
    <row r="33" spans="1:5" s="506" customFormat="1" x14ac:dyDescent="0.2">
      <c r="A33" s="512"/>
      <c r="B33" s="516" t="s">
        <v>693</v>
      </c>
      <c r="C33" s="517">
        <f>SUM(C25+C32)</f>
        <v>221899226</v>
      </c>
      <c r="D33" s="517">
        <f>SUM(D25+D32)</f>
        <v>243048916</v>
      </c>
      <c r="E33" s="517">
        <f t="shared" si="1"/>
        <v>21149690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618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750</v>
      </c>
      <c r="C36" s="514">
        <f t="shared" ref="C36:D42" si="2">C14+C25</f>
        <v>174131459</v>
      </c>
      <c r="D36" s="514">
        <f t="shared" si="2"/>
        <v>186327093</v>
      </c>
      <c r="E36" s="514">
        <f t="shared" ref="E36:E44" si="3">D36-C36</f>
        <v>12195634</v>
      </c>
    </row>
    <row r="37" spans="1:5" s="506" customFormat="1" x14ac:dyDescent="0.2">
      <c r="A37" s="512">
        <v>2</v>
      </c>
      <c r="B37" s="511" t="s">
        <v>751</v>
      </c>
      <c r="C37" s="514">
        <f t="shared" si="2"/>
        <v>179215718</v>
      </c>
      <c r="D37" s="514">
        <f t="shared" si="2"/>
        <v>185574920</v>
      </c>
      <c r="E37" s="514">
        <f t="shared" si="3"/>
        <v>6359202</v>
      </c>
    </row>
    <row r="38" spans="1:5" s="506" customFormat="1" x14ac:dyDescent="0.2">
      <c r="A38" s="512">
        <v>3</v>
      </c>
      <c r="B38" s="511" t="s">
        <v>752</v>
      </c>
      <c r="C38" s="514">
        <f t="shared" si="2"/>
        <v>98894166</v>
      </c>
      <c r="D38" s="514">
        <f t="shared" si="2"/>
        <v>108041092</v>
      </c>
      <c r="E38" s="514">
        <f t="shared" si="3"/>
        <v>9146926</v>
      </c>
    </row>
    <row r="39" spans="1:5" s="506" customFormat="1" x14ac:dyDescent="0.2">
      <c r="A39" s="512">
        <v>4</v>
      </c>
      <c r="B39" s="511" t="s">
        <v>753</v>
      </c>
      <c r="C39" s="514">
        <f t="shared" si="2"/>
        <v>76990155</v>
      </c>
      <c r="D39" s="514">
        <f t="shared" si="2"/>
        <v>96241350</v>
      </c>
      <c r="E39" s="514">
        <f t="shared" si="3"/>
        <v>19251195</v>
      </c>
    </row>
    <row r="40" spans="1:5" s="506" customFormat="1" x14ac:dyDescent="0.2">
      <c r="A40" s="512">
        <v>5</v>
      </c>
      <c r="B40" s="511" t="s">
        <v>754</v>
      </c>
      <c r="C40" s="514">
        <f t="shared" si="2"/>
        <v>21904011</v>
      </c>
      <c r="D40" s="514">
        <f t="shared" si="2"/>
        <v>11799742</v>
      </c>
      <c r="E40" s="514">
        <f t="shared" si="3"/>
        <v>-10104269</v>
      </c>
    </row>
    <row r="41" spans="1:5" s="506" customFormat="1" x14ac:dyDescent="0.2">
      <c r="A41" s="512">
        <v>6</v>
      </c>
      <c r="B41" s="511" t="s">
        <v>755</v>
      </c>
      <c r="C41" s="514">
        <f t="shared" si="2"/>
        <v>870817</v>
      </c>
      <c r="D41" s="514">
        <f t="shared" si="2"/>
        <v>1076701</v>
      </c>
      <c r="E41" s="514">
        <f t="shared" si="3"/>
        <v>205884</v>
      </c>
    </row>
    <row r="42" spans="1:5" s="506" customFormat="1" x14ac:dyDescent="0.2">
      <c r="A42" s="512">
        <v>7</v>
      </c>
      <c r="B42" s="511" t="s">
        <v>756</v>
      </c>
      <c r="C42" s="514">
        <f t="shared" si="2"/>
        <v>10403387</v>
      </c>
      <c r="D42" s="514">
        <f t="shared" si="2"/>
        <v>10633998</v>
      </c>
      <c r="E42" s="514">
        <f t="shared" si="3"/>
        <v>230611</v>
      </c>
    </row>
    <row r="43" spans="1:5" s="506" customFormat="1" x14ac:dyDescent="0.2">
      <c r="A43" s="512"/>
      <c r="B43" s="516" t="s">
        <v>757</v>
      </c>
      <c r="C43" s="517">
        <f>SUM(C37+C38+C41)</f>
        <v>278980701</v>
      </c>
      <c r="D43" s="517">
        <f>SUM(D37+D38+D41)</f>
        <v>294692713</v>
      </c>
      <c r="E43" s="517">
        <f t="shared" si="3"/>
        <v>15712012</v>
      </c>
    </row>
    <row r="44" spans="1:5" s="506" customFormat="1" x14ac:dyDescent="0.2">
      <c r="A44" s="512"/>
      <c r="B44" s="516" t="s">
        <v>695</v>
      </c>
      <c r="C44" s="517">
        <f>SUM(C36+C43)</f>
        <v>453112160</v>
      </c>
      <c r="D44" s="517">
        <f>SUM(D36+D43)</f>
        <v>481019806</v>
      </c>
      <c r="E44" s="517">
        <f t="shared" si="3"/>
        <v>27907646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758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621</v>
      </c>
      <c r="C47" s="513">
        <v>36379406</v>
      </c>
      <c r="D47" s="513">
        <v>40064166</v>
      </c>
      <c r="E47" s="514">
        <f t="shared" ref="E47:E55" si="4">D47-C47</f>
        <v>3684760</v>
      </c>
    </row>
    <row r="48" spans="1:5" s="506" customFormat="1" x14ac:dyDescent="0.2">
      <c r="A48" s="512">
        <v>2</v>
      </c>
      <c r="B48" s="511" t="s">
        <v>600</v>
      </c>
      <c r="C48" s="513">
        <v>69739881</v>
      </c>
      <c r="D48" s="515">
        <v>68673576</v>
      </c>
      <c r="E48" s="514">
        <f t="shared" si="4"/>
        <v>-1066305</v>
      </c>
    </row>
    <row r="49" spans="1:5" s="506" customFormat="1" x14ac:dyDescent="0.2">
      <c r="A49" s="512">
        <v>3</v>
      </c>
      <c r="B49" s="511" t="s">
        <v>746</v>
      </c>
      <c r="C49" s="513">
        <v>11214705</v>
      </c>
      <c r="D49" s="515">
        <v>13585332</v>
      </c>
      <c r="E49" s="514">
        <f t="shared" si="4"/>
        <v>2370627</v>
      </c>
    </row>
    <row r="50" spans="1:5" s="506" customFormat="1" x14ac:dyDescent="0.2">
      <c r="A50" s="512">
        <v>4</v>
      </c>
      <c r="B50" s="511" t="s">
        <v>114</v>
      </c>
      <c r="C50" s="513">
        <v>9702923</v>
      </c>
      <c r="D50" s="515">
        <v>12605983</v>
      </c>
      <c r="E50" s="514">
        <f t="shared" si="4"/>
        <v>2903060</v>
      </c>
    </row>
    <row r="51" spans="1:5" s="506" customFormat="1" x14ac:dyDescent="0.2">
      <c r="A51" s="512">
        <v>5</v>
      </c>
      <c r="B51" s="511" t="s">
        <v>713</v>
      </c>
      <c r="C51" s="513">
        <v>1511782</v>
      </c>
      <c r="D51" s="515">
        <v>979349</v>
      </c>
      <c r="E51" s="514">
        <f t="shared" si="4"/>
        <v>-532433</v>
      </c>
    </row>
    <row r="52" spans="1:5" s="506" customFormat="1" x14ac:dyDescent="0.2">
      <c r="A52" s="512">
        <v>6</v>
      </c>
      <c r="B52" s="511" t="s">
        <v>418</v>
      </c>
      <c r="C52" s="513">
        <v>98729</v>
      </c>
      <c r="D52" s="515">
        <v>156393</v>
      </c>
      <c r="E52" s="514">
        <f t="shared" si="4"/>
        <v>57664</v>
      </c>
    </row>
    <row r="53" spans="1:5" s="506" customFormat="1" x14ac:dyDescent="0.2">
      <c r="A53" s="512">
        <v>7</v>
      </c>
      <c r="B53" s="511" t="s">
        <v>728</v>
      </c>
      <c r="C53" s="513">
        <v>22505</v>
      </c>
      <c r="D53" s="515">
        <v>19808</v>
      </c>
      <c r="E53" s="514">
        <f t="shared" si="4"/>
        <v>-2697</v>
      </c>
    </row>
    <row r="54" spans="1:5" s="506" customFormat="1" x14ac:dyDescent="0.2">
      <c r="A54" s="512"/>
      <c r="B54" s="516" t="s">
        <v>759</v>
      </c>
      <c r="C54" s="517">
        <f>SUM(C48+C49+C52)</f>
        <v>81053315</v>
      </c>
      <c r="D54" s="517">
        <f>SUM(D48+D49+D52)</f>
        <v>82415301</v>
      </c>
      <c r="E54" s="517">
        <f t="shared" si="4"/>
        <v>1361986</v>
      </c>
    </row>
    <row r="55" spans="1:5" s="506" customFormat="1" x14ac:dyDescent="0.2">
      <c r="A55" s="512"/>
      <c r="B55" s="516" t="s">
        <v>688</v>
      </c>
      <c r="C55" s="517">
        <f>SUM(C47+C54)</f>
        <v>117432721</v>
      </c>
      <c r="D55" s="517">
        <f>SUM(D47+D54)</f>
        <v>122479467</v>
      </c>
      <c r="E55" s="517">
        <f t="shared" si="4"/>
        <v>5046746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760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621</v>
      </c>
      <c r="C58" s="513">
        <v>33286906</v>
      </c>
      <c r="D58" s="513">
        <v>31055051</v>
      </c>
      <c r="E58" s="514">
        <f t="shared" ref="E58:E66" si="5">D58-C58</f>
        <v>-2231855</v>
      </c>
    </row>
    <row r="59" spans="1:5" s="506" customFormat="1" x14ac:dyDescent="0.2">
      <c r="A59" s="512">
        <v>2</v>
      </c>
      <c r="B59" s="511" t="s">
        <v>600</v>
      </c>
      <c r="C59" s="513">
        <v>14793198</v>
      </c>
      <c r="D59" s="515">
        <v>15758451</v>
      </c>
      <c r="E59" s="514">
        <f t="shared" si="5"/>
        <v>965253</v>
      </c>
    </row>
    <row r="60" spans="1:5" s="506" customFormat="1" x14ac:dyDescent="0.2">
      <c r="A60" s="512">
        <v>3</v>
      </c>
      <c r="B60" s="511" t="s">
        <v>746</v>
      </c>
      <c r="C60" s="513">
        <f>C61+C62</f>
        <v>12543188</v>
      </c>
      <c r="D60" s="515">
        <f>D61+D62</f>
        <v>13516111</v>
      </c>
      <c r="E60" s="514">
        <f t="shared" si="5"/>
        <v>972923</v>
      </c>
    </row>
    <row r="61" spans="1:5" s="506" customFormat="1" x14ac:dyDescent="0.2">
      <c r="A61" s="512">
        <v>4</v>
      </c>
      <c r="B61" s="511" t="s">
        <v>114</v>
      </c>
      <c r="C61" s="513">
        <v>11266023</v>
      </c>
      <c r="D61" s="515">
        <v>12727374</v>
      </c>
      <c r="E61" s="514">
        <f t="shared" si="5"/>
        <v>1461351</v>
      </c>
    </row>
    <row r="62" spans="1:5" s="506" customFormat="1" x14ac:dyDescent="0.2">
      <c r="A62" s="512">
        <v>5</v>
      </c>
      <c r="B62" s="511" t="s">
        <v>713</v>
      </c>
      <c r="C62" s="513">
        <v>1277165</v>
      </c>
      <c r="D62" s="515">
        <v>788737</v>
      </c>
      <c r="E62" s="514">
        <f t="shared" si="5"/>
        <v>-488428</v>
      </c>
    </row>
    <row r="63" spans="1:5" s="506" customFormat="1" x14ac:dyDescent="0.2">
      <c r="A63" s="512">
        <v>6</v>
      </c>
      <c r="B63" s="511" t="s">
        <v>418</v>
      </c>
      <c r="C63" s="513">
        <v>219328</v>
      </c>
      <c r="D63" s="515">
        <v>176473</v>
      </c>
      <c r="E63" s="514">
        <f t="shared" si="5"/>
        <v>-42855</v>
      </c>
    </row>
    <row r="64" spans="1:5" s="506" customFormat="1" x14ac:dyDescent="0.2">
      <c r="A64" s="512">
        <v>7</v>
      </c>
      <c r="B64" s="511" t="s">
        <v>728</v>
      </c>
      <c r="C64" s="513">
        <v>309287</v>
      </c>
      <c r="D64" s="515">
        <v>229219</v>
      </c>
      <c r="E64" s="514">
        <f t="shared" si="5"/>
        <v>-80068</v>
      </c>
    </row>
    <row r="65" spans="1:5" s="506" customFormat="1" x14ac:dyDescent="0.2">
      <c r="A65" s="512"/>
      <c r="B65" s="516" t="s">
        <v>761</v>
      </c>
      <c r="C65" s="517">
        <f>SUM(C59+C60+C63)</f>
        <v>27555714</v>
      </c>
      <c r="D65" s="517">
        <f>SUM(D59+D60+D63)</f>
        <v>29451035</v>
      </c>
      <c r="E65" s="517">
        <f t="shared" si="5"/>
        <v>1895321</v>
      </c>
    </row>
    <row r="66" spans="1:5" s="506" customFormat="1" x14ac:dyDescent="0.2">
      <c r="A66" s="512"/>
      <c r="B66" s="516" t="s">
        <v>694</v>
      </c>
      <c r="C66" s="517">
        <f>SUM(C58+C65)</f>
        <v>60842620</v>
      </c>
      <c r="D66" s="517">
        <f>SUM(D58+D65)</f>
        <v>60506086</v>
      </c>
      <c r="E66" s="517">
        <f t="shared" si="5"/>
        <v>-336534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619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750</v>
      </c>
      <c r="C69" s="514">
        <f t="shared" ref="C69:D75" si="6">C47+C58</f>
        <v>69666312</v>
      </c>
      <c r="D69" s="514">
        <f t="shared" si="6"/>
        <v>71119217</v>
      </c>
      <c r="E69" s="514">
        <f t="shared" ref="E69:E77" si="7">D69-C69</f>
        <v>1452905</v>
      </c>
    </row>
    <row r="70" spans="1:5" s="506" customFormat="1" x14ac:dyDescent="0.2">
      <c r="A70" s="512">
        <v>2</v>
      </c>
      <c r="B70" s="511" t="s">
        <v>751</v>
      </c>
      <c r="C70" s="514">
        <f t="shared" si="6"/>
        <v>84533079</v>
      </c>
      <c r="D70" s="514">
        <f t="shared" si="6"/>
        <v>84432027</v>
      </c>
      <c r="E70" s="514">
        <f t="shared" si="7"/>
        <v>-101052</v>
      </c>
    </row>
    <row r="71" spans="1:5" s="506" customFormat="1" x14ac:dyDescent="0.2">
      <c r="A71" s="512">
        <v>3</v>
      </c>
      <c r="B71" s="511" t="s">
        <v>752</v>
      </c>
      <c r="C71" s="514">
        <f t="shared" si="6"/>
        <v>23757893</v>
      </c>
      <c r="D71" s="514">
        <f t="shared" si="6"/>
        <v>27101443</v>
      </c>
      <c r="E71" s="514">
        <f t="shared" si="7"/>
        <v>3343550</v>
      </c>
    </row>
    <row r="72" spans="1:5" s="506" customFormat="1" x14ac:dyDescent="0.2">
      <c r="A72" s="512">
        <v>4</v>
      </c>
      <c r="B72" s="511" t="s">
        <v>753</v>
      </c>
      <c r="C72" s="514">
        <f t="shared" si="6"/>
        <v>20968946</v>
      </c>
      <c r="D72" s="514">
        <f t="shared" si="6"/>
        <v>25333357</v>
      </c>
      <c r="E72" s="514">
        <f t="shared" si="7"/>
        <v>4364411</v>
      </c>
    </row>
    <row r="73" spans="1:5" s="506" customFormat="1" x14ac:dyDescent="0.2">
      <c r="A73" s="512">
        <v>5</v>
      </c>
      <c r="B73" s="511" t="s">
        <v>754</v>
      </c>
      <c r="C73" s="514">
        <f t="shared" si="6"/>
        <v>2788947</v>
      </c>
      <c r="D73" s="514">
        <f t="shared" si="6"/>
        <v>1768086</v>
      </c>
      <c r="E73" s="514">
        <f t="shared" si="7"/>
        <v>-1020861</v>
      </c>
    </row>
    <row r="74" spans="1:5" s="506" customFormat="1" x14ac:dyDescent="0.2">
      <c r="A74" s="512">
        <v>6</v>
      </c>
      <c r="B74" s="511" t="s">
        <v>755</v>
      </c>
      <c r="C74" s="514">
        <f t="shared" si="6"/>
        <v>318057</v>
      </c>
      <c r="D74" s="514">
        <f t="shared" si="6"/>
        <v>332866</v>
      </c>
      <c r="E74" s="514">
        <f t="shared" si="7"/>
        <v>14809</v>
      </c>
    </row>
    <row r="75" spans="1:5" s="506" customFormat="1" x14ac:dyDescent="0.2">
      <c r="A75" s="512">
        <v>7</v>
      </c>
      <c r="B75" s="511" t="s">
        <v>756</v>
      </c>
      <c r="C75" s="514">
        <f t="shared" si="6"/>
        <v>331792</v>
      </c>
      <c r="D75" s="514">
        <f t="shared" si="6"/>
        <v>249027</v>
      </c>
      <c r="E75" s="514">
        <f t="shared" si="7"/>
        <v>-82765</v>
      </c>
    </row>
    <row r="76" spans="1:5" s="506" customFormat="1" x14ac:dyDescent="0.2">
      <c r="A76" s="512"/>
      <c r="B76" s="516" t="s">
        <v>762</v>
      </c>
      <c r="C76" s="517">
        <f>SUM(C70+C71+C74)</f>
        <v>108609029</v>
      </c>
      <c r="D76" s="517">
        <f>SUM(D70+D71+D74)</f>
        <v>111866336</v>
      </c>
      <c r="E76" s="517">
        <f t="shared" si="7"/>
        <v>3257307</v>
      </c>
    </row>
    <row r="77" spans="1:5" s="506" customFormat="1" x14ac:dyDescent="0.2">
      <c r="A77" s="512"/>
      <c r="B77" s="516" t="s">
        <v>696</v>
      </c>
      <c r="C77" s="517">
        <f>SUM(C69+C76)</f>
        <v>178275341</v>
      </c>
      <c r="D77" s="517">
        <f>SUM(D69+D76)</f>
        <v>182985553</v>
      </c>
      <c r="E77" s="517">
        <f t="shared" si="7"/>
        <v>4710212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763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764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621</v>
      </c>
      <c r="C83" s="523">
        <f t="shared" ref="C83:D89" si="8">IF(C$44=0,0,C14/C$44)</f>
        <v>0.16219450168805888</v>
      </c>
      <c r="D83" s="523">
        <f t="shared" si="8"/>
        <v>0.16106803510706169</v>
      </c>
      <c r="E83" s="523">
        <f t="shared" ref="E83:E91" si="9">D83-C83</f>
        <v>-1.1264665809971874E-3</v>
      </c>
    </row>
    <row r="84" spans="1:5" s="506" customFormat="1" x14ac:dyDescent="0.2">
      <c r="A84" s="512">
        <v>2</v>
      </c>
      <c r="B84" s="511" t="s">
        <v>600</v>
      </c>
      <c r="C84" s="523">
        <f t="shared" si="8"/>
        <v>0.26762278019640878</v>
      </c>
      <c r="D84" s="523">
        <f t="shared" si="8"/>
        <v>0.25200882476760217</v>
      </c>
      <c r="E84" s="523">
        <f t="shared" si="9"/>
        <v>-1.5613955428806614E-2</v>
      </c>
    </row>
    <row r="85" spans="1:5" s="506" customFormat="1" x14ac:dyDescent="0.2">
      <c r="A85" s="512">
        <v>3</v>
      </c>
      <c r="B85" s="511" t="s">
        <v>746</v>
      </c>
      <c r="C85" s="523">
        <f t="shared" si="8"/>
        <v>7.9991702275215917E-2</v>
      </c>
      <c r="D85" s="523">
        <f t="shared" si="8"/>
        <v>8.0796475561341022E-2</v>
      </c>
      <c r="E85" s="523">
        <f t="shared" si="9"/>
        <v>8.0477328612510446E-4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5.9500261480512906E-2</v>
      </c>
      <c r="D86" s="523">
        <f t="shared" si="8"/>
        <v>7.1012789024325534E-2</v>
      </c>
      <c r="E86" s="523">
        <f t="shared" si="9"/>
        <v>1.1512527543812628E-2</v>
      </c>
    </row>
    <row r="87" spans="1:5" s="506" customFormat="1" x14ac:dyDescent="0.2">
      <c r="A87" s="512">
        <v>5</v>
      </c>
      <c r="B87" s="511" t="s">
        <v>713</v>
      </c>
      <c r="C87" s="523">
        <f t="shared" si="8"/>
        <v>2.0491440794703015E-2</v>
      </c>
      <c r="D87" s="523">
        <f t="shared" si="8"/>
        <v>9.7836865370154839E-3</v>
      </c>
      <c r="E87" s="523">
        <f t="shared" si="9"/>
        <v>-1.0707754257687531E-2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4.6850210332029051E-4</v>
      </c>
      <c r="D88" s="523">
        <f t="shared" si="8"/>
        <v>8.4826860538877687E-4</v>
      </c>
      <c r="E88" s="523">
        <f t="shared" si="9"/>
        <v>3.7976650206848636E-4</v>
      </c>
    </row>
    <row r="89" spans="1:5" s="506" customFormat="1" x14ac:dyDescent="0.2">
      <c r="A89" s="512">
        <v>7</v>
      </c>
      <c r="B89" s="511" t="s">
        <v>728</v>
      </c>
      <c r="C89" s="523">
        <f t="shared" si="8"/>
        <v>5.7587595971822962E-3</v>
      </c>
      <c r="D89" s="523">
        <f t="shared" si="8"/>
        <v>5.6730366732549884E-3</v>
      </c>
      <c r="E89" s="523">
        <f t="shared" si="9"/>
        <v>-8.5722923927307806E-5</v>
      </c>
    </row>
    <row r="90" spans="1:5" s="506" customFormat="1" x14ac:dyDescent="0.2">
      <c r="A90" s="512"/>
      <c r="B90" s="516" t="s">
        <v>765</v>
      </c>
      <c r="C90" s="524">
        <f>SUM(C84+C85+C88)</f>
        <v>0.34808298457494496</v>
      </c>
      <c r="D90" s="524">
        <f>SUM(D84+D85+D88)</f>
        <v>0.33365356893433196</v>
      </c>
      <c r="E90" s="525">
        <f t="shared" si="9"/>
        <v>-1.4429415640613008E-2</v>
      </c>
    </row>
    <row r="91" spans="1:5" s="506" customFormat="1" x14ac:dyDescent="0.2">
      <c r="A91" s="512"/>
      <c r="B91" s="516" t="s">
        <v>766</v>
      </c>
      <c r="C91" s="524">
        <f>SUM(C83+C90)</f>
        <v>0.51027748626300384</v>
      </c>
      <c r="D91" s="524">
        <f>SUM(D83+D90)</f>
        <v>0.49472160404139365</v>
      </c>
      <c r="E91" s="525">
        <f t="shared" si="9"/>
        <v>-1.5555882221610196E-2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767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621</v>
      </c>
      <c r="C95" s="523">
        <f t="shared" ref="C95:D101" si="10">IF(C$44=0,0,C25/C$44)</f>
        <v>0.22210650449107347</v>
      </c>
      <c r="D95" s="523">
        <f t="shared" si="10"/>
        <v>0.22629042846522623</v>
      </c>
      <c r="E95" s="523">
        <f t="shared" ref="E95:E103" si="11">D95-C95</f>
        <v>4.1839239741527645E-3</v>
      </c>
    </row>
    <row r="96" spans="1:5" s="506" customFormat="1" x14ac:dyDescent="0.2">
      <c r="A96" s="512">
        <v>2</v>
      </c>
      <c r="B96" s="511" t="s">
        <v>600</v>
      </c>
      <c r="C96" s="523">
        <f t="shared" si="10"/>
        <v>0.12789897759530444</v>
      </c>
      <c r="D96" s="523">
        <f t="shared" si="10"/>
        <v>0.13378593396214541</v>
      </c>
      <c r="E96" s="523">
        <f t="shared" si="11"/>
        <v>5.886956366840973E-3</v>
      </c>
    </row>
    <row r="97" spans="1:5" s="506" customFormat="1" x14ac:dyDescent="0.2">
      <c r="A97" s="512">
        <v>3</v>
      </c>
      <c r="B97" s="511" t="s">
        <v>746</v>
      </c>
      <c r="C97" s="523">
        <f t="shared" si="10"/>
        <v>0.13826367626064151</v>
      </c>
      <c r="D97" s="523">
        <f t="shared" si="10"/>
        <v>0.14381193068794343</v>
      </c>
      <c r="E97" s="523">
        <f t="shared" si="11"/>
        <v>5.5482544273019185E-3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0.11041386088601109</v>
      </c>
      <c r="D98" s="523">
        <f t="shared" si="10"/>
        <v>0.1290649391680142</v>
      </c>
      <c r="E98" s="523">
        <f t="shared" si="11"/>
        <v>1.8651078282003117E-2</v>
      </c>
    </row>
    <row r="99" spans="1:5" s="506" customFormat="1" x14ac:dyDescent="0.2">
      <c r="A99" s="512">
        <v>5</v>
      </c>
      <c r="B99" s="511" t="s">
        <v>713</v>
      </c>
      <c r="C99" s="523">
        <f t="shared" si="10"/>
        <v>2.7849815374630424E-2</v>
      </c>
      <c r="D99" s="523">
        <f t="shared" si="10"/>
        <v>1.4746991519929224E-2</v>
      </c>
      <c r="E99" s="523">
        <f t="shared" si="11"/>
        <v>-1.31028238547012E-2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1.4533553899767333E-3</v>
      </c>
      <c r="D100" s="523">
        <f t="shared" si="10"/>
        <v>1.3901028432912385E-3</v>
      </c>
      <c r="E100" s="523">
        <f t="shared" si="11"/>
        <v>-6.3252546685494803E-5</v>
      </c>
    </row>
    <row r="101" spans="1:5" s="506" customFormat="1" x14ac:dyDescent="0.2">
      <c r="A101" s="512">
        <v>7</v>
      </c>
      <c r="B101" s="511" t="s">
        <v>728</v>
      </c>
      <c r="C101" s="523">
        <f t="shared" si="10"/>
        <v>1.720108990233235E-2</v>
      </c>
      <c r="D101" s="523">
        <f t="shared" si="10"/>
        <v>1.643415697523274E-2</v>
      </c>
      <c r="E101" s="523">
        <f t="shared" si="11"/>
        <v>-7.6693292709961031E-4</v>
      </c>
    </row>
    <row r="102" spans="1:5" s="506" customFormat="1" x14ac:dyDescent="0.2">
      <c r="A102" s="512"/>
      <c r="B102" s="516" t="s">
        <v>768</v>
      </c>
      <c r="C102" s="524">
        <f>SUM(C96+C97+C100)</f>
        <v>0.26761600924592266</v>
      </c>
      <c r="D102" s="524">
        <f>SUM(D96+D97+D100)</f>
        <v>0.27898796749338006</v>
      </c>
      <c r="E102" s="525">
        <f t="shared" si="11"/>
        <v>1.1371958247457403E-2</v>
      </c>
    </row>
    <row r="103" spans="1:5" s="506" customFormat="1" x14ac:dyDescent="0.2">
      <c r="A103" s="512"/>
      <c r="B103" s="516" t="s">
        <v>769</v>
      </c>
      <c r="C103" s="524">
        <f>SUM(C95+C102)</f>
        <v>0.48972251373699616</v>
      </c>
      <c r="D103" s="524">
        <f>SUM(D95+D102)</f>
        <v>0.50527839595860624</v>
      </c>
      <c r="E103" s="525">
        <f t="shared" si="11"/>
        <v>1.5555882221610084E-2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770</v>
      </c>
      <c r="C105" s="525">
        <f>C91+C103</f>
        <v>1</v>
      </c>
      <c r="D105" s="525">
        <f>D91+D103</f>
        <v>0.99999999999999989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771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621</v>
      </c>
      <c r="C109" s="523">
        <f t="shared" ref="C109:D115" si="12">IF(C$77=0,0,C47/C$77)</f>
        <v>0.20406302854863143</v>
      </c>
      <c r="D109" s="523">
        <f t="shared" si="12"/>
        <v>0.21894715371327703</v>
      </c>
      <c r="E109" s="523">
        <f t="shared" ref="E109:E117" si="13">D109-C109</f>
        <v>1.4884125164645601E-2</v>
      </c>
    </row>
    <row r="110" spans="1:5" s="506" customFormat="1" x14ac:dyDescent="0.2">
      <c r="A110" s="512">
        <v>2</v>
      </c>
      <c r="B110" s="511" t="s">
        <v>600</v>
      </c>
      <c r="C110" s="523">
        <f t="shared" si="12"/>
        <v>0.39119196524212513</v>
      </c>
      <c r="D110" s="523">
        <f t="shared" si="12"/>
        <v>0.37529507042558707</v>
      </c>
      <c r="E110" s="523">
        <f t="shared" si="13"/>
        <v>-1.5896894816538054E-2</v>
      </c>
    </row>
    <row r="111" spans="1:5" s="506" customFormat="1" x14ac:dyDescent="0.2">
      <c r="A111" s="512">
        <v>3</v>
      </c>
      <c r="B111" s="511" t="s">
        <v>746</v>
      </c>
      <c r="C111" s="523">
        <f t="shared" si="12"/>
        <v>6.29066529172983E-2</v>
      </c>
      <c r="D111" s="523">
        <f t="shared" si="12"/>
        <v>7.4242647997462399E-2</v>
      </c>
      <c r="E111" s="523">
        <f t="shared" si="13"/>
        <v>1.1335995080164099E-2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5.4426613044593758E-2</v>
      </c>
      <c r="D112" s="523">
        <f t="shared" si="12"/>
        <v>6.8890591597687498E-2</v>
      </c>
      <c r="E112" s="523">
        <f t="shared" si="13"/>
        <v>1.446397855309374E-2</v>
      </c>
    </row>
    <row r="113" spans="1:5" s="506" customFormat="1" x14ac:dyDescent="0.2">
      <c r="A113" s="512">
        <v>5</v>
      </c>
      <c r="B113" s="511" t="s">
        <v>713</v>
      </c>
      <c r="C113" s="523">
        <f t="shared" si="12"/>
        <v>8.4800398727045492E-3</v>
      </c>
      <c r="D113" s="523">
        <f t="shared" si="12"/>
        <v>5.352056399774905E-3</v>
      </c>
      <c r="E113" s="523">
        <f t="shared" si="13"/>
        <v>-3.1279834729296442E-3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5.5380065154383854E-4</v>
      </c>
      <c r="D114" s="523">
        <f t="shared" si="12"/>
        <v>8.5467402992191416E-4</v>
      </c>
      <c r="E114" s="523">
        <f t="shared" si="13"/>
        <v>3.0087337837807562E-4</v>
      </c>
    </row>
    <row r="115" spans="1:5" s="506" customFormat="1" x14ac:dyDescent="0.2">
      <c r="A115" s="512">
        <v>7</v>
      </c>
      <c r="B115" s="511" t="s">
        <v>728</v>
      </c>
      <c r="C115" s="523">
        <f t="shared" si="12"/>
        <v>1.2623731287660249E-4</v>
      </c>
      <c r="D115" s="523">
        <f t="shared" si="12"/>
        <v>1.082489829128751E-4</v>
      </c>
      <c r="E115" s="523">
        <f t="shared" si="13"/>
        <v>-1.7988329963727394E-5</v>
      </c>
    </row>
    <row r="116" spans="1:5" s="506" customFormat="1" x14ac:dyDescent="0.2">
      <c r="A116" s="512"/>
      <c r="B116" s="516" t="s">
        <v>765</v>
      </c>
      <c r="C116" s="524">
        <f>SUM(C110+C111+C114)</f>
        <v>0.45465241881096724</v>
      </c>
      <c r="D116" s="524">
        <f>SUM(D110+D111+D114)</f>
        <v>0.45039239245297136</v>
      </c>
      <c r="E116" s="525">
        <f t="shared" si="13"/>
        <v>-4.260026357995883E-3</v>
      </c>
    </row>
    <row r="117" spans="1:5" s="506" customFormat="1" x14ac:dyDescent="0.2">
      <c r="A117" s="512"/>
      <c r="B117" s="516" t="s">
        <v>766</v>
      </c>
      <c r="C117" s="524">
        <f>SUM(C109+C116)</f>
        <v>0.65871544735959864</v>
      </c>
      <c r="D117" s="524">
        <f>SUM(D109+D116)</f>
        <v>0.66933954616624836</v>
      </c>
      <c r="E117" s="525">
        <f t="shared" si="13"/>
        <v>1.0624098806649718E-2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772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621</v>
      </c>
      <c r="C121" s="523">
        <f t="shared" ref="C121:D127" si="14">IF(C$77=0,0,C58/C$77)</f>
        <v>0.18671626604825847</v>
      </c>
      <c r="D121" s="523">
        <f t="shared" si="14"/>
        <v>0.16971313030378962</v>
      </c>
      <c r="E121" s="523">
        <f t="shared" ref="E121:E129" si="15">D121-C121</f>
        <v>-1.700313574446885E-2</v>
      </c>
    </row>
    <row r="122" spans="1:5" s="506" customFormat="1" x14ac:dyDescent="0.2">
      <c r="A122" s="512">
        <v>2</v>
      </c>
      <c r="B122" s="511" t="s">
        <v>600</v>
      </c>
      <c r="C122" s="523">
        <f t="shared" si="14"/>
        <v>8.2979496306222186E-2</v>
      </c>
      <c r="D122" s="523">
        <f t="shared" si="14"/>
        <v>8.6118552758096698E-2</v>
      </c>
      <c r="E122" s="523">
        <f t="shared" si="15"/>
        <v>3.1390564518745112E-3</v>
      </c>
    </row>
    <row r="123" spans="1:5" s="506" customFormat="1" x14ac:dyDescent="0.2">
      <c r="A123" s="512">
        <v>3</v>
      </c>
      <c r="B123" s="511" t="s">
        <v>746</v>
      </c>
      <c r="C123" s="523">
        <f t="shared" si="14"/>
        <v>7.0358513575918505E-2</v>
      </c>
      <c r="D123" s="523">
        <f t="shared" si="14"/>
        <v>7.3864361302883846E-2</v>
      </c>
      <c r="E123" s="523">
        <f t="shared" si="15"/>
        <v>3.5058477269653415E-3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6.3194511012041765E-2</v>
      </c>
      <c r="D124" s="523">
        <f t="shared" si="14"/>
        <v>6.9553982767153202E-2</v>
      </c>
      <c r="E124" s="523">
        <f t="shared" si="15"/>
        <v>6.3594717551114371E-3</v>
      </c>
    </row>
    <row r="125" spans="1:5" s="506" customFormat="1" x14ac:dyDescent="0.2">
      <c r="A125" s="512">
        <v>5</v>
      </c>
      <c r="B125" s="511" t="s">
        <v>713</v>
      </c>
      <c r="C125" s="523">
        <f t="shared" si="14"/>
        <v>7.1640025638767396E-3</v>
      </c>
      <c r="D125" s="523">
        <f t="shared" si="14"/>
        <v>4.3103785357306319E-3</v>
      </c>
      <c r="E125" s="523">
        <f t="shared" si="15"/>
        <v>-2.8536240281461078E-3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1.2302767100021983E-3</v>
      </c>
      <c r="D126" s="523">
        <f t="shared" si="14"/>
        <v>9.6440946898141192E-4</v>
      </c>
      <c r="E126" s="523">
        <f t="shared" si="15"/>
        <v>-2.6586724102078637E-4</v>
      </c>
    </row>
    <row r="127" spans="1:5" s="506" customFormat="1" x14ac:dyDescent="0.2">
      <c r="A127" s="512">
        <v>7</v>
      </c>
      <c r="B127" s="511" t="s">
        <v>728</v>
      </c>
      <c r="C127" s="523">
        <f t="shared" si="14"/>
        <v>1.7348837941642192E-3</v>
      </c>
      <c r="D127" s="523">
        <f t="shared" si="14"/>
        <v>1.2526617333555288E-3</v>
      </c>
      <c r="E127" s="523">
        <f t="shared" si="15"/>
        <v>-4.8222206080869036E-4</v>
      </c>
    </row>
    <row r="128" spans="1:5" s="506" customFormat="1" x14ac:dyDescent="0.2">
      <c r="A128" s="512"/>
      <c r="B128" s="516" t="s">
        <v>768</v>
      </c>
      <c r="C128" s="524">
        <f>SUM(C122+C123+C126)</f>
        <v>0.15456828659214289</v>
      </c>
      <c r="D128" s="524">
        <f>SUM(D122+D123+D126)</f>
        <v>0.16094732352996194</v>
      </c>
      <c r="E128" s="525">
        <f t="shared" si="15"/>
        <v>6.3790369378190492E-3</v>
      </c>
    </row>
    <row r="129" spans="1:5" s="506" customFormat="1" x14ac:dyDescent="0.2">
      <c r="A129" s="512"/>
      <c r="B129" s="516" t="s">
        <v>769</v>
      </c>
      <c r="C129" s="524">
        <f>SUM(C121+C128)</f>
        <v>0.34128455264040136</v>
      </c>
      <c r="D129" s="524">
        <f>SUM(D121+D128)</f>
        <v>0.33066045383375153</v>
      </c>
      <c r="E129" s="525">
        <f t="shared" si="15"/>
        <v>-1.0624098806649829E-2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773</v>
      </c>
      <c r="C131" s="525">
        <f>C117+C129</f>
        <v>1</v>
      </c>
      <c r="D131" s="525">
        <f>D117+D129</f>
        <v>0.99999999999999989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774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775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621</v>
      </c>
      <c r="C137" s="530">
        <v>3956</v>
      </c>
      <c r="D137" s="530">
        <v>4007</v>
      </c>
      <c r="E137" s="531">
        <f t="shared" ref="E137:E145" si="16">D137-C137</f>
        <v>51</v>
      </c>
    </row>
    <row r="138" spans="1:5" s="506" customFormat="1" x14ac:dyDescent="0.2">
      <c r="A138" s="512">
        <v>2</v>
      </c>
      <c r="B138" s="511" t="s">
        <v>600</v>
      </c>
      <c r="C138" s="530">
        <v>5300</v>
      </c>
      <c r="D138" s="530">
        <v>5130</v>
      </c>
      <c r="E138" s="531">
        <f t="shared" si="16"/>
        <v>-170</v>
      </c>
    </row>
    <row r="139" spans="1:5" s="506" customFormat="1" x14ac:dyDescent="0.2">
      <c r="A139" s="512">
        <v>3</v>
      </c>
      <c r="B139" s="511" t="s">
        <v>746</v>
      </c>
      <c r="C139" s="530">
        <f>C140+C141</f>
        <v>3176</v>
      </c>
      <c r="D139" s="530">
        <f>D140+D141</f>
        <v>3023</v>
      </c>
      <c r="E139" s="531">
        <f t="shared" si="16"/>
        <v>-153</v>
      </c>
    </row>
    <row r="140" spans="1:5" s="506" customFormat="1" x14ac:dyDescent="0.2">
      <c r="A140" s="512">
        <v>4</v>
      </c>
      <c r="B140" s="511" t="s">
        <v>114</v>
      </c>
      <c r="C140" s="530">
        <v>2603</v>
      </c>
      <c r="D140" s="530">
        <v>2687</v>
      </c>
      <c r="E140" s="531">
        <f t="shared" si="16"/>
        <v>84</v>
      </c>
    </row>
    <row r="141" spans="1:5" s="506" customFormat="1" x14ac:dyDescent="0.2">
      <c r="A141" s="512">
        <v>5</v>
      </c>
      <c r="B141" s="511" t="s">
        <v>713</v>
      </c>
      <c r="C141" s="530">
        <v>573</v>
      </c>
      <c r="D141" s="530">
        <v>336</v>
      </c>
      <c r="E141" s="531">
        <f t="shared" si="16"/>
        <v>-237</v>
      </c>
    </row>
    <row r="142" spans="1:5" s="506" customFormat="1" x14ac:dyDescent="0.2">
      <c r="A142" s="512">
        <v>6</v>
      </c>
      <c r="B142" s="511" t="s">
        <v>418</v>
      </c>
      <c r="C142" s="530">
        <v>30</v>
      </c>
      <c r="D142" s="530">
        <v>48</v>
      </c>
      <c r="E142" s="531">
        <f t="shared" si="16"/>
        <v>18</v>
      </c>
    </row>
    <row r="143" spans="1:5" s="506" customFormat="1" x14ac:dyDescent="0.2">
      <c r="A143" s="512">
        <v>7</v>
      </c>
      <c r="B143" s="511" t="s">
        <v>728</v>
      </c>
      <c r="C143" s="530">
        <v>196</v>
      </c>
      <c r="D143" s="530">
        <v>184</v>
      </c>
      <c r="E143" s="531">
        <f t="shared" si="16"/>
        <v>-12</v>
      </c>
    </row>
    <row r="144" spans="1:5" s="506" customFormat="1" x14ac:dyDescent="0.2">
      <c r="A144" s="512"/>
      <c r="B144" s="516" t="s">
        <v>776</v>
      </c>
      <c r="C144" s="532">
        <f>SUM(C138+C139+C142)</f>
        <v>8506</v>
      </c>
      <c r="D144" s="532">
        <f>SUM(D138+D139+D142)</f>
        <v>8201</v>
      </c>
      <c r="E144" s="533">
        <f t="shared" si="16"/>
        <v>-305</v>
      </c>
    </row>
    <row r="145" spans="1:5" s="506" customFormat="1" x14ac:dyDescent="0.2">
      <c r="A145" s="512"/>
      <c r="B145" s="516" t="s">
        <v>690</v>
      </c>
      <c r="C145" s="532">
        <f>SUM(C137+C144)</f>
        <v>12462</v>
      </c>
      <c r="D145" s="532">
        <f>SUM(D137+D144)</f>
        <v>12208</v>
      </c>
      <c r="E145" s="533">
        <f t="shared" si="16"/>
        <v>-254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621</v>
      </c>
      <c r="C149" s="534">
        <v>13059</v>
      </c>
      <c r="D149" s="534">
        <v>14454</v>
      </c>
      <c r="E149" s="531">
        <f t="shared" ref="E149:E157" si="17">D149-C149</f>
        <v>1395</v>
      </c>
    </row>
    <row r="150" spans="1:5" s="506" customFormat="1" x14ac:dyDescent="0.2">
      <c r="A150" s="512">
        <v>2</v>
      </c>
      <c r="B150" s="511" t="s">
        <v>600</v>
      </c>
      <c r="C150" s="534">
        <v>27889</v>
      </c>
      <c r="D150" s="534">
        <v>25670</v>
      </c>
      <c r="E150" s="531">
        <f t="shared" si="17"/>
        <v>-2219</v>
      </c>
    </row>
    <row r="151" spans="1:5" s="506" customFormat="1" x14ac:dyDescent="0.2">
      <c r="A151" s="512">
        <v>3</v>
      </c>
      <c r="B151" s="511" t="s">
        <v>746</v>
      </c>
      <c r="C151" s="534">
        <f>C152+C153</f>
        <v>12074</v>
      </c>
      <c r="D151" s="534">
        <f>D152+D153</f>
        <v>12308</v>
      </c>
      <c r="E151" s="531">
        <f t="shared" si="17"/>
        <v>234</v>
      </c>
    </row>
    <row r="152" spans="1:5" s="506" customFormat="1" x14ac:dyDescent="0.2">
      <c r="A152" s="512">
        <v>4</v>
      </c>
      <c r="B152" s="511" t="s">
        <v>114</v>
      </c>
      <c r="C152" s="534">
        <v>9362</v>
      </c>
      <c r="D152" s="534">
        <v>10695</v>
      </c>
      <c r="E152" s="531">
        <f t="shared" si="17"/>
        <v>1333</v>
      </c>
    </row>
    <row r="153" spans="1:5" s="506" customFormat="1" x14ac:dyDescent="0.2">
      <c r="A153" s="512">
        <v>5</v>
      </c>
      <c r="B153" s="511" t="s">
        <v>713</v>
      </c>
      <c r="C153" s="535">
        <v>2712</v>
      </c>
      <c r="D153" s="534">
        <v>1613</v>
      </c>
      <c r="E153" s="531">
        <f t="shared" si="17"/>
        <v>-1099</v>
      </c>
    </row>
    <row r="154" spans="1:5" s="506" customFormat="1" x14ac:dyDescent="0.2">
      <c r="A154" s="512">
        <v>6</v>
      </c>
      <c r="B154" s="511" t="s">
        <v>418</v>
      </c>
      <c r="C154" s="534">
        <v>74</v>
      </c>
      <c r="D154" s="534">
        <v>175</v>
      </c>
      <c r="E154" s="531">
        <f t="shared" si="17"/>
        <v>101</v>
      </c>
    </row>
    <row r="155" spans="1:5" s="506" customFormat="1" x14ac:dyDescent="0.2">
      <c r="A155" s="512">
        <v>7</v>
      </c>
      <c r="B155" s="511" t="s">
        <v>728</v>
      </c>
      <c r="C155" s="534">
        <v>566</v>
      </c>
      <c r="D155" s="534">
        <v>647</v>
      </c>
      <c r="E155" s="531">
        <f t="shared" si="17"/>
        <v>81</v>
      </c>
    </row>
    <row r="156" spans="1:5" s="506" customFormat="1" x14ac:dyDescent="0.2">
      <c r="A156" s="512"/>
      <c r="B156" s="516" t="s">
        <v>777</v>
      </c>
      <c r="C156" s="532">
        <f>SUM(C150+C151+C154)</f>
        <v>40037</v>
      </c>
      <c r="D156" s="532">
        <f>SUM(D150+D151+D154)</f>
        <v>38153</v>
      </c>
      <c r="E156" s="533">
        <f t="shared" si="17"/>
        <v>-1884</v>
      </c>
    </row>
    <row r="157" spans="1:5" s="506" customFormat="1" x14ac:dyDescent="0.2">
      <c r="A157" s="512"/>
      <c r="B157" s="516" t="s">
        <v>778</v>
      </c>
      <c r="C157" s="532">
        <f>SUM(C149+C156)</f>
        <v>53096</v>
      </c>
      <c r="D157" s="532">
        <f>SUM(D149+D156)</f>
        <v>52607</v>
      </c>
      <c r="E157" s="533">
        <f t="shared" si="17"/>
        <v>-489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779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621</v>
      </c>
      <c r="C161" s="536">
        <f t="shared" ref="C161:D169" si="18">IF(C137=0,0,C149/C137)</f>
        <v>3.301061678463094</v>
      </c>
      <c r="D161" s="536">
        <f t="shared" si="18"/>
        <v>3.6071874220114801</v>
      </c>
      <c r="E161" s="537">
        <f t="shared" ref="E161:E169" si="19">D161-C161</f>
        <v>0.30612574354838618</v>
      </c>
    </row>
    <row r="162" spans="1:5" s="506" customFormat="1" x14ac:dyDescent="0.2">
      <c r="A162" s="512">
        <v>2</v>
      </c>
      <c r="B162" s="511" t="s">
        <v>600</v>
      </c>
      <c r="C162" s="536">
        <f t="shared" si="18"/>
        <v>5.2620754716981128</v>
      </c>
      <c r="D162" s="536">
        <f t="shared" si="18"/>
        <v>5.003898635477583</v>
      </c>
      <c r="E162" s="537">
        <f t="shared" si="19"/>
        <v>-0.25817683622052989</v>
      </c>
    </row>
    <row r="163" spans="1:5" s="506" customFormat="1" x14ac:dyDescent="0.2">
      <c r="A163" s="512">
        <v>3</v>
      </c>
      <c r="B163" s="511" t="s">
        <v>746</v>
      </c>
      <c r="C163" s="536">
        <f t="shared" si="18"/>
        <v>3.8016372795969775</v>
      </c>
      <c r="D163" s="536">
        <f t="shared" si="18"/>
        <v>4.0714521998015218</v>
      </c>
      <c r="E163" s="537">
        <f t="shared" si="19"/>
        <v>0.26981492020454434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3.5966192854398771</v>
      </c>
      <c r="D164" s="536">
        <f t="shared" si="18"/>
        <v>3.9802754000744325</v>
      </c>
      <c r="E164" s="537">
        <f t="shared" si="19"/>
        <v>0.3836561146345554</v>
      </c>
    </row>
    <row r="165" spans="1:5" s="506" customFormat="1" x14ac:dyDescent="0.2">
      <c r="A165" s="512">
        <v>5</v>
      </c>
      <c r="B165" s="511" t="s">
        <v>713</v>
      </c>
      <c r="C165" s="536">
        <f t="shared" si="18"/>
        <v>4.7329842931937174</v>
      </c>
      <c r="D165" s="536">
        <f t="shared" si="18"/>
        <v>4.8005952380952381</v>
      </c>
      <c r="E165" s="537">
        <f t="shared" si="19"/>
        <v>6.7610944901520753E-2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2.4666666666666668</v>
      </c>
      <c r="D166" s="536">
        <f t="shared" si="18"/>
        <v>3.6458333333333335</v>
      </c>
      <c r="E166" s="537">
        <f t="shared" si="19"/>
        <v>1.1791666666666667</v>
      </c>
    </row>
    <row r="167" spans="1:5" s="506" customFormat="1" x14ac:dyDescent="0.2">
      <c r="A167" s="512">
        <v>7</v>
      </c>
      <c r="B167" s="511" t="s">
        <v>728</v>
      </c>
      <c r="C167" s="536">
        <f t="shared" si="18"/>
        <v>2.8877551020408165</v>
      </c>
      <c r="D167" s="536">
        <f t="shared" si="18"/>
        <v>3.5163043478260869</v>
      </c>
      <c r="E167" s="537">
        <f t="shared" si="19"/>
        <v>0.62854924578527038</v>
      </c>
    </row>
    <row r="168" spans="1:5" s="506" customFormat="1" x14ac:dyDescent="0.2">
      <c r="A168" s="512"/>
      <c r="B168" s="516" t="s">
        <v>780</v>
      </c>
      <c r="C168" s="538">
        <f t="shared" si="18"/>
        <v>4.7069127674582649</v>
      </c>
      <c r="D168" s="538">
        <f t="shared" si="18"/>
        <v>4.652237532008292</v>
      </c>
      <c r="E168" s="539">
        <f t="shared" si="19"/>
        <v>-5.4675235449972881E-2</v>
      </c>
    </row>
    <row r="169" spans="1:5" s="506" customFormat="1" x14ac:dyDescent="0.2">
      <c r="A169" s="512"/>
      <c r="B169" s="516" t="s">
        <v>714</v>
      </c>
      <c r="C169" s="538">
        <f t="shared" si="18"/>
        <v>4.2606323222596698</v>
      </c>
      <c r="D169" s="538">
        <f t="shared" si="18"/>
        <v>4.309223460026212</v>
      </c>
      <c r="E169" s="539">
        <f t="shared" si="19"/>
        <v>4.8591137766542225E-2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781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621</v>
      </c>
      <c r="C173" s="541">
        <f t="shared" ref="C173:D181" si="20">IF(C137=0,0,C203/C137)</f>
        <v>1.1393500000000001</v>
      </c>
      <c r="D173" s="541">
        <f t="shared" si="20"/>
        <v>1.1935500000000001</v>
      </c>
      <c r="E173" s="542">
        <f t="shared" ref="E173:E181" si="21">D173-C173</f>
        <v>5.4200000000000026E-2</v>
      </c>
    </row>
    <row r="174" spans="1:5" s="506" customFormat="1" x14ac:dyDescent="0.2">
      <c r="A174" s="512">
        <v>2</v>
      </c>
      <c r="B174" s="511" t="s">
        <v>600</v>
      </c>
      <c r="C174" s="541">
        <f t="shared" si="20"/>
        <v>1.5644400000000003</v>
      </c>
      <c r="D174" s="541">
        <f t="shared" si="20"/>
        <v>1.5350600000000001</v>
      </c>
      <c r="E174" s="542">
        <f t="shared" si="21"/>
        <v>-2.9380000000000184E-2</v>
      </c>
    </row>
    <row r="175" spans="1:5" s="506" customFormat="1" x14ac:dyDescent="0.2">
      <c r="A175" s="512">
        <v>0</v>
      </c>
      <c r="B175" s="511" t="s">
        <v>746</v>
      </c>
      <c r="C175" s="541">
        <f t="shared" si="20"/>
        <v>0.91107465365239293</v>
      </c>
      <c r="D175" s="541">
        <f t="shared" si="20"/>
        <v>0.98811472047634796</v>
      </c>
      <c r="E175" s="542">
        <f t="shared" si="21"/>
        <v>7.7040066823955033E-2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0.85870000000000002</v>
      </c>
      <c r="D176" s="541">
        <f t="shared" si="20"/>
        <v>0.97383999999999993</v>
      </c>
      <c r="E176" s="542">
        <f t="shared" si="21"/>
        <v>0.11513999999999991</v>
      </c>
    </row>
    <row r="177" spans="1:5" s="506" customFormat="1" x14ac:dyDescent="0.2">
      <c r="A177" s="512">
        <v>5</v>
      </c>
      <c r="B177" s="511" t="s">
        <v>713</v>
      </c>
      <c r="C177" s="541">
        <f t="shared" si="20"/>
        <v>1.149</v>
      </c>
      <c r="D177" s="541">
        <f t="shared" si="20"/>
        <v>1.1022700000000001</v>
      </c>
      <c r="E177" s="542">
        <f t="shared" si="21"/>
        <v>-4.6729999999999938E-2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0.61797000000000002</v>
      </c>
      <c r="D178" s="541">
        <f t="shared" si="20"/>
        <v>0.68227000000000004</v>
      </c>
      <c r="E178" s="542">
        <f t="shared" si="21"/>
        <v>6.4300000000000024E-2</v>
      </c>
    </row>
    <row r="179" spans="1:5" s="506" customFormat="1" x14ac:dyDescent="0.2">
      <c r="A179" s="512">
        <v>7</v>
      </c>
      <c r="B179" s="511" t="s">
        <v>728</v>
      </c>
      <c r="C179" s="541">
        <f t="shared" si="20"/>
        <v>0.98959000000000008</v>
      </c>
      <c r="D179" s="541">
        <f t="shared" si="20"/>
        <v>1.0383500000000001</v>
      </c>
      <c r="E179" s="542">
        <f t="shared" si="21"/>
        <v>4.8760000000000026E-2</v>
      </c>
    </row>
    <row r="180" spans="1:5" s="506" customFormat="1" x14ac:dyDescent="0.2">
      <c r="A180" s="512"/>
      <c r="B180" s="516" t="s">
        <v>782</v>
      </c>
      <c r="C180" s="543">
        <f t="shared" si="20"/>
        <v>1.3171460380907596</v>
      </c>
      <c r="D180" s="543">
        <f t="shared" si="20"/>
        <v>1.3284572076576029</v>
      </c>
      <c r="E180" s="544">
        <f t="shared" si="21"/>
        <v>1.1311169566843304E-2</v>
      </c>
    </row>
    <row r="181" spans="1:5" s="506" customFormat="1" x14ac:dyDescent="0.2">
      <c r="A181" s="512"/>
      <c r="B181" s="516" t="s">
        <v>691</v>
      </c>
      <c r="C181" s="543">
        <f t="shared" si="20"/>
        <v>1.2607055689295459</v>
      </c>
      <c r="D181" s="543">
        <f t="shared" si="20"/>
        <v>1.2841769667431195</v>
      </c>
      <c r="E181" s="544">
        <f t="shared" si="21"/>
        <v>2.3471397813573658E-2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783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784</v>
      </c>
      <c r="C185" s="513">
        <v>174131459</v>
      </c>
      <c r="D185" s="513">
        <v>186327093</v>
      </c>
      <c r="E185" s="514">
        <f>D185-C185</f>
        <v>12195634</v>
      </c>
    </row>
    <row r="186" spans="1:5" s="506" customFormat="1" ht="25.5" x14ac:dyDescent="0.2">
      <c r="A186" s="512">
        <v>2</v>
      </c>
      <c r="B186" s="511" t="s">
        <v>785</v>
      </c>
      <c r="C186" s="513">
        <v>69666312</v>
      </c>
      <c r="D186" s="513">
        <v>71119217</v>
      </c>
      <c r="E186" s="514">
        <f>D186-C186</f>
        <v>1452905</v>
      </c>
    </row>
    <row r="187" spans="1:5" s="506" customFormat="1" x14ac:dyDescent="0.2">
      <c r="A187" s="512"/>
      <c r="B187" s="511" t="s">
        <v>633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717</v>
      </c>
      <c r="C188" s="546">
        <f>+C185-C186</f>
        <v>104465147</v>
      </c>
      <c r="D188" s="546">
        <f>+D185-D186</f>
        <v>115207876</v>
      </c>
      <c r="E188" s="514">
        <f t="shared" ref="E188:E197" si="22">D188-C188</f>
        <v>10742729</v>
      </c>
    </row>
    <row r="189" spans="1:5" s="506" customFormat="1" x14ac:dyDescent="0.2">
      <c r="A189" s="512">
        <v>4</v>
      </c>
      <c r="B189" s="511" t="s">
        <v>635</v>
      </c>
      <c r="C189" s="547">
        <f>IF(C185=0,0,+C188/C185)</f>
        <v>0.5999211607134125</v>
      </c>
      <c r="D189" s="547">
        <f>IF(D185=0,0,+D188/D185)</f>
        <v>0.61830984504223441</v>
      </c>
      <c r="E189" s="523">
        <f t="shared" si="22"/>
        <v>1.8388684328821903E-2</v>
      </c>
    </row>
    <row r="190" spans="1:5" s="506" customFormat="1" x14ac:dyDescent="0.2">
      <c r="A190" s="512">
        <v>5</v>
      </c>
      <c r="B190" s="511" t="s">
        <v>732</v>
      </c>
      <c r="C190" s="513">
        <v>8152172</v>
      </c>
      <c r="D190" s="513">
        <v>9265066</v>
      </c>
      <c r="E190" s="546">
        <f t="shared" si="22"/>
        <v>1112894</v>
      </c>
    </row>
    <row r="191" spans="1:5" s="506" customFormat="1" x14ac:dyDescent="0.2">
      <c r="A191" s="512">
        <v>6</v>
      </c>
      <c r="B191" s="511" t="s">
        <v>718</v>
      </c>
      <c r="C191" s="513">
        <v>4905768</v>
      </c>
      <c r="D191" s="513">
        <v>5700172</v>
      </c>
      <c r="E191" s="546">
        <f t="shared" si="22"/>
        <v>794404</v>
      </c>
    </row>
    <row r="192" spans="1:5" ht="29.25" x14ac:dyDescent="0.2">
      <c r="A192" s="512">
        <v>7</v>
      </c>
      <c r="B192" s="548" t="s">
        <v>786</v>
      </c>
      <c r="C192" s="513">
        <v>1519133</v>
      </c>
      <c r="D192" s="513">
        <v>1270330</v>
      </c>
      <c r="E192" s="546">
        <f t="shared" si="22"/>
        <v>-248803</v>
      </c>
    </row>
    <row r="193" spans="1:5" s="506" customFormat="1" x14ac:dyDescent="0.2">
      <c r="A193" s="512">
        <v>8</v>
      </c>
      <c r="B193" s="511" t="s">
        <v>787</v>
      </c>
      <c r="C193" s="513">
        <v>493000</v>
      </c>
      <c r="D193" s="513">
        <v>1043954</v>
      </c>
      <c r="E193" s="546">
        <f t="shared" si="22"/>
        <v>550954</v>
      </c>
    </row>
    <row r="194" spans="1:5" s="506" customFormat="1" x14ac:dyDescent="0.2">
      <c r="A194" s="512">
        <v>9</v>
      </c>
      <c r="B194" s="511" t="s">
        <v>788</v>
      </c>
      <c r="C194" s="513">
        <v>11724327</v>
      </c>
      <c r="D194" s="513">
        <v>11904617</v>
      </c>
      <c r="E194" s="546">
        <f t="shared" si="22"/>
        <v>180290</v>
      </c>
    </row>
    <row r="195" spans="1:5" s="506" customFormat="1" x14ac:dyDescent="0.2">
      <c r="A195" s="512">
        <v>10</v>
      </c>
      <c r="B195" s="511" t="s">
        <v>789</v>
      </c>
      <c r="C195" s="513">
        <f>+C193+C194</f>
        <v>12217327</v>
      </c>
      <c r="D195" s="513">
        <f>+D193+D194</f>
        <v>12948571</v>
      </c>
      <c r="E195" s="549">
        <f t="shared" si="22"/>
        <v>731244</v>
      </c>
    </row>
    <row r="196" spans="1:5" s="506" customFormat="1" x14ac:dyDescent="0.2">
      <c r="A196" s="512">
        <v>11</v>
      </c>
      <c r="B196" s="511" t="s">
        <v>790</v>
      </c>
      <c r="C196" s="513">
        <v>174131459</v>
      </c>
      <c r="D196" s="513">
        <v>186327093</v>
      </c>
      <c r="E196" s="546">
        <f t="shared" si="22"/>
        <v>12195634</v>
      </c>
    </row>
    <row r="197" spans="1:5" s="506" customFormat="1" x14ac:dyDescent="0.2">
      <c r="A197" s="512">
        <v>12</v>
      </c>
      <c r="B197" s="511" t="s">
        <v>675</v>
      </c>
      <c r="C197" s="513">
        <v>192136903</v>
      </c>
      <c r="D197" s="513">
        <v>196985263</v>
      </c>
      <c r="E197" s="546">
        <f t="shared" si="22"/>
        <v>4848360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791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792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621</v>
      </c>
      <c r="C203" s="553">
        <v>4507.2686000000003</v>
      </c>
      <c r="D203" s="553">
        <v>4782.5548500000004</v>
      </c>
      <c r="E203" s="554">
        <f t="shared" ref="E203:E211" si="23">D203-C203</f>
        <v>275.28625000000011</v>
      </c>
    </row>
    <row r="204" spans="1:5" s="506" customFormat="1" x14ac:dyDescent="0.2">
      <c r="A204" s="512">
        <v>2</v>
      </c>
      <c r="B204" s="511" t="s">
        <v>600</v>
      </c>
      <c r="C204" s="553">
        <v>8291.5320000000011</v>
      </c>
      <c r="D204" s="553">
        <v>7874.8578000000007</v>
      </c>
      <c r="E204" s="554">
        <f t="shared" si="23"/>
        <v>-416.67420000000038</v>
      </c>
    </row>
    <row r="205" spans="1:5" s="506" customFormat="1" x14ac:dyDescent="0.2">
      <c r="A205" s="512">
        <v>3</v>
      </c>
      <c r="B205" s="511" t="s">
        <v>746</v>
      </c>
      <c r="C205" s="553">
        <f>C206+C207</f>
        <v>2893.5731000000001</v>
      </c>
      <c r="D205" s="553">
        <f>D206+D207</f>
        <v>2987.0708</v>
      </c>
      <c r="E205" s="554">
        <f t="shared" si="23"/>
        <v>93.497699999999895</v>
      </c>
    </row>
    <row r="206" spans="1:5" s="506" customFormat="1" x14ac:dyDescent="0.2">
      <c r="A206" s="512">
        <v>4</v>
      </c>
      <c r="B206" s="511" t="s">
        <v>114</v>
      </c>
      <c r="C206" s="553">
        <v>2235.1961000000001</v>
      </c>
      <c r="D206" s="553">
        <v>2616.7080799999999</v>
      </c>
      <c r="E206" s="554">
        <f t="shared" si="23"/>
        <v>381.51197999999977</v>
      </c>
    </row>
    <row r="207" spans="1:5" s="506" customFormat="1" x14ac:dyDescent="0.2">
      <c r="A207" s="512">
        <v>5</v>
      </c>
      <c r="B207" s="511" t="s">
        <v>713</v>
      </c>
      <c r="C207" s="553">
        <v>658.37700000000007</v>
      </c>
      <c r="D207" s="553">
        <v>370.36272000000002</v>
      </c>
      <c r="E207" s="554">
        <f t="shared" si="23"/>
        <v>-288.01428000000004</v>
      </c>
    </row>
    <row r="208" spans="1:5" s="506" customFormat="1" x14ac:dyDescent="0.2">
      <c r="A208" s="512">
        <v>6</v>
      </c>
      <c r="B208" s="511" t="s">
        <v>418</v>
      </c>
      <c r="C208" s="553">
        <v>18.539100000000001</v>
      </c>
      <c r="D208" s="553">
        <v>32.748960000000004</v>
      </c>
      <c r="E208" s="554">
        <f t="shared" si="23"/>
        <v>14.209860000000003</v>
      </c>
    </row>
    <row r="209" spans="1:5" s="506" customFormat="1" x14ac:dyDescent="0.2">
      <c r="A209" s="512">
        <v>7</v>
      </c>
      <c r="B209" s="511" t="s">
        <v>728</v>
      </c>
      <c r="C209" s="553">
        <v>193.95964000000001</v>
      </c>
      <c r="D209" s="553">
        <v>191.05640000000002</v>
      </c>
      <c r="E209" s="554">
        <f t="shared" si="23"/>
        <v>-2.9032399999999825</v>
      </c>
    </row>
    <row r="210" spans="1:5" s="506" customFormat="1" x14ac:dyDescent="0.2">
      <c r="A210" s="512"/>
      <c r="B210" s="516" t="s">
        <v>793</v>
      </c>
      <c r="C210" s="555">
        <f>C204+C205+C208</f>
        <v>11203.644200000001</v>
      </c>
      <c r="D210" s="555">
        <f>D204+D205+D208</f>
        <v>10894.677560000002</v>
      </c>
      <c r="E210" s="556">
        <f t="shared" si="23"/>
        <v>-308.96663999999873</v>
      </c>
    </row>
    <row r="211" spans="1:5" s="506" customFormat="1" x14ac:dyDescent="0.2">
      <c r="A211" s="512"/>
      <c r="B211" s="516" t="s">
        <v>692</v>
      </c>
      <c r="C211" s="555">
        <f>C210+C203</f>
        <v>15710.912800000002</v>
      </c>
      <c r="D211" s="555">
        <f>D210+D203</f>
        <v>15677.232410000002</v>
      </c>
      <c r="E211" s="556">
        <f t="shared" si="23"/>
        <v>-33.680389999999534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794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621</v>
      </c>
      <c r="C215" s="557">
        <f>IF(C14*C137=0,0,C25/C14*C137)</f>
        <v>5417.2818598780841</v>
      </c>
      <c r="D215" s="557">
        <f>IF(D14*D137=0,0,D25/D14*D137)</f>
        <v>5629.5822213106958</v>
      </c>
      <c r="E215" s="557">
        <f t="shared" ref="E215:E223" si="24">D215-C215</f>
        <v>212.30036143261168</v>
      </c>
    </row>
    <row r="216" spans="1:5" s="506" customFormat="1" x14ac:dyDescent="0.2">
      <c r="A216" s="512">
        <v>2</v>
      </c>
      <c r="B216" s="511" t="s">
        <v>600</v>
      </c>
      <c r="C216" s="557">
        <f>IF(C15*C138=0,0,C26/C15*C138)</f>
        <v>2532.910616792889</v>
      </c>
      <c r="D216" s="557">
        <f>IF(D15*D138=0,0,D26/D15*D138)</f>
        <v>2723.4039992794665</v>
      </c>
      <c r="E216" s="557">
        <f t="shared" si="24"/>
        <v>190.4933824865775</v>
      </c>
    </row>
    <row r="217" spans="1:5" s="506" customFormat="1" x14ac:dyDescent="0.2">
      <c r="A217" s="512">
        <v>3</v>
      </c>
      <c r="B217" s="511" t="s">
        <v>746</v>
      </c>
      <c r="C217" s="557">
        <f>C218+C219</f>
        <v>5609.1146773659766</v>
      </c>
      <c r="D217" s="557">
        <f>D218+D219</f>
        <v>5390.0462458874854</v>
      </c>
      <c r="E217" s="557">
        <f t="shared" si="24"/>
        <v>-219.06843147849122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4830.3532242529127</v>
      </c>
      <c r="D218" s="557">
        <f t="shared" si="25"/>
        <v>4883.5920446056298</v>
      </c>
      <c r="E218" s="557">
        <f t="shared" si="24"/>
        <v>53.238820352717084</v>
      </c>
    </row>
    <row r="219" spans="1:5" s="506" customFormat="1" x14ac:dyDescent="0.2">
      <c r="A219" s="512">
        <v>5</v>
      </c>
      <c r="B219" s="511" t="s">
        <v>713</v>
      </c>
      <c r="C219" s="557">
        <f t="shared" si="25"/>
        <v>778.76145311306368</v>
      </c>
      <c r="D219" s="557">
        <f t="shared" si="25"/>
        <v>506.45420128185538</v>
      </c>
      <c r="E219" s="557">
        <f t="shared" si="24"/>
        <v>-272.3072518312083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93.063961485557087</v>
      </c>
      <c r="D220" s="557">
        <f t="shared" si="25"/>
        <v>78.660150869780466</v>
      </c>
      <c r="E220" s="557">
        <f t="shared" si="24"/>
        <v>-14.403810615776621</v>
      </c>
    </row>
    <row r="221" spans="1:5" s="506" customFormat="1" x14ac:dyDescent="0.2">
      <c r="A221" s="512">
        <v>7</v>
      </c>
      <c r="B221" s="511" t="s">
        <v>728</v>
      </c>
      <c r="C221" s="557">
        <f t="shared" si="25"/>
        <v>585.44093809832589</v>
      </c>
      <c r="D221" s="557">
        <f t="shared" si="25"/>
        <v>533.02755783311829</v>
      </c>
      <c r="E221" s="557">
        <f t="shared" si="24"/>
        <v>-52.413380265207593</v>
      </c>
    </row>
    <row r="222" spans="1:5" s="506" customFormat="1" x14ac:dyDescent="0.2">
      <c r="A222" s="512"/>
      <c r="B222" s="516" t="s">
        <v>795</v>
      </c>
      <c r="C222" s="558">
        <f>C216+C218+C219+C220</f>
        <v>8235.0892556444232</v>
      </c>
      <c r="D222" s="558">
        <f>D216+D218+D219+D220</f>
        <v>8192.1103960367327</v>
      </c>
      <c r="E222" s="558">
        <f t="shared" si="24"/>
        <v>-42.978859607690538</v>
      </c>
    </row>
    <row r="223" spans="1:5" s="506" customFormat="1" x14ac:dyDescent="0.2">
      <c r="A223" s="512"/>
      <c r="B223" s="516" t="s">
        <v>796</v>
      </c>
      <c r="C223" s="558">
        <f>C215+C222</f>
        <v>13652.371115522506</v>
      </c>
      <c r="D223" s="558">
        <f>D215+D222</f>
        <v>13821.692617347428</v>
      </c>
      <c r="E223" s="558">
        <f t="shared" si="24"/>
        <v>169.32150182492114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797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621</v>
      </c>
      <c r="C227" s="560">
        <f t="shared" ref="C227:D235" si="26">IF(C203=0,0,C47/C203)</f>
        <v>8071.2753617567851</v>
      </c>
      <c r="D227" s="560">
        <f t="shared" si="26"/>
        <v>8377.1472061632485</v>
      </c>
      <c r="E227" s="560">
        <f t="shared" ref="E227:E235" si="27">D227-C227</f>
        <v>305.87184440646342</v>
      </c>
    </row>
    <row r="228" spans="1:5" s="506" customFormat="1" x14ac:dyDescent="0.2">
      <c r="A228" s="512">
        <v>2</v>
      </c>
      <c r="B228" s="511" t="s">
        <v>600</v>
      </c>
      <c r="C228" s="560">
        <f t="shared" si="26"/>
        <v>8410.9765240006291</v>
      </c>
      <c r="D228" s="560">
        <f t="shared" si="26"/>
        <v>8720.6115645669179</v>
      </c>
      <c r="E228" s="560">
        <f t="shared" si="27"/>
        <v>309.63504056628881</v>
      </c>
    </row>
    <row r="229" spans="1:5" s="506" customFormat="1" x14ac:dyDescent="0.2">
      <c r="A229" s="512">
        <v>3</v>
      </c>
      <c r="B229" s="511" t="s">
        <v>746</v>
      </c>
      <c r="C229" s="560">
        <f t="shared" si="26"/>
        <v>3875.728938729766</v>
      </c>
      <c r="D229" s="560">
        <f t="shared" si="26"/>
        <v>4548.0448605369511</v>
      </c>
      <c r="E229" s="560">
        <f t="shared" si="27"/>
        <v>672.31592180718508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4340.971693714032</v>
      </c>
      <c r="D230" s="560">
        <f t="shared" si="26"/>
        <v>4817.4968756927601</v>
      </c>
      <c r="E230" s="560">
        <f t="shared" si="27"/>
        <v>476.52518197872814</v>
      </c>
    </row>
    <row r="231" spans="1:5" s="506" customFormat="1" x14ac:dyDescent="0.2">
      <c r="A231" s="512">
        <v>5</v>
      </c>
      <c r="B231" s="511" t="s">
        <v>713</v>
      </c>
      <c r="C231" s="560">
        <f t="shared" si="26"/>
        <v>2296.2254149218456</v>
      </c>
      <c r="D231" s="560">
        <f t="shared" si="26"/>
        <v>2644.2969205971917</v>
      </c>
      <c r="E231" s="560">
        <f t="shared" si="27"/>
        <v>348.07150567534609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5325.4472978731437</v>
      </c>
      <c r="D232" s="560">
        <f t="shared" si="26"/>
        <v>4775.5104284227646</v>
      </c>
      <c r="E232" s="560">
        <f t="shared" si="27"/>
        <v>-549.93686945037916</v>
      </c>
    </row>
    <row r="233" spans="1:5" s="506" customFormat="1" x14ac:dyDescent="0.2">
      <c r="A233" s="512">
        <v>7</v>
      </c>
      <c r="B233" s="511" t="s">
        <v>728</v>
      </c>
      <c r="C233" s="560">
        <f t="shared" si="26"/>
        <v>116.02929351693992</v>
      </c>
      <c r="D233" s="560">
        <f t="shared" si="26"/>
        <v>103.67619195169593</v>
      </c>
      <c r="E233" s="560">
        <f t="shared" si="27"/>
        <v>-12.353101565243989</v>
      </c>
    </row>
    <row r="234" spans="1:5" x14ac:dyDescent="0.2">
      <c r="A234" s="512"/>
      <c r="B234" s="516" t="s">
        <v>798</v>
      </c>
      <c r="C234" s="561">
        <f t="shared" si="26"/>
        <v>7234.5491835593994</v>
      </c>
      <c r="D234" s="561">
        <f t="shared" si="26"/>
        <v>7564.7306261352069</v>
      </c>
      <c r="E234" s="561">
        <f t="shared" si="27"/>
        <v>330.18144257580752</v>
      </c>
    </row>
    <row r="235" spans="1:5" s="506" customFormat="1" x14ac:dyDescent="0.2">
      <c r="A235" s="512"/>
      <c r="B235" s="516" t="s">
        <v>799</v>
      </c>
      <c r="C235" s="561">
        <f t="shared" si="26"/>
        <v>7474.5956835811594</v>
      </c>
      <c r="D235" s="561">
        <f t="shared" si="26"/>
        <v>7812.5694508345932</v>
      </c>
      <c r="E235" s="561">
        <f t="shared" si="27"/>
        <v>337.97376725343383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800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621</v>
      </c>
      <c r="C239" s="560">
        <f t="shared" ref="C239:D247" si="28">IF(C215=0,0,C58/C215)</f>
        <v>6144.577088840846</v>
      </c>
      <c r="D239" s="560">
        <f t="shared" si="28"/>
        <v>5516.4041982443368</v>
      </c>
      <c r="E239" s="562">
        <f t="shared" ref="E239:E247" si="29">D239-C239</f>
        <v>-628.17289059650921</v>
      </c>
    </row>
    <row r="240" spans="1:5" s="506" customFormat="1" x14ac:dyDescent="0.2">
      <c r="A240" s="512">
        <v>2</v>
      </c>
      <c r="B240" s="511" t="s">
        <v>600</v>
      </c>
      <c r="C240" s="560">
        <f t="shared" si="28"/>
        <v>5840.3948019021673</v>
      </c>
      <c r="D240" s="560">
        <f t="shared" si="28"/>
        <v>5786.3067705596486</v>
      </c>
      <c r="E240" s="562">
        <f t="shared" si="29"/>
        <v>-54.088031342518661</v>
      </c>
    </row>
    <row r="241" spans="1:5" x14ac:dyDescent="0.2">
      <c r="A241" s="512">
        <v>3</v>
      </c>
      <c r="B241" s="511" t="s">
        <v>746</v>
      </c>
      <c r="C241" s="560">
        <f t="shared" si="28"/>
        <v>2236.2152891283449</v>
      </c>
      <c r="D241" s="560">
        <f t="shared" si="28"/>
        <v>2507.6057576152643</v>
      </c>
      <c r="E241" s="562">
        <f t="shared" si="29"/>
        <v>271.39046848691942</v>
      </c>
    </row>
    <row r="242" spans="1:5" x14ac:dyDescent="0.2">
      <c r="A242" s="512">
        <v>4</v>
      </c>
      <c r="B242" s="511" t="s">
        <v>114</v>
      </c>
      <c r="C242" s="560">
        <f t="shared" si="28"/>
        <v>2332.3393708422764</v>
      </c>
      <c r="D242" s="560">
        <f t="shared" si="28"/>
        <v>2606.1501214169884</v>
      </c>
      <c r="E242" s="562">
        <f t="shared" si="29"/>
        <v>273.81075057471207</v>
      </c>
    </row>
    <row r="243" spans="1:5" x14ac:dyDescent="0.2">
      <c r="A243" s="512">
        <v>5</v>
      </c>
      <c r="B243" s="511" t="s">
        <v>713</v>
      </c>
      <c r="C243" s="560">
        <f t="shared" si="28"/>
        <v>1639.9951421511564</v>
      </c>
      <c r="D243" s="560">
        <f t="shared" si="28"/>
        <v>1557.3708303804685</v>
      </c>
      <c r="E243" s="562">
        <f t="shared" si="29"/>
        <v>-82.624311770687882</v>
      </c>
    </row>
    <row r="244" spans="1:5" x14ac:dyDescent="0.2">
      <c r="A244" s="512">
        <v>6</v>
      </c>
      <c r="B244" s="511" t="s">
        <v>418</v>
      </c>
      <c r="C244" s="560">
        <f t="shared" si="28"/>
        <v>2356.7447215755828</v>
      </c>
      <c r="D244" s="560">
        <f t="shared" si="28"/>
        <v>2243.4866708067443</v>
      </c>
      <c r="E244" s="562">
        <f t="shared" si="29"/>
        <v>-113.25805076883853</v>
      </c>
    </row>
    <row r="245" spans="1:5" x14ac:dyDescent="0.2">
      <c r="A245" s="512">
        <v>7</v>
      </c>
      <c r="B245" s="511" t="s">
        <v>728</v>
      </c>
      <c r="C245" s="560">
        <f t="shared" si="28"/>
        <v>528.29752733836779</v>
      </c>
      <c r="D245" s="560">
        <f t="shared" si="28"/>
        <v>430.03217494387877</v>
      </c>
      <c r="E245" s="562">
        <f t="shared" si="29"/>
        <v>-98.265352394489014</v>
      </c>
    </row>
    <row r="246" spans="1:5" ht="25.5" x14ac:dyDescent="0.2">
      <c r="A246" s="512"/>
      <c r="B246" s="516" t="s">
        <v>801</v>
      </c>
      <c r="C246" s="561">
        <f t="shared" si="28"/>
        <v>3346.1342244849384</v>
      </c>
      <c r="D246" s="561">
        <f t="shared" si="28"/>
        <v>3595.0485987405809</v>
      </c>
      <c r="E246" s="563">
        <f t="shared" si="29"/>
        <v>248.91437425564254</v>
      </c>
    </row>
    <row r="247" spans="1:5" x14ac:dyDescent="0.2">
      <c r="A247" s="512"/>
      <c r="B247" s="516" t="s">
        <v>802</v>
      </c>
      <c r="C247" s="561">
        <f t="shared" si="28"/>
        <v>4456.5606578642601</v>
      </c>
      <c r="D247" s="561">
        <f t="shared" si="28"/>
        <v>4377.6176822265306</v>
      </c>
      <c r="E247" s="563">
        <f t="shared" si="29"/>
        <v>-78.942975637729432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730</v>
      </c>
      <c r="B249" s="550" t="s">
        <v>727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16945146.862278085</v>
      </c>
      <c r="D251" s="546">
        <f>((IF((IF(D15=0,0,D26/D15)*D138)=0,0,D59/(IF(D15=0,0,D26/D15)*D138)))-(IF((IF(D17=0,0,D28/D17)*D140)=0,0,D61/(IF(D17=0,0,D28/D17)*D140))))*(IF(D17=0,0,D28/D17)*D140)</f>
        <v>15530587.712352792</v>
      </c>
      <c r="E251" s="546">
        <f>D251-C251</f>
        <v>-1414559.1499252934</v>
      </c>
    </row>
    <row r="252" spans="1:5" x14ac:dyDescent="0.2">
      <c r="A252" s="512">
        <v>2</v>
      </c>
      <c r="B252" s="511" t="s">
        <v>713</v>
      </c>
      <c r="C252" s="546">
        <f>IF(C231=0,0,(C228-C231)*C207)+IF(C243=0,0,(C240-C243)*C219)</f>
        <v>7296920.8336252775</v>
      </c>
      <c r="D252" s="546">
        <f>IF(D231=0,0,(D228-D231)*D207)+IF(D243=0,0,(D240-D243)*D219)</f>
        <v>4392202.7929720385</v>
      </c>
      <c r="E252" s="546">
        <f>D252-C252</f>
        <v>-2904718.040653239</v>
      </c>
    </row>
    <row r="253" spans="1:5" x14ac:dyDescent="0.2">
      <c r="A253" s="512">
        <v>3</v>
      </c>
      <c r="B253" s="511" t="s">
        <v>728</v>
      </c>
      <c r="C253" s="546">
        <f>IF(C233=0,0,(C228-C233)*C209+IF(C221=0,0,(C240-C245)*C221))</f>
        <v>4718804.1903338041</v>
      </c>
      <c r="D253" s="546">
        <f>IF(D233=0,0,(D228-D233)*D209+IF(D221=0,0,(D240-D245)*D221))</f>
        <v>4501362.6181091703</v>
      </c>
      <c r="E253" s="546">
        <f>D253-C253</f>
        <v>-217441.57222463377</v>
      </c>
    </row>
    <row r="254" spans="1:5" ht="15" customHeight="1" x14ac:dyDescent="0.2">
      <c r="A254" s="512"/>
      <c r="B254" s="516" t="s">
        <v>729</v>
      </c>
      <c r="C254" s="564">
        <f>+C251+C252+C253</f>
        <v>28960871.886237167</v>
      </c>
      <c r="D254" s="564">
        <f>+D251+D252+D253</f>
        <v>24424153.123434</v>
      </c>
      <c r="E254" s="564">
        <f>D254-C254</f>
        <v>-4536718.7628031671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803</v>
      </c>
      <c r="B256" s="550" t="s">
        <v>804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695</v>
      </c>
      <c r="C258" s="546">
        <f>+C44</f>
        <v>453112160</v>
      </c>
      <c r="D258" s="549">
        <f>+D44</f>
        <v>481019806</v>
      </c>
      <c r="E258" s="546">
        <f t="shared" ref="E258:E271" si="30">D258-C258</f>
        <v>27907646</v>
      </c>
    </row>
    <row r="259" spans="1:5" x14ac:dyDescent="0.2">
      <c r="A259" s="512">
        <v>2</v>
      </c>
      <c r="B259" s="511" t="s">
        <v>712</v>
      </c>
      <c r="C259" s="546">
        <f>+(C43-C76)</f>
        <v>170371672</v>
      </c>
      <c r="D259" s="549">
        <f>+(D43-D76)</f>
        <v>182826377</v>
      </c>
      <c r="E259" s="546">
        <f t="shared" si="30"/>
        <v>12454705</v>
      </c>
    </row>
    <row r="260" spans="1:5" x14ac:dyDescent="0.2">
      <c r="A260" s="512">
        <v>3</v>
      </c>
      <c r="B260" s="511" t="s">
        <v>716</v>
      </c>
      <c r="C260" s="546">
        <f>C195</f>
        <v>12217327</v>
      </c>
      <c r="D260" s="546">
        <f>D195</f>
        <v>12948571</v>
      </c>
      <c r="E260" s="546">
        <f t="shared" si="30"/>
        <v>731244</v>
      </c>
    </row>
    <row r="261" spans="1:5" x14ac:dyDescent="0.2">
      <c r="A261" s="512">
        <v>4</v>
      </c>
      <c r="B261" s="511" t="s">
        <v>717</v>
      </c>
      <c r="C261" s="546">
        <f>C188</f>
        <v>104465147</v>
      </c>
      <c r="D261" s="546">
        <f>D188</f>
        <v>115207876</v>
      </c>
      <c r="E261" s="546">
        <f t="shared" si="30"/>
        <v>10742729</v>
      </c>
    </row>
    <row r="262" spans="1:5" x14ac:dyDescent="0.2">
      <c r="A262" s="512">
        <v>5</v>
      </c>
      <c r="B262" s="511" t="s">
        <v>718</v>
      </c>
      <c r="C262" s="546">
        <f>C191</f>
        <v>4905768</v>
      </c>
      <c r="D262" s="546">
        <f>D191</f>
        <v>5700172</v>
      </c>
      <c r="E262" s="546">
        <f t="shared" si="30"/>
        <v>794404</v>
      </c>
    </row>
    <row r="263" spans="1:5" x14ac:dyDescent="0.2">
      <c r="A263" s="512">
        <v>6</v>
      </c>
      <c r="B263" s="511" t="s">
        <v>719</v>
      </c>
      <c r="C263" s="546">
        <f>+C259+C260+C261+C262</f>
        <v>291959914</v>
      </c>
      <c r="D263" s="546">
        <f>+D259+D260+D261+D262</f>
        <v>316682996</v>
      </c>
      <c r="E263" s="546">
        <f t="shared" si="30"/>
        <v>24723082</v>
      </c>
    </row>
    <row r="264" spans="1:5" x14ac:dyDescent="0.2">
      <c r="A264" s="512">
        <v>7</v>
      </c>
      <c r="B264" s="511" t="s">
        <v>619</v>
      </c>
      <c r="C264" s="546">
        <f>+C258-C263</f>
        <v>161152246</v>
      </c>
      <c r="D264" s="546">
        <f>+D258-D263</f>
        <v>164336810</v>
      </c>
      <c r="E264" s="546">
        <f t="shared" si="30"/>
        <v>3184564</v>
      </c>
    </row>
    <row r="265" spans="1:5" x14ac:dyDescent="0.2">
      <c r="A265" s="512">
        <v>8</v>
      </c>
      <c r="B265" s="511" t="s">
        <v>805</v>
      </c>
      <c r="C265" s="565">
        <f>C192</f>
        <v>1519133</v>
      </c>
      <c r="D265" s="565">
        <f>D192</f>
        <v>1270330</v>
      </c>
      <c r="E265" s="546">
        <f t="shared" si="30"/>
        <v>-248803</v>
      </c>
    </row>
    <row r="266" spans="1:5" x14ac:dyDescent="0.2">
      <c r="A266" s="512">
        <v>9</v>
      </c>
      <c r="B266" s="511" t="s">
        <v>806</v>
      </c>
      <c r="C266" s="546">
        <f>+C264+C265</f>
        <v>162671379</v>
      </c>
      <c r="D266" s="546">
        <f>+D264+D265</f>
        <v>165607140</v>
      </c>
      <c r="E266" s="565">
        <f t="shared" si="30"/>
        <v>2935761</v>
      </c>
    </row>
    <row r="267" spans="1:5" x14ac:dyDescent="0.2">
      <c r="A267" s="512">
        <v>10</v>
      </c>
      <c r="B267" s="511" t="s">
        <v>807</v>
      </c>
      <c r="C267" s="566">
        <f>IF(C258=0,0,C266/C258)</f>
        <v>0.3590090784586315</v>
      </c>
      <c r="D267" s="566">
        <f>IF(D258=0,0,D266/D258)</f>
        <v>0.34428341189759659</v>
      </c>
      <c r="E267" s="567">
        <f t="shared" si="30"/>
        <v>-1.4725666561034911E-2</v>
      </c>
    </row>
    <row r="268" spans="1:5" x14ac:dyDescent="0.2">
      <c r="A268" s="512">
        <v>11</v>
      </c>
      <c r="B268" s="511" t="s">
        <v>681</v>
      </c>
      <c r="C268" s="546">
        <f>+C260*C267</f>
        <v>4386131.3074977575</v>
      </c>
      <c r="D268" s="568">
        <f>+D260*D267</f>
        <v>4457978.2030782746</v>
      </c>
      <c r="E268" s="546">
        <f t="shared" si="30"/>
        <v>71846.895580517128</v>
      </c>
    </row>
    <row r="269" spans="1:5" x14ac:dyDescent="0.2">
      <c r="A269" s="512">
        <v>12</v>
      </c>
      <c r="B269" s="511" t="s">
        <v>808</v>
      </c>
      <c r="C269" s="546">
        <f>((C17+C18+C28+C29)*C267)-(C50+C51+C61+C62)</f>
        <v>11746010.400594927</v>
      </c>
      <c r="D269" s="568">
        <f>((D17+D18+D28+D29)*D267)-(D50+D51+D61+D62)</f>
        <v>10095312.778902128</v>
      </c>
      <c r="E269" s="546">
        <f t="shared" si="30"/>
        <v>-1650697.621692799</v>
      </c>
    </row>
    <row r="270" spans="1:5" s="569" customFormat="1" x14ac:dyDescent="0.2">
      <c r="A270" s="570">
        <v>13</v>
      </c>
      <c r="B270" s="571" t="s">
        <v>809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810</v>
      </c>
      <c r="C271" s="546">
        <f>+C268+C269+C270</f>
        <v>16132141.708092686</v>
      </c>
      <c r="D271" s="546">
        <f>+D268+D269+D270</f>
        <v>14553290.981980402</v>
      </c>
      <c r="E271" s="549">
        <f t="shared" si="30"/>
        <v>-1578850.7261122838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811</v>
      </c>
      <c r="B273" s="550" t="s">
        <v>812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813</v>
      </c>
      <c r="C275" s="340"/>
      <c r="D275" s="340"/>
      <c r="E275" s="520"/>
    </row>
    <row r="276" spans="1:5" x14ac:dyDescent="0.2">
      <c r="A276" s="512">
        <v>1</v>
      </c>
      <c r="B276" s="511" t="s">
        <v>621</v>
      </c>
      <c r="C276" s="547">
        <f t="shared" ref="C276:D284" si="31">IF(C14=0,0,+C47/C14)</f>
        <v>0.49500975619201254</v>
      </c>
      <c r="D276" s="547">
        <f t="shared" si="31"/>
        <v>0.51711101300303453</v>
      </c>
      <c r="E276" s="574">
        <f t="shared" ref="E276:E284" si="32">D276-C276</f>
        <v>2.2101256811021985E-2</v>
      </c>
    </row>
    <row r="277" spans="1:5" x14ac:dyDescent="0.2">
      <c r="A277" s="512">
        <v>2</v>
      </c>
      <c r="B277" s="511" t="s">
        <v>600</v>
      </c>
      <c r="C277" s="547">
        <f t="shared" si="31"/>
        <v>0.57511196972507783</v>
      </c>
      <c r="D277" s="547">
        <f t="shared" si="31"/>
        <v>0.56651440181652657</v>
      </c>
      <c r="E277" s="574">
        <f t="shared" si="32"/>
        <v>-8.5975679085512624E-3</v>
      </c>
    </row>
    <row r="278" spans="1:5" x14ac:dyDescent="0.2">
      <c r="A278" s="512">
        <v>3</v>
      </c>
      <c r="B278" s="511" t="s">
        <v>746</v>
      </c>
      <c r="C278" s="547">
        <f t="shared" si="31"/>
        <v>0.30941203187300897</v>
      </c>
      <c r="D278" s="547">
        <f t="shared" si="31"/>
        <v>0.34955448651932391</v>
      </c>
      <c r="E278" s="574">
        <f t="shared" si="32"/>
        <v>4.014245464631494E-2</v>
      </c>
    </row>
    <row r="279" spans="1:5" x14ac:dyDescent="0.2">
      <c r="A279" s="512">
        <v>4</v>
      </c>
      <c r="B279" s="511" t="s">
        <v>114</v>
      </c>
      <c r="C279" s="547">
        <f t="shared" si="31"/>
        <v>0.35989680675565383</v>
      </c>
      <c r="D279" s="547">
        <f t="shared" si="31"/>
        <v>0.3690431838486859</v>
      </c>
      <c r="E279" s="574">
        <f t="shared" si="32"/>
        <v>9.1463770930320654E-3</v>
      </c>
    </row>
    <row r="280" spans="1:5" x14ac:dyDescent="0.2">
      <c r="A280" s="512">
        <v>5</v>
      </c>
      <c r="B280" s="511" t="s">
        <v>713</v>
      </c>
      <c r="C280" s="547">
        <f t="shared" si="31"/>
        <v>0.16282120224824745</v>
      </c>
      <c r="D280" s="547">
        <f t="shared" si="31"/>
        <v>0.20809995947852883</v>
      </c>
      <c r="E280" s="574">
        <f t="shared" si="32"/>
        <v>4.527875723028138E-2</v>
      </c>
    </row>
    <row r="281" spans="1:5" x14ac:dyDescent="0.2">
      <c r="A281" s="512">
        <v>6</v>
      </c>
      <c r="B281" s="511" t="s">
        <v>418</v>
      </c>
      <c r="C281" s="547">
        <f t="shared" si="31"/>
        <v>0.46507979876015149</v>
      </c>
      <c r="D281" s="547">
        <f t="shared" si="31"/>
        <v>0.38328423611757845</v>
      </c>
      <c r="E281" s="574">
        <f t="shared" si="32"/>
        <v>-8.1795562642573039E-2</v>
      </c>
    </row>
    <row r="282" spans="1:5" x14ac:dyDescent="0.2">
      <c r="A282" s="512">
        <v>7</v>
      </c>
      <c r="B282" s="511" t="s">
        <v>728</v>
      </c>
      <c r="C282" s="547">
        <f t="shared" si="31"/>
        <v>8.6247070167289799E-3</v>
      </c>
      <c r="D282" s="547">
        <f t="shared" si="31"/>
        <v>7.2587539847473823E-3</v>
      </c>
      <c r="E282" s="574">
        <f t="shared" si="32"/>
        <v>-1.3659530319815975E-3</v>
      </c>
    </row>
    <row r="283" spans="1:5" ht="29.25" customHeight="1" x14ac:dyDescent="0.2">
      <c r="A283" s="512"/>
      <c r="B283" s="516" t="s">
        <v>814</v>
      </c>
      <c r="C283" s="575">
        <f t="shared" si="31"/>
        <v>0.51390432220748183</v>
      </c>
      <c r="D283" s="575">
        <f t="shared" si="31"/>
        <v>0.51351024859344407</v>
      </c>
      <c r="E283" s="576">
        <f t="shared" si="32"/>
        <v>-3.9407361403775987E-4</v>
      </c>
    </row>
    <row r="284" spans="1:5" x14ac:dyDescent="0.2">
      <c r="A284" s="512"/>
      <c r="B284" s="516" t="s">
        <v>815</v>
      </c>
      <c r="C284" s="575">
        <f t="shared" si="31"/>
        <v>0.50789858062179172</v>
      </c>
      <c r="D284" s="575">
        <f t="shared" si="31"/>
        <v>0.51468256054343453</v>
      </c>
      <c r="E284" s="576">
        <f t="shared" si="32"/>
        <v>6.7839799216428132E-3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816</v>
      </c>
      <c r="C286" s="520"/>
      <c r="D286" s="520"/>
      <c r="E286" s="520"/>
    </row>
    <row r="287" spans="1:5" x14ac:dyDescent="0.2">
      <c r="A287" s="512">
        <v>1</v>
      </c>
      <c r="B287" s="511" t="s">
        <v>621</v>
      </c>
      <c r="C287" s="547">
        <f t="shared" ref="C287:D295" si="33">IF(C25=0,0,+C58/C25)</f>
        <v>0.33075501287480963</v>
      </c>
      <c r="D287" s="547">
        <f t="shared" si="33"/>
        <v>0.28530087474914373</v>
      </c>
      <c r="E287" s="574">
        <f t="shared" ref="E287:E295" si="34">D287-C287</f>
        <v>-4.5454138125665899E-2</v>
      </c>
    </row>
    <row r="288" spans="1:5" x14ac:dyDescent="0.2">
      <c r="A288" s="512">
        <v>2</v>
      </c>
      <c r="B288" s="511" t="s">
        <v>600</v>
      </c>
      <c r="C288" s="547">
        <f t="shared" si="33"/>
        <v>0.25526382931480085</v>
      </c>
      <c r="D288" s="547">
        <f t="shared" si="33"/>
        <v>0.24487255461552132</v>
      </c>
      <c r="E288" s="574">
        <f t="shared" si="34"/>
        <v>-1.0391274699279529E-2</v>
      </c>
    </row>
    <row r="289" spans="1:5" x14ac:dyDescent="0.2">
      <c r="A289" s="512">
        <v>3</v>
      </c>
      <c r="B289" s="511" t="s">
        <v>746</v>
      </c>
      <c r="C289" s="547">
        <f t="shared" si="33"/>
        <v>0.20021384874540521</v>
      </c>
      <c r="D289" s="547">
        <f t="shared" si="33"/>
        <v>0.19538619442498492</v>
      </c>
      <c r="E289" s="574">
        <f t="shared" si="34"/>
        <v>-4.8276543204202882E-3</v>
      </c>
    </row>
    <row r="290" spans="1:5" x14ac:dyDescent="0.2">
      <c r="A290" s="512">
        <v>4</v>
      </c>
      <c r="B290" s="511" t="s">
        <v>114</v>
      </c>
      <c r="C290" s="547">
        <f t="shared" si="33"/>
        <v>0.2251859654302871</v>
      </c>
      <c r="D290" s="547">
        <f t="shared" si="33"/>
        <v>0.20500646942553744</v>
      </c>
      <c r="E290" s="574">
        <f t="shared" si="34"/>
        <v>-2.0179496004749664E-2</v>
      </c>
    </row>
    <row r="291" spans="1:5" x14ac:dyDescent="0.2">
      <c r="A291" s="512">
        <v>5</v>
      </c>
      <c r="B291" s="511" t="s">
        <v>713</v>
      </c>
      <c r="C291" s="547">
        <f t="shared" si="33"/>
        <v>0.10120896197744846</v>
      </c>
      <c r="D291" s="547">
        <f t="shared" si="33"/>
        <v>0.11119002424017722</v>
      </c>
      <c r="E291" s="574">
        <f t="shared" si="34"/>
        <v>9.9810622627287682E-3</v>
      </c>
    </row>
    <row r="292" spans="1:5" x14ac:dyDescent="0.2">
      <c r="A292" s="512">
        <v>6</v>
      </c>
      <c r="B292" s="511" t="s">
        <v>418</v>
      </c>
      <c r="C292" s="547">
        <f t="shared" si="33"/>
        <v>0.33305544293148559</v>
      </c>
      <c r="D292" s="547">
        <f t="shared" si="33"/>
        <v>0.26391761519560558</v>
      </c>
      <c r="E292" s="574">
        <f t="shared" si="34"/>
        <v>-6.9137827735880009E-2</v>
      </c>
    </row>
    <row r="293" spans="1:5" x14ac:dyDescent="0.2">
      <c r="A293" s="512">
        <v>7</v>
      </c>
      <c r="B293" s="511" t="s">
        <v>728</v>
      </c>
      <c r="C293" s="547">
        <f t="shared" si="33"/>
        <v>3.9682587541761169E-2</v>
      </c>
      <c r="D293" s="547">
        <f t="shared" si="33"/>
        <v>2.8996142390629913E-2</v>
      </c>
      <c r="E293" s="574">
        <f t="shared" si="34"/>
        <v>-1.0686445151131256E-2</v>
      </c>
    </row>
    <row r="294" spans="1:5" ht="29.25" customHeight="1" x14ac:dyDescent="0.2">
      <c r="A294" s="512"/>
      <c r="B294" s="516" t="s">
        <v>817</v>
      </c>
      <c r="C294" s="575">
        <f t="shared" si="33"/>
        <v>0.22724475133891564</v>
      </c>
      <c r="D294" s="575">
        <f t="shared" si="33"/>
        <v>0.21945836033122756</v>
      </c>
      <c r="E294" s="576">
        <f t="shared" si="34"/>
        <v>-7.786391007688076E-3</v>
      </c>
    </row>
    <row r="295" spans="1:5" x14ac:dyDescent="0.2">
      <c r="A295" s="512"/>
      <c r="B295" s="516" t="s">
        <v>818</v>
      </c>
      <c r="C295" s="575">
        <f t="shared" si="33"/>
        <v>0.27419032097029489</v>
      </c>
      <c r="D295" s="575">
        <f t="shared" si="33"/>
        <v>0.24894612572557204</v>
      </c>
      <c r="E295" s="576">
        <f t="shared" si="34"/>
        <v>-2.524419524472285E-2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819</v>
      </c>
      <c r="B297" s="501" t="s">
        <v>820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821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619</v>
      </c>
      <c r="C301" s="514">
        <f>+C48+C47+C50+C51+C52+C59+C58+C61+C62+C63</f>
        <v>178275341</v>
      </c>
      <c r="D301" s="514">
        <f>+D48+D47+D50+D51+D52+D59+D58+D61+D62+D63</f>
        <v>182985553</v>
      </c>
      <c r="E301" s="514">
        <f>D301-C301</f>
        <v>4710212</v>
      </c>
    </row>
    <row r="302" spans="1:5" ht="25.5" x14ac:dyDescent="0.2">
      <c r="A302" s="512">
        <v>2</v>
      </c>
      <c r="B302" s="511" t="s">
        <v>822</v>
      </c>
      <c r="C302" s="546">
        <f>C265</f>
        <v>1519133</v>
      </c>
      <c r="D302" s="546">
        <f>D265</f>
        <v>1270330</v>
      </c>
      <c r="E302" s="514">
        <f>D302-C302</f>
        <v>-248803</v>
      </c>
    </row>
    <row r="303" spans="1:5" x14ac:dyDescent="0.2">
      <c r="A303" s="512"/>
      <c r="B303" s="516" t="s">
        <v>823</v>
      </c>
      <c r="C303" s="517">
        <f>+C301+C302</f>
        <v>179794474</v>
      </c>
      <c r="D303" s="517">
        <f>+D301+D302</f>
        <v>184255883</v>
      </c>
      <c r="E303" s="517">
        <f>D303-C303</f>
        <v>4461409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824</v>
      </c>
      <c r="C305" s="513">
        <v>16703211</v>
      </c>
      <c r="D305" s="578">
        <v>17189016</v>
      </c>
      <c r="E305" s="579">
        <f>D305-C305</f>
        <v>485805</v>
      </c>
    </row>
    <row r="306" spans="1:5" x14ac:dyDescent="0.2">
      <c r="A306" s="512">
        <v>4</v>
      </c>
      <c r="B306" s="516" t="s">
        <v>825</v>
      </c>
      <c r="C306" s="580">
        <f>+C303+C305</f>
        <v>196497685</v>
      </c>
      <c r="D306" s="580">
        <f>+D303+D305</f>
        <v>201444899</v>
      </c>
      <c r="E306" s="580">
        <f>D306-C306</f>
        <v>4947214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826</v>
      </c>
      <c r="C308" s="513">
        <v>196498000</v>
      </c>
      <c r="D308" s="513">
        <v>201445000</v>
      </c>
      <c r="E308" s="514">
        <f>D308-C308</f>
        <v>4947000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827</v>
      </c>
      <c r="C310" s="581">
        <f>C306-C308</f>
        <v>-315</v>
      </c>
      <c r="D310" s="582">
        <f>D306-D308</f>
        <v>-101</v>
      </c>
      <c r="E310" s="580">
        <f>D310-C310</f>
        <v>214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828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829</v>
      </c>
      <c r="C314" s="514">
        <f>+C14+C15+C16+C19+C25+C26+C27+C30</f>
        <v>453112160</v>
      </c>
      <c r="D314" s="514">
        <f>+D14+D15+D16+D19+D25+D26+D27+D30</f>
        <v>481019806</v>
      </c>
      <c r="E314" s="514">
        <f>D314-C314</f>
        <v>27907646</v>
      </c>
    </row>
    <row r="315" spans="1:5" x14ac:dyDescent="0.2">
      <c r="A315" s="512">
        <v>2</v>
      </c>
      <c r="B315" s="583" t="s">
        <v>830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831</v>
      </c>
      <c r="C316" s="581">
        <f>C314+C315</f>
        <v>453112160</v>
      </c>
      <c r="D316" s="581">
        <f>D314+D315</f>
        <v>481019806</v>
      </c>
      <c r="E316" s="517">
        <f>D316-C316</f>
        <v>27907646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832</v>
      </c>
      <c r="C318" s="513">
        <v>453112000</v>
      </c>
      <c r="D318" s="513">
        <v>481020000</v>
      </c>
      <c r="E318" s="514">
        <f>D318-C318</f>
        <v>27908000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827</v>
      </c>
      <c r="C320" s="581">
        <f>C316-C318</f>
        <v>160</v>
      </c>
      <c r="D320" s="581">
        <f>D316-D318</f>
        <v>-194</v>
      </c>
      <c r="E320" s="517">
        <f>D320-C320</f>
        <v>-354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833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834</v>
      </c>
      <c r="C324" s="513">
        <f>+C193+C194</f>
        <v>12217327</v>
      </c>
      <c r="D324" s="513">
        <f>+D193+D194</f>
        <v>12948571</v>
      </c>
      <c r="E324" s="514">
        <f>D324-C324</f>
        <v>731244</v>
      </c>
    </row>
    <row r="325" spans="1:5" x14ac:dyDescent="0.2">
      <c r="A325" s="512">
        <v>2</v>
      </c>
      <c r="B325" s="511" t="s">
        <v>835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836</v>
      </c>
      <c r="C326" s="581">
        <f>C324+C325</f>
        <v>12217327</v>
      </c>
      <c r="D326" s="581">
        <f>D324+D325</f>
        <v>12948571</v>
      </c>
      <c r="E326" s="517">
        <f>D326-C326</f>
        <v>731244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837</v>
      </c>
      <c r="C328" s="513">
        <v>12217327</v>
      </c>
      <c r="D328" s="513">
        <v>12949000</v>
      </c>
      <c r="E328" s="514">
        <f>D328-C328</f>
        <v>731673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838</v>
      </c>
      <c r="C330" s="581">
        <f>C326-C328</f>
        <v>0</v>
      </c>
      <c r="D330" s="581">
        <f>D326-D328</f>
        <v>-429</v>
      </c>
      <c r="E330" s="517">
        <f>D330-C330</f>
        <v>-429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r:id="rId1"/>
  <headerFooter>
    <oddHeader>&amp;LOFFICE OF HEALTH CARE ACCESS&amp;CTWELVE MONTHS ACTUAL FILING&amp;RSAINT MARY`S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>
      <selection sqref="A1:F1"/>
    </sheetView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591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839</v>
      </c>
      <c r="B5" s="696"/>
      <c r="C5" s="697"/>
      <c r="D5" s="585"/>
    </row>
    <row r="6" spans="1:58" s="338" customFormat="1" ht="15.75" customHeight="1" x14ac:dyDescent="0.25">
      <c r="A6" s="695" t="s">
        <v>840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841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842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745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621</v>
      </c>
      <c r="C14" s="513">
        <v>77476915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ht="33" customHeight="1" x14ac:dyDescent="0.2">
      <c r="A15" s="512">
        <v>2</v>
      </c>
      <c r="B15" s="511" t="s">
        <v>600</v>
      </c>
      <c r="C15" s="515">
        <v>121221236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746</v>
      </c>
      <c r="C16" s="515">
        <v>38864705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34158558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713</v>
      </c>
      <c r="C18" s="515">
        <v>4706147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408034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728</v>
      </c>
      <c r="C20" s="515">
        <v>2728843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747</v>
      </c>
      <c r="C21" s="517">
        <f>SUM(C15+C16+C19)</f>
        <v>160493975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687</v>
      </c>
      <c r="C22" s="517">
        <f>SUM(C14+C21)</f>
        <v>237970890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748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621</v>
      </c>
      <c r="C25" s="513">
        <v>108850178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600</v>
      </c>
      <c r="C26" s="515">
        <v>64353684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746</v>
      </c>
      <c r="C27" s="515">
        <v>69176387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62082792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713</v>
      </c>
      <c r="C29" s="515">
        <v>7093595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668667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728</v>
      </c>
      <c r="C31" s="518">
        <v>7905155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749</v>
      </c>
      <c r="C32" s="517">
        <f>SUM(C26+C27+C30)</f>
        <v>134198738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693</v>
      </c>
      <c r="C33" s="517">
        <f>SUM(C25+C32)</f>
        <v>243048916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618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843</v>
      </c>
      <c r="C36" s="514">
        <f>SUM(C14+C25)</f>
        <v>186327093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844</v>
      </c>
      <c r="C37" s="518">
        <f>SUM(C21+C32)</f>
        <v>294692713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618</v>
      </c>
      <c r="C38" s="517">
        <f>SUM(+C36+C37)</f>
        <v>481019806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758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621</v>
      </c>
      <c r="C41" s="513">
        <v>40064166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600</v>
      </c>
      <c r="C42" s="515">
        <v>68673576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746</v>
      </c>
      <c r="C43" s="515">
        <v>13585332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12605983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713</v>
      </c>
      <c r="C45" s="515">
        <v>979349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156393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728</v>
      </c>
      <c r="C47" s="515">
        <v>19808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759</v>
      </c>
      <c r="C48" s="517">
        <f>SUM(C42+C43+C46)</f>
        <v>82415301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688</v>
      </c>
      <c r="C49" s="517">
        <f>SUM(C41+C48)</f>
        <v>122479467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760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621</v>
      </c>
      <c r="C52" s="513">
        <v>31055051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600</v>
      </c>
      <c r="C53" s="515">
        <v>15758451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746</v>
      </c>
      <c r="C54" s="515">
        <v>13516111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12727374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713</v>
      </c>
      <c r="C56" s="515">
        <v>788737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176473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728</v>
      </c>
      <c r="C58" s="515">
        <v>229219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761</v>
      </c>
      <c r="C59" s="517">
        <f>SUM(C53+C54+C57)</f>
        <v>29451035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694</v>
      </c>
      <c r="C60" s="517">
        <f>SUM(C52+C59)</f>
        <v>60506086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619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845</v>
      </c>
      <c r="C63" s="514">
        <f>SUM(C41+C52)</f>
        <v>71119217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846</v>
      </c>
      <c r="C64" s="518">
        <f>SUM(C48+C59)</f>
        <v>111866336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619</v>
      </c>
      <c r="C65" s="517">
        <f>SUM(+C63+C64)</f>
        <v>182985553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847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848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621</v>
      </c>
      <c r="C70" s="530">
        <v>4007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600</v>
      </c>
      <c r="C71" s="530">
        <v>5130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746</v>
      </c>
      <c r="C72" s="530">
        <v>3023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2687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713</v>
      </c>
      <c r="C74" s="530">
        <v>336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48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728</v>
      </c>
      <c r="C76" s="545">
        <v>184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776</v>
      </c>
      <c r="C77" s="532">
        <f>SUM(C71+C72+C75)</f>
        <v>8201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690</v>
      </c>
      <c r="C78" s="596">
        <f>SUM(C70+C77)</f>
        <v>12208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781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621</v>
      </c>
      <c r="C81" s="541">
        <v>1.1935500000000001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600</v>
      </c>
      <c r="C82" s="541">
        <v>1.5350600000000001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746</v>
      </c>
      <c r="C83" s="541">
        <f>((C73*C84)+(C74*C85))/(C73+C74)</f>
        <v>0.98811472047634796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0.97384000000000004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713</v>
      </c>
      <c r="C85" s="541">
        <v>1.1022700000000001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0.68227000000000004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728</v>
      </c>
      <c r="C87" s="541">
        <v>1.0383500000000001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782</v>
      </c>
      <c r="C88" s="543">
        <f>((C71*C82)+(C73*C84)+(C74*C85)+(C75*C86))/(C71+C73+C74+C75)</f>
        <v>1.3284572076576027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691</v>
      </c>
      <c r="C89" s="543">
        <f>((C70*C81)+(C71*C82)+(C73*C84)+(C74*C85)+(C75*C86))/(C70+C71+C73+C74+C75)</f>
        <v>1.2841769667431195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783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784</v>
      </c>
      <c r="C92" s="513">
        <v>186327093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785</v>
      </c>
      <c r="C93" s="546">
        <v>71119217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633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717</v>
      </c>
      <c r="C95" s="513">
        <f>+C92-C93</f>
        <v>115207876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635</v>
      </c>
      <c r="C96" s="597">
        <f>(+C92-C93)/C92</f>
        <v>0.61830984504223441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732</v>
      </c>
      <c r="C98" s="513">
        <v>9265066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718</v>
      </c>
      <c r="C99" s="513">
        <v>5700172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849</v>
      </c>
      <c r="C101" s="513">
        <v>1270330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787</v>
      </c>
      <c r="C103" s="513">
        <v>1043954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788</v>
      </c>
      <c r="C104" s="513">
        <v>11904617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789</v>
      </c>
      <c r="C105" s="578">
        <f>+C103+C104</f>
        <v>12948571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790</v>
      </c>
      <c r="C107" s="513">
        <v>8481266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675</v>
      </c>
      <c r="C108" s="513">
        <v>196985263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820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821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619</v>
      </c>
      <c r="C114" s="514">
        <f>+C65</f>
        <v>182985553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822</v>
      </c>
      <c r="C115" s="546">
        <f>+C101</f>
        <v>1270330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823</v>
      </c>
      <c r="C116" s="517">
        <f>+C114+C115</f>
        <v>184255883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824</v>
      </c>
      <c r="C118" s="578">
        <v>17189016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825</v>
      </c>
      <c r="C119" s="580">
        <f>+C116+C118</f>
        <v>201444899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826</v>
      </c>
      <c r="C121" s="513">
        <v>201445000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827</v>
      </c>
      <c r="C123" s="582">
        <f>C119-C121</f>
        <v>-101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828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829</v>
      </c>
      <c r="C127" s="514">
        <f>+C38</f>
        <v>481019806</v>
      </c>
      <c r="D127" s="588"/>
      <c r="AR127" s="507"/>
    </row>
    <row r="128" spans="1:58" s="506" customFormat="1" x14ac:dyDescent="0.2">
      <c r="A128" s="512">
        <v>2</v>
      </c>
      <c r="B128" s="583" t="s">
        <v>830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831</v>
      </c>
      <c r="C129" s="581">
        <f>C127+C128</f>
        <v>481019806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832</v>
      </c>
      <c r="C131" s="513">
        <v>481020000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827</v>
      </c>
      <c r="C133" s="581">
        <f>C129-C131</f>
        <v>-194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833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834</v>
      </c>
      <c r="C137" s="513">
        <f>C105</f>
        <v>12948571</v>
      </c>
      <c r="D137" s="588"/>
      <c r="AR137" s="507"/>
    </row>
    <row r="138" spans="1:44" s="506" customFormat="1" x14ac:dyDescent="0.2">
      <c r="A138" s="512">
        <v>2</v>
      </c>
      <c r="B138" s="511" t="s">
        <v>850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836</v>
      </c>
      <c r="C139" s="581">
        <f>C137+C138</f>
        <v>12948571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851</v>
      </c>
      <c r="C141" s="513">
        <v>12949000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838</v>
      </c>
      <c r="C143" s="581">
        <f>C139-C141</f>
        <v>-429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FILING&amp;RSAINT MARY`S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852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595</v>
      </c>
      <c r="D8" s="35" t="s">
        <v>595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597</v>
      </c>
      <c r="D9" s="607" t="s">
        <v>598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853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854</v>
      </c>
      <c r="C12" s="49">
        <v>745</v>
      </c>
      <c r="D12" s="49">
        <v>679</v>
      </c>
      <c r="E12" s="49">
        <f>+D12-C12</f>
        <v>-66</v>
      </c>
      <c r="F12" s="70">
        <f>IF(C12=0,0,+E12/C12)</f>
        <v>-8.859060402684564E-2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855</v>
      </c>
      <c r="C13" s="49">
        <v>491</v>
      </c>
      <c r="D13" s="49">
        <v>510</v>
      </c>
      <c r="E13" s="49">
        <f>+D13-C13</f>
        <v>19</v>
      </c>
      <c r="F13" s="70">
        <f>IF(C13=0,0,+E13/C13)</f>
        <v>3.8696537678207736E-2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33" customHeight="1" x14ac:dyDescent="0.25">
      <c r="A15" s="25">
        <v>3</v>
      </c>
      <c r="B15" s="121" t="s">
        <v>856</v>
      </c>
      <c r="C15" s="51">
        <v>493000</v>
      </c>
      <c r="D15" s="51">
        <v>1043954</v>
      </c>
      <c r="E15" s="51">
        <f>+D15-C15</f>
        <v>550954</v>
      </c>
      <c r="F15" s="70">
        <f>IF(C15=0,0,+E15/C15)</f>
        <v>1.117553752535497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857</v>
      </c>
      <c r="C16" s="27">
        <f>IF(C13=0,0,+C15/+C13)</f>
        <v>1004.0733197556008</v>
      </c>
      <c r="D16" s="27">
        <f>IF(D13=0,0,+D15/+D13)</f>
        <v>2046.9686274509804</v>
      </c>
      <c r="E16" s="27">
        <f>+D16-C16</f>
        <v>1042.8953076953796</v>
      </c>
      <c r="F16" s="28">
        <f>IF(C16=0,0,+E16/C16)</f>
        <v>1.0386644950880961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858</v>
      </c>
      <c r="C18" s="210">
        <v>0.444772</v>
      </c>
      <c r="D18" s="210">
        <v>0.41654999999999998</v>
      </c>
      <c r="E18" s="210">
        <f>+D18-C18</f>
        <v>-2.8222000000000025E-2</v>
      </c>
      <c r="F18" s="70">
        <f>IF(C18=0,0,+E18/C18)</f>
        <v>-6.345273533405886E-2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859</v>
      </c>
      <c r="C19" s="27">
        <f>+C15*C18</f>
        <v>219272.59599999999</v>
      </c>
      <c r="D19" s="27">
        <f>+D15*D18</f>
        <v>434859.03869999998</v>
      </c>
      <c r="E19" s="27">
        <f>+D19-C19</f>
        <v>215586.44269999999</v>
      </c>
      <c r="F19" s="28">
        <f>IF(C19=0,0,+E19/C19)</f>
        <v>0.98318917472021905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860</v>
      </c>
      <c r="C20" s="27">
        <f>IF(C13=0,0,+C19/C13)</f>
        <v>446.58369857433809</v>
      </c>
      <c r="D20" s="27">
        <f>IF(D13=0,0,+D19/D13)</f>
        <v>852.66478176470582</v>
      </c>
      <c r="E20" s="27">
        <f>+D20-C20</f>
        <v>406.08108319036774</v>
      </c>
      <c r="F20" s="28">
        <f>IF(C20=0,0,+E20/C20)</f>
        <v>0.90930565644632833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861</v>
      </c>
      <c r="C22" s="51">
        <v>241570</v>
      </c>
      <c r="D22" s="51">
        <v>584317</v>
      </c>
      <c r="E22" s="51">
        <f>+D22-C22</f>
        <v>342747</v>
      </c>
      <c r="F22" s="70">
        <f>IF(C22=0,0,+E22/C22)</f>
        <v>1.4188309806681294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862</v>
      </c>
      <c r="C23" s="49">
        <v>138040</v>
      </c>
      <c r="D23" s="49">
        <v>184697</v>
      </c>
      <c r="E23" s="49">
        <f>+D23-C23</f>
        <v>46657</v>
      </c>
      <c r="F23" s="70">
        <f>IF(C23=0,0,+E23/C23)</f>
        <v>0.337996232975949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863</v>
      </c>
      <c r="C24" s="49">
        <v>113390</v>
      </c>
      <c r="D24" s="49">
        <v>274940</v>
      </c>
      <c r="E24" s="49">
        <f>+D24-C24</f>
        <v>161550</v>
      </c>
      <c r="F24" s="70">
        <f>IF(C24=0,0,+E24/C24)</f>
        <v>1.424728812064556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856</v>
      </c>
      <c r="C25" s="27">
        <f>+C22+C23+C24</f>
        <v>493000</v>
      </c>
      <c r="D25" s="27">
        <f>+D22+D23+D24</f>
        <v>1043954</v>
      </c>
      <c r="E25" s="27">
        <f>+E22+E23+E24</f>
        <v>550954</v>
      </c>
      <c r="F25" s="28">
        <f>IF(C25=0,0,+E25/C25)</f>
        <v>1.117553752535497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864</v>
      </c>
      <c r="C27" s="49">
        <v>79</v>
      </c>
      <c r="D27" s="49">
        <v>220</v>
      </c>
      <c r="E27" s="49">
        <f>+D27-C27</f>
        <v>141</v>
      </c>
      <c r="F27" s="70">
        <f>IF(C27=0,0,+E27/C27)</f>
        <v>1.7848101265822784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865</v>
      </c>
      <c r="C28" s="49">
        <v>23</v>
      </c>
      <c r="D28" s="49">
        <v>28</v>
      </c>
      <c r="E28" s="49">
        <f>+D28-C28</f>
        <v>5</v>
      </c>
      <c r="F28" s="70">
        <f>IF(C28=0,0,+E28/C28)</f>
        <v>0.21739130434782608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866</v>
      </c>
      <c r="C29" s="49">
        <v>176</v>
      </c>
      <c r="D29" s="49">
        <v>179</v>
      </c>
      <c r="E29" s="49">
        <f>+D29-C29</f>
        <v>3</v>
      </c>
      <c r="F29" s="70">
        <f>IF(C29=0,0,+E29/C29)</f>
        <v>1.7045454545454544E-2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867</v>
      </c>
      <c r="C30" s="49">
        <v>292</v>
      </c>
      <c r="D30" s="49">
        <v>81</v>
      </c>
      <c r="E30" s="49">
        <f>+D30-C30</f>
        <v>-211</v>
      </c>
      <c r="F30" s="70">
        <f>IF(C30=0,0,+E30/C30)</f>
        <v>-0.7226027397260274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868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869</v>
      </c>
      <c r="C33" s="51">
        <v>3066971</v>
      </c>
      <c r="D33" s="51">
        <v>3902095</v>
      </c>
      <c r="E33" s="51">
        <f>+D33-C33</f>
        <v>835124</v>
      </c>
      <c r="F33" s="70">
        <f>IF(C33=0,0,+E33/C33)</f>
        <v>0.27229602105791023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870</v>
      </c>
      <c r="C34" s="49">
        <v>1248951</v>
      </c>
      <c r="D34" s="49">
        <v>1598949</v>
      </c>
      <c r="E34" s="49">
        <f>+D34-C34</f>
        <v>349998</v>
      </c>
      <c r="F34" s="70">
        <f>IF(C34=0,0,+E34/C34)</f>
        <v>0.28023357201363386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871</v>
      </c>
      <c r="C35" s="49">
        <v>7408405</v>
      </c>
      <c r="D35" s="49">
        <v>6403573</v>
      </c>
      <c r="E35" s="49">
        <f>+D35-C35</f>
        <v>-1004832</v>
      </c>
      <c r="F35" s="70">
        <f>IF(C35=0,0,+E35/C35)</f>
        <v>-0.13563405348384705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872</v>
      </c>
      <c r="C36" s="27">
        <f>+C33+C34+C35</f>
        <v>11724327</v>
      </c>
      <c r="D36" s="27">
        <f>+D33+D34+D35</f>
        <v>11904617</v>
      </c>
      <c r="E36" s="27">
        <f>+E33+E34+E35</f>
        <v>180290</v>
      </c>
      <c r="F36" s="28">
        <f>IF(C36=0,0,+E36/C36)</f>
        <v>1.5377428486940018E-2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873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874</v>
      </c>
      <c r="C39" s="51">
        <f>+C25</f>
        <v>493000</v>
      </c>
      <c r="D39" s="51">
        <f>+D25</f>
        <v>1043954</v>
      </c>
      <c r="E39" s="51">
        <f>+D39-C39</f>
        <v>550954</v>
      </c>
      <c r="F39" s="70">
        <f>IF(C39=0,0,+E39/C39)</f>
        <v>1.117553752535497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875</v>
      </c>
      <c r="C40" s="49">
        <f>+C36</f>
        <v>11724327</v>
      </c>
      <c r="D40" s="49">
        <f>+D36</f>
        <v>11904617</v>
      </c>
      <c r="E40" s="49">
        <f>+D40-C40</f>
        <v>180290</v>
      </c>
      <c r="F40" s="70">
        <f>IF(C40=0,0,+E40/C40)</f>
        <v>1.5377428486940018E-2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876</v>
      </c>
      <c r="C41" s="27">
        <f>+C39+C40</f>
        <v>12217327</v>
      </c>
      <c r="D41" s="27">
        <f>+D39+D40</f>
        <v>12948571</v>
      </c>
      <c r="E41" s="27">
        <f>+E39+E40</f>
        <v>731244</v>
      </c>
      <c r="F41" s="28">
        <f>IF(C41=0,0,+E41/C41)</f>
        <v>5.9853026770913149E-2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877</v>
      </c>
      <c r="C43" s="51">
        <f t="shared" ref="C43:D45" si="0">+C22+C33</f>
        <v>3308541</v>
      </c>
      <c r="D43" s="51">
        <f t="shared" si="0"/>
        <v>4486412</v>
      </c>
      <c r="E43" s="51">
        <f>+D43-C43</f>
        <v>1177871</v>
      </c>
      <c r="F43" s="70">
        <f>IF(C43=0,0,+E43/C43)</f>
        <v>0.35600918954910943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878</v>
      </c>
      <c r="C44" s="49">
        <f t="shared" si="0"/>
        <v>1386991</v>
      </c>
      <c r="D44" s="49">
        <f t="shared" si="0"/>
        <v>1783646</v>
      </c>
      <c r="E44" s="49">
        <f>+D44-C44</f>
        <v>396655</v>
      </c>
      <c r="F44" s="70">
        <f>IF(C44=0,0,+E44/C44)</f>
        <v>0.28598238921521479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879</v>
      </c>
      <c r="C45" s="49">
        <f t="shared" si="0"/>
        <v>7521795</v>
      </c>
      <c r="D45" s="49">
        <f t="shared" si="0"/>
        <v>6678513</v>
      </c>
      <c r="E45" s="49">
        <f>+D45-C45</f>
        <v>-843282</v>
      </c>
      <c r="F45" s="70">
        <f>IF(C45=0,0,+E45/C45)</f>
        <v>-0.11211180310019085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876</v>
      </c>
      <c r="C46" s="27">
        <f>+C43+C44+C45</f>
        <v>12217327</v>
      </c>
      <c r="D46" s="27">
        <f>+D43+D44+D45</f>
        <v>12948571</v>
      </c>
      <c r="E46" s="27">
        <f>+E43+E44+E45</f>
        <v>731244</v>
      </c>
      <c r="F46" s="28">
        <f>IF(C46=0,0,+E46/C46)</f>
        <v>5.9853026770913149E-2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880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r:id="rId1"/>
  <headerFooter>
    <oddHeader>&amp;LOFFICE OF HEALTH CARE ACCESS&amp;CTWELVE MONTHS ACTUAL FILING&amp;RSAINT MARY`S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881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882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597</v>
      </c>
      <c r="D9" s="35" t="s">
        <v>598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883</v>
      </c>
      <c r="D10" s="35" t="s">
        <v>883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884</v>
      </c>
      <c r="D11" s="605" t="s">
        <v>884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885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33" customHeight="1" x14ac:dyDescent="0.2">
      <c r="A15" s="25">
        <v>1</v>
      </c>
      <c r="B15" s="609" t="s">
        <v>325</v>
      </c>
      <c r="C15" s="51">
        <v>174131459</v>
      </c>
      <c r="D15" s="51">
        <v>186327093</v>
      </c>
      <c r="E15" s="51">
        <f>+D15-C15</f>
        <v>12195634</v>
      </c>
      <c r="F15" s="70">
        <f>+E15/C15</f>
        <v>7.0036936863889718E-2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886</v>
      </c>
      <c r="C17" s="51">
        <v>104465147</v>
      </c>
      <c r="D17" s="51">
        <v>115207876</v>
      </c>
      <c r="E17" s="51">
        <f>+D17-C17</f>
        <v>10742729</v>
      </c>
      <c r="F17" s="70">
        <f>+E17/C17</f>
        <v>0.10283553231394965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887</v>
      </c>
      <c r="C19" s="27">
        <f>+C15-C17</f>
        <v>69666312</v>
      </c>
      <c r="D19" s="27">
        <f>+D15-D17</f>
        <v>71119217</v>
      </c>
      <c r="E19" s="27">
        <f>+D19-C19</f>
        <v>1452905</v>
      </c>
      <c r="F19" s="28">
        <f>+E19/C19</f>
        <v>2.0855201865716676E-2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888</v>
      </c>
      <c r="C21" s="628">
        <f>+C17/C15</f>
        <v>0.5999211607134125</v>
      </c>
      <c r="D21" s="628">
        <f>+D17/D15</f>
        <v>0.61830984504223441</v>
      </c>
      <c r="E21" s="628">
        <f>+D21-C21</f>
        <v>1.8388684328821903E-2</v>
      </c>
      <c r="F21" s="28">
        <f>+E21/C21</f>
        <v>3.0651834829354078E-2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889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r:id="rId1"/>
  <headerFooter>
    <oddHeader>&amp;L&amp;12OFFICE OF HEALTH CARE ACCESS&amp;C&amp;12TWELVE MONTHS ACTUAL FILING&amp;R&amp;12SAINT MARY`S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zoomScaleNormal="75" workbookViewId="0">
      <selection sqref="A1:F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890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891</v>
      </c>
      <c r="B6" s="632" t="s">
        <v>892</v>
      </c>
      <c r="C6" s="632" t="s">
        <v>893</v>
      </c>
      <c r="D6" s="632" t="s">
        <v>894</v>
      </c>
      <c r="E6" s="632" t="s">
        <v>895</v>
      </c>
    </row>
    <row r="7" spans="1:6" ht="37.5" customHeight="1" x14ac:dyDescent="0.25">
      <c r="A7" s="633" t="s">
        <v>8</v>
      </c>
      <c r="B7" s="634" t="s">
        <v>896</v>
      </c>
      <c r="C7" s="631" t="s">
        <v>897</v>
      </c>
      <c r="D7" s="631" t="s">
        <v>898</v>
      </c>
      <c r="E7" s="631" t="s">
        <v>899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900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901</v>
      </c>
      <c r="C10" s="641">
        <v>220027650</v>
      </c>
      <c r="D10" s="641">
        <v>231212934</v>
      </c>
      <c r="E10" s="641">
        <v>237970890</v>
      </c>
    </row>
    <row r="11" spans="1:6" ht="26.1" customHeight="1" x14ac:dyDescent="0.25">
      <c r="A11" s="639">
        <v>2</v>
      </c>
      <c r="B11" s="640" t="s">
        <v>902</v>
      </c>
      <c r="C11" s="641">
        <v>193777524</v>
      </c>
      <c r="D11" s="641">
        <v>221899226</v>
      </c>
      <c r="E11" s="641">
        <v>243048916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413805174</v>
      </c>
      <c r="D12" s="641">
        <f>+D11+D10</f>
        <v>453112160</v>
      </c>
      <c r="E12" s="641">
        <f>+E11+E10</f>
        <v>481019806</v>
      </c>
    </row>
    <row r="13" spans="1:6" ht="26.1" customHeight="1" x14ac:dyDescent="0.25">
      <c r="A13" s="639">
        <v>4</v>
      </c>
      <c r="B13" s="640" t="s">
        <v>484</v>
      </c>
      <c r="C13" s="641">
        <v>183704311</v>
      </c>
      <c r="D13" s="641">
        <v>193245559</v>
      </c>
      <c r="E13" s="641">
        <v>198455064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33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903</v>
      </c>
      <c r="C16" s="641">
        <v>189131774</v>
      </c>
      <c r="D16" s="641">
        <v>192136903</v>
      </c>
      <c r="E16" s="641">
        <v>196985263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904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58081</v>
      </c>
      <c r="D19" s="644">
        <v>53096</v>
      </c>
      <c r="E19" s="644">
        <v>52607</v>
      </c>
    </row>
    <row r="20" spans="1:5" ht="26.1" customHeight="1" x14ac:dyDescent="0.25">
      <c r="A20" s="639">
        <v>2</v>
      </c>
      <c r="B20" s="640" t="s">
        <v>373</v>
      </c>
      <c r="C20" s="645">
        <v>13153</v>
      </c>
      <c r="D20" s="645">
        <v>12462</v>
      </c>
      <c r="E20" s="645">
        <v>12208</v>
      </c>
    </row>
    <row r="21" spans="1:5" ht="26.1" customHeight="1" x14ac:dyDescent="0.25">
      <c r="A21" s="639">
        <v>3</v>
      </c>
      <c r="B21" s="640" t="s">
        <v>905</v>
      </c>
      <c r="C21" s="646">
        <f>IF(C20=0,0,+C19/C20)</f>
        <v>4.4157986771078841</v>
      </c>
      <c r="D21" s="646">
        <f>IF(D20=0,0,+D19/D20)</f>
        <v>4.2606323222596698</v>
      </c>
      <c r="E21" s="646">
        <f>IF(E20=0,0,+E19/E20)</f>
        <v>4.309223460026212</v>
      </c>
    </row>
    <row r="22" spans="1:5" ht="26.1" customHeight="1" x14ac:dyDescent="0.25">
      <c r="A22" s="639">
        <v>4</v>
      </c>
      <c r="B22" s="640" t="s">
        <v>906</v>
      </c>
      <c r="C22" s="645">
        <f>IF(C10=0,0,C19*(C12/C10))</f>
        <v>109232.71830196795</v>
      </c>
      <c r="D22" s="645">
        <f>IF(D10=0,0,D19*(D12/D10))</f>
        <v>104053.18954760549</v>
      </c>
      <c r="E22" s="645">
        <f>IF(E10=0,0,E19*(E12/E10))</f>
        <v>106336.57307514378</v>
      </c>
    </row>
    <row r="23" spans="1:5" ht="26.1" customHeight="1" x14ac:dyDescent="0.25">
      <c r="A23" s="639">
        <v>0</v>
      </c>
      <c r="B23" s="640" t="s">
        <v>907</v>
      </c>
      <c r="C23" s="645">
        <f>IF(C10=0,0,C20*(C12/C10))</f>
        <v>24736.797641669127</v>
      </c>
      <c r="D23" s="645">
        <f>IF(D10=0,0,D20*(D12/D10))</f>
        <v>24422.006330839606</v>
      </c>
      <c r="E23" s="645">
        <f>IF(E10=0,0,E20*(E12/E10))</f>
        <v>24676.504725632622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908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1.226618908233863</v>
      </c>
      <c r="D26" s="647">
        <v>1.2607055689295459</v>
      </c>
      <c r="E26" s="647">
        <v>1.2841769667431195</v>
      </c>
    </row>
    <row r="27" spans="1:5" ht="26.1" customHeight="1" x14ac:dyDescent="0.25">
      <c r="A27" s="639">
        <v>2</v>
      </c>
      <c r="B27" s="640" t="s">
        <v>909</v>
      </c>
      <c r="C27" s="645">
        <f>C19*C26</f>
        <v>71243.252809130994</v>
      </c>
      <c r="D27" s="645">
        <f>D19*D26</f>
        <v>66938.422887883164</v>
      </c>
      <c r="E27" s="645">
        <f>E19*E26</f>
        <v>67556.697689455294</v>
      </c>
    </row>
    <row r="28" spans="1:5" ht="26.1" customHeight="1" x14ac:dyDescent="0.25">
      <c r="A28" s="639">
        <v>3</v>
      </c>
      <c r="B28" s="640" t="s">
        <v>910</v>
      </c>
      <c r="C28" s="645">
        <f>C20*C26</f>
        <v>16133.718499999999</v>
      </c>
      <c r="D28" s="645">
        <f>D20*D26</f>
        <v>15710.9128</v>
      </c>
      <c r="E28" s="645">
        <f>E20*E26</f>
        <v>15677.232410000004</v>
      </c>
    </row>
    <row r="29" spans="1:5" ht="26.1" customHeight="1" x14ac:dyDescent="0.25">
      <c r="A29" s="639">
        <v>4</v>
      </c>
      <c r="B29" s="640" t="s">
        <v>911</v>
      </c>
      <c r="C29" s="645">
        <f>C22*C26</f>
        <v>133986.91766697704</v>
      </c>
      <c r="D29" s="645">
        <f>D22*D26</f>
        <v>131180.43552754787</v>
      </c>
      <c r="E29" s="645">
        <f>E22*E26</f>
        <v>136554.97786549621</v>
      </c>
    </row>
    <row r="30" spans="1:5" ht="26.1" customHeight="1" x14ac:dyDescent="0.25">
      <c r="A30" s="639">
        <v>5</v>
      </c>
      <c r="B30" s="640" t="s">
        <v>912</v>
      </c>
      <c r="C30" s="645">
        <f>C23*C26</f>
        <v>30342.62371642618</v>
      </c>
      <c r="D30" s="645">
        <f>D23*D26</f>
        <v>30788.959385722115</v>
      </c>
      <c r="E30" s="645">
        <f>E23*E26</f>
        <v>31688.998988385156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913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914</v>
      </c>
      <c r="C33" s="641">
        <f>IF(C19=0,0,C12/C19)</f>
        <v>7124.6220622923156</v>
      </c>
      <c r="D33" s="641">
        <f>IF(D19=0,0,D12/D19)</f>
        <v>8533.8285369896039</v>
      </c>
      <c r="E33" s="641">
        <f>IF(E19=0,0,E12/E19)</f>
        <v>9143.6463968673379</v>
      </c>
    </row>
    <row r="34" spans="1:5" ht="26.1" customHeight="1" x14ac:dyDescent="0.25">
      <c r="A34" s="639">
        <v>2</v>
      </c>
      <c r="B34" s="640" t="s">
        <v>915</v>
      </c>
      <c r="C34" s="641">
        <f>IF(C20=0,0,C12/C20)</f>
        <v>31460.896677564055</v>
      </c>
      <c r="D34" s="641">
        <f>IF(D20=0,0,D12/D20)</f>
        <v>36359.505697319852</v>
      </c>
      <c r="E34" s="641">
        <f>IF(E20=0,0,E12/E20)</f>
        <v>39402.015563564877</v>
      </c>
    </row>
    <row r="35" spans="1:5" ht="26.1" customHeight="1" x14ac:dyDescent="0.25">
      <c r="A35" s="639">
        <v>3</v>
      </c>
      <c r="B35" s="640" t="s">
        <v>916</v>
      </c>
      <c r="C35" s="641">
        <f>IF(C22=0,0,C12/C22)</f>
        <v>3788.2896299994836</v>
      </c>
      <c r="D35" s="641">
        <f>IF(D22=0,0,D12/D22)</f>
        <v>4354.6205740545429</v>
      </c>
      <c r="E35" s="641">
        <f>IF(E22=0,0,E12/E22)</f>
        <v>4523.5594122455186</v>
      </c>
    </row>
    <row r="36" spans="1:5" ht="26.1" customHeight="1" x14ac:dyDescent="0.25">
      <c r="A36" s="639">
        <v>4</v>
      </c>
      <c r="B36" s="640" t="s">
        <v>917</v>
      </c>
      <c r="C36" s="641">
        <f>IF(C23=0,0,C12/C23)</f>
        <v>16728.324336653233</v>
      </c>
      <c r="D36" s="641">
        <f>IF(D23=0,0,D12/D23)</f>
        <v>18553.43716899374</v>
      </c>
      <c r="E36" s="641">
        <f>IF(E23=0,0,E12/E23)</f>
        <v>19493.028342070771</v>
      </c>
    </row>
    <row r="37" spans="1:5" ht="26.1" customHeight="1" x14ac:dyDescent="0.25">
      <c r="A37" s="639">
        <v>5</v>
      </c>
      <c r="B37" s="640" t="s">
        <v>918</v>
      </c>
      <c r="C37" s="641">
        <f>IF(C29=0,0,C12/C29)</f>
        <v>3088.3998319037987</v>
      </c>
      <c r="D37" s="641">
        <f>IF(D29=0,0,D12/D29)</f>
        <v>3454.113856062374</v>
      </c>
      <c r="E37" s="641">
        <f>IF(E29=0,0,E12/E29)</f>
        <v>3522.5358571241131</v>
      </c>
    </row>
    <row r="38" spans="1:5" ht="26.1" customHeight="1" x14ac:dyDescent="0.25">
      <c r="A38" s="639">
        <v>6</v>
      </c>
      <c r="B38" s="640" t="s">
        <v>919</v>
      </c>
      <c r="C38" s="641">
        <f>IF(C30=0,0,C12/C30)</f>
        <v>13637.751892101007</v>
      </c>
      <c r="D38" s="641">
        <f>IF(D30=0,0,D12/D30)</f>
        <v>14716.709139904335</v>
      </c>
      <c r="E38" s="641">
        <f>IF(E30=0,0,E12/E30)</f>
        <v>15179.394154302769</v>
      </c>
    </row>
    <row r="39" spans="1:5" ht="26.1" customHeight="1" x14ac:dyDescent="0.25">
      <c r="A39" s="639">
        <v>7</v>
      </c>
      <c r="B39" s="640" t="s">
        <v>920</v>
      </c>
      <c r="C39" s="641">
        <f>IF(C22=0,0,C10/C22)</f>
        <v>2014.3016984320159</v>
      </c>
      <c r="D39" s="641">
        <f>IF(D22=0,0,D10/D22)</f>
        <v>2222.0648401577109</v>
      </c>
      <c r="E39" s="641">
        <f>IF(E22=0,0,E10/E22)</f>
        <v>2237.9025684026469</v>
      </c>
    </row>
    <row r="40" spans="1:5" ht="26.1" customHeight="1" x14ac:dyDescent="0.25">
      <c r="A40" s="639">
        <v>8</v>
      </c>
      <c r="B40" s="640" t="s">
        <v>921</v>
      </c>
      <c r="C40" s="641">
        <f>IF(C23=0,0,C10/C23)</f>
        <v>8894.7507752322599</v>
      </c>
      <c r="D40" s="641">
        <f>IF(D23=0,0,D10/D23)</f>
        <v>9467.4012801327081</v>
      </c>
      <c r="E40" s="641">
        <f>IF(E23=0,0,E10/E23)</f>
        <v>9643.6222490136006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922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923</v>
      </c>
      <c r="C43" s="641">
        <f>IF(C19=0,0,C13/C19)</f>
        <v>3162.8985554656429</v>
      </c>
      <c r="D43" s="641">
        <f>IF(D19=0,0,D13/D19)</f>
        <v>3639.5502297724875</v>
      </c>
      <c r="E43" s="641">
        <f>IF(E19=0,0,E13/E19)</f>
        <v>3772.4079305035452</v>
      </c>
    </row>
    <row r="44" spans="1:5" ht="26.1" customHeight="1" x14ac:dyDescent="0.25">
      <c r="A44" s="639">
        <v>2</v>
      </c>
      <c r="B44" s="640" t="s">
        <v>924</v>
      </c>
      <c r="C44" s="641">
        <f>IF(C20=0,0,C13/C20)</f>
        <v>13966.723257051623</v>
      </c>
      <c r="D44" s="641">
        <f>IF(D20=0,0,D13/D20)</f>
        <v>15506.785347456267</v>
      </c>
      <c r="E44" s="641">
        <f>IF(E20=0,0,E13/E20)</f>
        <v>16256.14875491481</v>
      </c>
    </row>
    <row r="45" spans="1:5" ht="26.1" customHeight="1" x14ac:dyDescent="0.25">
      <c r="A45" s="639">
        <v>3</v>
      </c>
      <c r="B45" s="640" t="s">
        <v>925</v>
      </c>
      <c r="C45" s="641">
        <f>IF(C22=0,0,C13/C22)</f>
        <v>1681.7700214340482</v>
      </c>
      <c r="D45" s="641">
        <f>IF(D22=0,0,D13/D22)</f>
        <v>1857.180542376243</v>
      </c>
      <c r="E45" s="641">
        <f>IF(E22=0,0,E13/E22)</f>
        <v>1866.291702477188</v>
      </c>
    </row>
    <row r="46" spans="1:5" ht="26.1" customHeight="1" x14ac:dyDescent="0.25">
      <c r="A46" s="639">
        <v>4</v>
      </c>
      <c r="B46" s="640" t="s">
        <v>926</v>
      </c>
      <c r="C46" s="641">
        <f>IF(C23=0,0,C13/C23)</f>
        <v>7426.3578358481682</v>
      </c>
      <c r="D46" s="641">
        <f>IF(D23=0,0,D13/D23)</f>
        <v>7912.7634471199644</v>
      </c>
      <c r="E46" s="641">
        <f>IF(E23=0,0,E13/E23)</f>
        <v>8042.2679875669583</v>
      </c>
    </row>
    <row r="47" spans="1:5" ht="26.1" customHeight="1" x14ac:dyDescent="0.25">
      <c r="A47" s="639">
        <v>5</v>
      </c>
      <c r="B47" s="640" t="s">
        <v>927</v>
      </c>
      <c r="C47" s="641">
        <f>IF(C29=0,0,C13/C29)</f>
        <v>1371.0615498790335</v>
      </c>
      <c r="D47" s="641">
        <f>IF(D29=0,0,D13/D29)</f>
        <v>1473.1278961138871</v>
      </c>
      <c r="E47" s="641">
        <f>IF(E29=0,0,E13/E29)</f>
        <v>1453.2979104978076</v>
      </c>
    </row>
    <row r="48" spans="1:5" ht="26.1" customHeight="1" x14ac:dyDescent="0.25">
      <c r="A48" s="639">
        <v>6</v>
      </c>
      <c r="B48" s="640" t="s">
        <v>928</v>
      </c>
      <c r="C48" s="641">
        <f>IF(C30=0,0,C13/C30)</f>
        <v>6054.331778189322</v>
      </c>
      <c r="D48" s="641">
        <f>IF(D30=0,0,D13/D30)</f>
        <v>6276.456329005212</v>
      </c>
      <c r="E48" s="641">
        <f>IF(E30=0,0,E13/E30)</f>
        <v>6262.5854503242263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929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930</v>
      </c>
      <c r="C51" s="641">
        <f>IF(C19=0,0,C16/C19)</f>
        <v>3256.3450009469534</v>
      </c>
      <c r="D51" s="641">
        <f>IF(D19=0,0,D16/D19)</f>
        <v>3618.6700128069911</v>
      </c>
      <c r="E51" s="641">
        <f>IF(E19=0,0,E16/E19)</f>
        <v>3744.4686638660255</v>
      </c>
    </row>
    <row r="52" spans="1:6" ht="26.1" customHeight="1" x14ac:dyDescent="0.25">
      <c r="A52" s="639">
        <v>2</v>
      </c>
      <c r="B52" s="640" t="s">
        <v>931</v>
      </c>
      <c r="C52" s="641">
        <f>IF(C20=0,0,C16/C20)</f>
        <v>14379.363947388429</v>
      </c>
      <c r="D52" s="641">
        <f>IF(D20=0,0,D16/D20)</f>
        <v>15417.822420157278</v>
      </c>
      <c r="E52" s="641">
        <f>IF(E20=0,0,E16/E20)</f>
        <v>16135.752211664483</v>
      </c>
    </row>
    <row r="53" spans="1:6" ht="26.1" customHeight="1" x14ac:dyDescent="0.25">
      <c r="A53" s="639">
        <v>3</v>
      </c>
      <c r="B53" s="640" t="s">
        <v>932</v>
      </c>
      <c r="C53" s="641">
        <f>IF(C22=0,0,C16/C22)</f>
        <v>1731.4571763851507</v>
      </c>
      <c r="D53" s="641">
        <f>IF(D22=0,0,D16/D22)</f>
        <v>1846.5258377504636</v>
      </c>
      <c r="E53" s="641">
        <f>IF(E22=0,0,E16/E22)</f>
        <v>1852.469543670534</v>
      </c>
    </row>
    <row r="54" spans="1:6" ht="26.1" customHeight="1" x14ac:dyDescent="0.25">
      <c r="A54" s="639">
        <v>4</v>
      </c>
      <c r="B54" s="640" t="s">
        <v>933</v>
      </c>
      <c r="C54" s="641">
        <f>IF(C23=0,0,C16/C23)</f>
        <v>7645.7663089505004</v>
      </c>
      <c r="D54" s="641">
        <f>IF(D23=0,0,D16/D23)</f>
        <v>7867.3676682072382</v>
      </c>
      <c r="E54" s="641">
        <f>IF(E23=0,0,E16/E23)</f>
        <v>7982.7052165691175</v>
      </c>
    </row>
    <row r="55" spans="1:6" ht="26.1" customHeight="1" x14ac:dyDescent="0.25">
      <c r="A55" s="639">
        <v>5</v>
      </c>
      <c r="B55" s="640" t="s">
        <v>934</v>
      </c>
      <c r="C55" s="641">
        <f>IF(C29=0,0,C16/C29)</f>
        <v>1411.5689598150536</v>
      </c>
      <c r="D55" s="641">
        <f>IF(D29=0,0,D16/D29)</f>
        <v>1464.6765138971602</v>
      </c>
      <c r="E55" s="641">
        <f>IF(E29=0,0,E16/E29)</f>
        <v>1442.5344727749607</v>
      </c>
    </row>
    <row r="56" spans="1:6" ht="26.1" customHeight="1" x14ac:dyDescent="0.25">
      <c r="A56" s="639">
        <v>6</v>
      </c>
      <c r="B56" s="640" t="s">
        <v>935</v>
      </c>
      <c r="C56" s="641">
        <f>IF(C30=0,0,C16/C30)</f>
        <v>6233.2043453978658</v>
      </c>
      <c r="D56" s="641">
        <f>IF(D30=0,0,D16/D30)</f>
        <v>6240.4480967648551</v>
      </c>
      <c r="E56" s="641">
        <f>IF(E30=0,0,E16/E30)</f>
        <v>6216.2033919784035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936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937</v>
      </c>
      <c r="C59" s="649">
        <v>28488192</v>
      </c>
      <c r="D59" s="649">
        <v>27364646</v>
      </c>
      <c r="E59" s="649">
        <v>27239418</v>
      </c>
    </row>
    <row r="60" spans="1:6" ht="26.1" customHeight="1" x14ac:dyDescent="0.25">
      <c r="A60" s="639">
        <v>2</v>
      </c>
      <c r="B60" s="640" t="s">
        <v>938</v>
      </c>
      <c r="C60" s="649">
        <v>6152251</v>
      </c>
      <c r="D60" s="649">
        <v>6314946</v>
      </c>
      <c r="E60" s="649">
        <v>6590600</v>
      </c>
    </row>
    <row r="61" spans="1:6" ht="26.1" customHeight="1" x14ac:dyDescent="0.25">
      <c r="A61" s="650">
        <v>3</v>
      </c>
      <c r="B61" s="651" t="s">
        <v>939</v>
      </c>
      <c r="C61" s="652">
        <f>C59+C60</f>
        <v>34640443</v>
      </c>
      <c r="D61" s="652">
        <f>D59+D60</f>
        <v>33679592</v>
      </c>
      <c r="E61" s="652">
        <f>E59+E60</f>
        <v>33830018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940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941</v>
      </c>
      <c r="C64" s="641">
        <v>2515990</v>
      </c>
      <c r="D64" s="641">
        <v>2773646</v>
      </c>
      <c r="E64" s="649">
        <v>2877015</v>
      </c>
      <c r="F64" s="653"/>
    </row>
    <row r="65" spans="1:6" ht="26.1" customHeight="1" x14ac:dyDescent="0.25">
      <c r="A65" s="639">
        <v>2</v>
      </c>
      <c r="B65" s="640" t="s">
        <v>942</v>
      </c>
      <c r="C65" s="649">
        <v>869363</v>
      </c>
      <c r="D65" s="649">
        <v>943697</v>
      </c>
      <c r="E65" s="649">
        <v>847264</v>
      </c>
      <c r="F65" s="653"/>
    </row>
    <row r="66" spans="1:6" ht="26.1" customHeight="1" x14ac:dyDescent="0.25">
      <c r="A66" s="650">
        <v>3</v>
      </c>
      <c r="B66" s="651" t="s">
        <v>943</v>
      </c>
      <c r="C66" s="654">
        <f>C64+C65</f>
        <v>3385353</v>
      </c>
      <c r="D66" s="654">
        <f>D64+D65</f>
        <v>3717343</v>
      </c>
      <c r="E66" s="654">
        <f>E64+E65</f>
        <v>3724279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944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945</v>
      </c>
      <c r="C69" s="649">
        <v>40881239</v>
      </c>
      <c r="D69" s="649">
        <v>41585364</v>
      </c>
      <c r="E69" s="649">
        <v>43621631</v>
      </c>
    </row>
    <row r="70" spans="1:6" ht="26.1" customHeight="1" x14ac:dyDescent="0.25">
      <c r="A70" s="639">
        <v>2</v>
      </c>
      <c r="B70" s="640" t="s">
        <v>946</v>
      </c>
      <c r="C70" s="649">
        <v>14497276</v>
      </c>
      <c r="D70" s="649">
        <v>15154217</v>
      </c>
      <c r="E70" s="649">
        <v>15404495</v>
      </c>
    </row>
    <row r="71" spans="1:6" ht="26.1" customHeight="1" x14ac:dyDescent="0.25">
      <c r="A71" s="650">
        <v>3</v>
      </c>
      <c r="B71" s="651" t="s">
        <v>947</v>
      </c>
      <c r="C71" s="652">
        <f>C69+C70</f>
        <v>55378515</v>
      </c>
      <c r="D71" s="652">
        <f>D69+D70</f>
        <v>56739581</v>
      </c>
      <c r="E71" s="652">
        <f>E69+E70</f>
        <v>59026126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948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949</v>
      </c>
      <c r="C75" s="641">
        <f t="shared" ref="C75:E76" si="0">+C59+C64+C69</f>
        <v>71885421</v>
      </c>
      <c r="D75" s="641">
        <f t="shared" si="0"/>
        <v>71723656</v>
      </c>
      <c r="E75" s="641">
        <f t="shared" si="0"/>
        <v>73738064</v>
      </c>
    </row>
    <row r="76" spans="1:6" ht="26.1" customHeight="1" x14ac:dyDescent="0.25">
      <c r="A76" s="639">
        <v>2</v>
      </c>
      <c r="B76" s="640" t="s">
        <v>950</v>
      </c>
      <c r="C76" s="641">
        <f t="shared" si="0"/>
        <v>21518890</v>
      </c>
      <c r="D76" s="641">
        <f t="shared" si="0"/>
        <v>22412860</v>
      </c>
      <c r="E76" s="641">
        <f t="shared" si="0"/>
        <v>22842359</v>
      </c>
    </row>
    <row r="77" spans="1:6" ht="26.1" customHeight="1" x14ac:dyDescent="0.25">
      <c r="A77" s="650">
        <v>3</v>
      </c>
      <c r="B77" s="651" t="s">
        <v>948</v>
      </c>
      <c r="C77" s="654">
        <f>C75+C76</f>
        <v>93404311</v>
      </c>
      <c r="D77" s="654">
        <f>D75+D76</f>
        <v>94136516</v>
      </c>
      <c r="E77" s="654">
        <f>E75+E76</f>
        <v>96580423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951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345.7</v>
      </c>
      <c r="D80" s="646">
        <v>339.6</v>
      </c>
      <c r="E80" s="646">
        <v>328.2</v>
      </c>
    </row>
    <row r="81" spans="1:5" ht="26.1" customHeight="1" x14ac:dyDescent="0.25">
      <c r="A81" s="639">
        <v>2</v>
      </c>
      <c r="B81" s="640" t="s">
        <v>579</v>
      </c>
      <c r="C81" s="646">
        <v>48.9</v>
      </c>
      <c r="D81" s="646">
        <v>50.8</v>
      </c>
      <c r="E81" s="646">
        <v>52.2</v>
      </c>
    </row>
    <row r="82" spans="1:5" ht="26.1" customHeight="1" x14ac:dyDescent="0.25">
      <c r="A82" s="639">
        <v>3</v>
      </c>
      <c r="B82" s="640" t="s">
        <v>952</v>
      </c>
      <c r="C82" s="646">
        <v>814.6</v>
      </c>
      <c r="D82" s="646">
        <v>815</v>
      </c>
      <c r="E82" s="646">
        <v>818.3</v>
      </c>
    </row>
    <row r="83" spans="1:5" ht="26.1" customHeight="1" x14ac:dyDescent="0.25">
      <c r="A83" s="650">
        <v>4</v>
      </c>
      <c r="B83" s="651" t="s">
        <v>951</v>
      </c>
      <c r="C83" s="656">
        <f>C80+C81+C82</f>
        <v>1209.2</v>
      </c>
      <c r="D83" s="656">
        <f>D80+D81+D82</f>
        <v>1205.4000000000001</v>
      </c>
      <c r="E83" s="656">
        <f>E80+E81+E82</f>
        <v>1198.6999999999998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953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954</v>
      </c>
      <c r="C86" s="649">
        <f>IF(C80=0,0,C59/C80)</f>
        <v>82407.266415967606</v>
      </c>
      <c r="D86" s="649">
        <f>IF(D80=0,0,D59/D80)</f>
        <v>80579.051825677263</v>
      </c>
      <c r="E86" s="649">
        <f>IF(E80=0,0,E59/E80)</f>
        <v>82996.398537477144</v>
      </c>
    </row>
    <row r="87" spans="1:5" ht="26.1" customHeight="1" x14ac:dyDescent="0.25">
      <c r="A87" s="639">
        <v>2</v>
      </c>
      <c r="B87" s="640" t="s">
        <v>955</v>
      </c>
      <c r="C87" s="649">
        <f>IF(C80=0,0,C60/C80)</f>
        <v>17796.502748047442</v>
      </c>
      <c r="D87" s="649">
        <f>IF(D80=0,0,D60/D80)</f>
        <v>18595.247349823319</v>
      </c>
      <c r="E87" s="649">
        <f>IF(E80=0,0,E60/E80)</f>
        <v>20081.04814137721</v>
      </c>
    </row>
    <row r="88" spans="1:5" ht="26.1" customHeight="1" x14ac:dyDescent="0.25">
      <c r="A88" s="650">
        <v>3</v>
      </c>
      <c r="B88" s="651" t="s">
        <v>956</v>
      </c>
      <c r="C88" s="652">
        <f>+C86+C87</f>
        <v>100203.76916401504</v>
      </c>
      <c r="D88" s="652">
        <f>+D86+D87</f>
        <v>99174.299175500579</v>
      </c>
      <c r="E88" s="652">
        <f>+E86+E87</f>
        <v>103077.44667885435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957</v>
      </c>
    </row>
    <row r="91" spans="1:5" ht="26.1" customHeight="1" x14ac:dyDescent="0.25">
      <c r="A91" s="639">
        <v>1</v>
      </c>
      <c r="B91" s="640" t="s">
        <v>958</v>
      </c>
      <c r="C91" s="641">
        <f>IF(C81=0,0,C64/C81)</f>
        <v>51451.738241308798</v>
      </c>
      <c r="D91" s="641">
        <f>IF(D81=0,0,D64/D81)</f>
        <v>54599.330708661422</v>
      </c>
      <c r="E91" s="641">
        <f>IF(E81=0,0,E64/E81)</f>
        <v>55115.229885057466</v>
      </c>
    </row>
    <row r="92" spans="1:5" ht="26.1" customHeight="1" x14ac:dyDescent="0.25">
      <c r="A92" s="639">
        <v>2</v>
      </c>
      <c r="B92" s="640" t="s">
        <v>959</v>
      </c>
      <c r="C92" s="641">
        <f>IF(C81=0,0,C65/C81)</f>
        <v>17778.384458077711</v>
      </c>
      <c r="D92" s="641">
        <f>IF(D81=0,0,D65/D81)</f>
        <v>18576.712598425198</v>
      </c>
      <c r="E92" s="641">
        <f>IF(E81=0,0,E65/E81)</f>
        <v>16231.111111111109</v>
      </c>
    </row>
    <row r="93" spans="1:5" ht="26.1" customHeight="1" x14ac:dyDescent="0.25">
      <c r="A93" s="650">
        <v>3</v>
      </c>
      <c r="B93" s="651" t="s">
        <v>960</v>
      </c>
      <c r="C93" s="654">
        <f>+C91+C92</f>
        <v>69230.122699386513</v>
      </c>
      <c r="D93" s="654">
        <f>+D91+D92</f>
        <v>73176.043307086627</v>
      </c>
      <c r="E93" s="654">
        <f>+E91+E92</f>
        <v>71346.340996168583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961</v>
      </c>
      <c r="B95" s="642" t="s">
        <v>962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963</v>
      </c>
      <c r="C96" s="649">
        <f>IF(C82=0,0,C69/C82)</f>
        <v>50185.660446845075</v>
      </c>
      <c r="D96" s="649">
        <f>IF(D82=0,0,D69/D82)</f>
        <v>51024.986503067485</v>
      </c>
      <c r="E96" s="649">
        <f>IF(E82=0,0,E69/E82)</f>
        <v>53307.626787241847</v>
      </c>
    </row>
    <row r="97" spans="1:5" ht="26.1" customHeight="1" x14ac:dyDescent="0.25">
      <c r="A97" s="639">
        <v>2</v>
      </c>
      <c r="B97" s="640" t="s">
        <v>964</v>
      </c>
      <c r="C97" s="649">
        <f>IF(C82=0,0,C70/C82)</f>
        <v>17796.803339062117</v>
      </c>
      <c r="D97" s="649">
        <f>IF(D82=0,0,D70/D82)</f>
        <v>18594.131288343557</v>
      </c>
      <c r="E97" s="649">
        <f>IF(E82=0,0,E70/E82)</f>
        <v>18824.996944885741</v>
      </c>
    </row>
    <row r="98" spans="1:5" ht="26.1" customHeight="1" x14ac:dyDescent="0.25">
      <c r="A98" s="650">
        <v>3</v>
      </c>
      <c r="B98" s="651" t="s">
        <v>965</v>
      </c>
      <c r="C98" s="654">
        <f>+C96+C97</f>
        <v>67982.463785907195</v>
      </c>
      <c r="D98" s="654">
        <f>+D96+D97</f>
        <v>69619.117791411045</v>
      </c>
      <c r="E98" s="654">
        <f>+E96+E97</f>
        <v>72132.623732127584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966</v>
      </c>
      <c r="B100" s="642" t="s">
        <v>967</v>
      </c>
    </row>
    <row r="101" spans="1:5" ht="26.1" customHeight="1" x14ac:dyDescent="0.25">
      <c r="A101" s="639">
        <v>1</v>
      </c>
      <c r="B101" s="640" t="s">
        <v>968</v>
      </c>
      <c r="C101" s="641">
        <f>IF(C83=0,0,C75/C83)</f>
        <v>59448.743797552095</v>
      </c>
      <c r="D101" s="641">
        <f>IF(D83=0,0,D75/D83)</f>
        <v>59501.954537912723</v>
      </c>
      <c r="E101" s="641">
        <f>IF(E83=0,0,E75/E83)</f>
        <v>61515.02794694253</v>
      </c>
    </row>
    <row r="102" spans="1:5" ht="26.1" customHeight="1" x14ac:dyDescent="0.25">
      <c r="A102" s="639">
        <v>2</v>
      </c>
      <c r="B102" s="640" t="s">
        <v>969</v>
      </c>
      <c r="C102" s="658">
        <f>IF(C83=0,0,C76/C83)</f>
        <v>17795.97254383063</v>
      </c>
      <c r="D102" s="658">
        <f>IF(D83=0,0,D76/D83)</f>
        <v>18593.711630993861</v>
      </c>
      <c r="E102" s="658">
        <f>IF(E83=0,0,E76/E83)</f>
        <v>19055.943105030452</v>
      </c>
    </row>
    <row r="103" spans="1:5" ht="26.1" customHeight="1" x14ac:dyDescent="0.25">
      <c r="A103" s="650">
        <v>3</v>
      </c>
      <c r="B103" s="651" t="s">
        <v>967</v>
      </c>
      <c r="C103" s="654">
        <f>+C101+C102</f>
        <v>77244.716341382722</v>
      </c>
      <c r="D103" s="654">
        <f>+D101+D102</f>
        <v>78095.66616890658</v>
      </c>
      <c r="E103" s="654">
        <f>+E101+E102</f>
        <v>80570.971051972985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970</v>
      </c>
      <c r="B107" s="634" t="s">
        <v>971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972</v>
      </c>
      <c r="C108" s="641">
        <f>IF(C19=0,0,C77/C19)</f>
        <v>1608.1732580361909</v>
      </c>
      <c r="D108" s="641">
        <f>IF(D19=0,0,D77/D19)</f>
        <v>1772.949299382251</v>
      </c>
      <c r="E108" s="641">
        <f>IF(E19=0,0,E77/E19)</f>
        <v>1835.8853954796891</v>
      </c>
    </row>
    <row r="109" spans="1:5" ht="26.1" customHeight="1" x14ac:dyDescent="0.25">
      <c r="A109" s="639">
        <v>2</v>
      </c>
      <c r="B109" s="640" t="s">
        <v>973</v>
      </c>
      <c r="C109" s="641">
        <f>IF(C20=0,0,C77/C20)</f>
        <v>7101.3693453964879</v>
      </c>
      <c r="D109" s="641">
        <f>IF(D20=0,0,D77/D20)</f>
        <v>7553.8850906756543</v>
      </c>
      <c r="E109" s="641">
        <f>IF(E20=0,0,E77/E20)</f>
        <v>7911.2404161205768</v>
      </c>
    </row>
    <row r="110" spans="1:5" ht="26.1" customHeight="1" x14ac:dyDescent="0.25">
      <c r="A110" s="639">
        <v>3</v>
      </c>
      <c r="B110" s="640" t="s">
        <v>974</v>
      </c>
      <c r="C110" s="641">
        <f>IF(C22=0,0,C77/C22)</f>
        <v>855.0946314618742</v>
      </c>
      <c r="D110" s="641">
        <f>IF(D22=0,0,D77/D22)</f>
        <v>904.69611176052899</v>
      </c>
      <c r="E110" s="641">
        <f>IF(E22=0,0,E77/E22)</f>
        <v>908.25216768788005</v>
      </c>
    </row>
    <row r="111" spans="1:5" ht="26.1" customHeight="1" x14ac:dyDescent="0.25">
      <c r="A111" s="639">
        <v>4</v>
      </c>
      <c r="B111" s="640" t="s">
        <v>975</v>
      </c>
      <c r="C111" s="641">
        <f>IF(C23=0,0,C77/C23)</f>
        <v>3775.9257424113971</v>
      </c>
      <c r="D111" s="641">
        <f>IF(D23=0,0,D77/D23)</f>
        <v>3854.5774955895558</v>
      </c>
      <c r="E111" s="641">
        <f>IF(E23=0,0,E77/E23)</f>
        <v>3913.8615486202739</v>
      </c>
    </row>
    <row r="112" spans="1:5" ht="26.1" customHeight="1" x14ac:dyDescent="0.25">
      <c r="A112" s="639">
        <v>5</v>
      </c>
      <c r="B112" s="640" t="s">
        <v>976</v>
      </c>
      <c r="C112" s="641">
        <f>IF(C29=0,0,C77/C29)</f>
        <v>697.11515591511215</v>
      </c>
      <c r="D112" s="641">
        <f>IF(D29=0,0,D77/D29)</f>
        <v>717.61094267926364</v>
      </c>
      <c r="E112" s="641">
        <f>IF(E29=0,0,E77/E29)</f>
        <v>707.26402295732998</v>
      </c>
    </row>
    <row r="113" spans="1:7" ht="25.5" customHeight="1" x14ac:dyDescent="0.25">
      <c r="A113" s="639">
        <v>6</v>
      </c>
      <c r="B113" s="640" t="s">
        <v>977</v>
      </c>
      <c r="C113" s="641">
        <f>IF(C30=0,0,C77/C30)</f>
        <v>3078.320183281809</v>
      </c>
      <c r="D113" s="641">
        <f>IF(D30=0,0,D77/D30)</f>
        <v>3057.4763771865018</v>
      </c>
      <c r="E113" s="641">
        <f>IF(E30=0,0,E77/E30)</f>
        <v>3047.7587201602437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r:id="rId1"/>
  <headerFooter>
    <oddHeader>&amp;L&amp;12OFFICE OF HEALTH CARE ACCESS&amp;C&amp;12TWELVE MONTHS ACTUAL FILING&amp;R&amp;12SAINT MARY`S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453112158</v>
      </c>
      <c r="D12" s="51">
        <v>481019807</v>
      </c>
      <c r="E12" s="51">
        <f t="shared" ref="E12:E19" si="0">D12-C12</f>
        <v>27907649</v>
      </c>
      <c r="F12" s="70">
        <f t="shared" ref="F12:F19" si="1">IF(C12=0,0,E12/C12)</f>
        <v>6.1591039894365401E-2</v>
      </c>
    </row>
    <row r="13" spans="1:8" ht="23.1" customHeight="1" x14ac:dyDescent="0.2">
      <c r="A13" s="25">
        <v>2</v>
      </c>
      <c r="B13" s="48" t="s">
        <v>72</v>
      </c>
      <c r="C13" s="51">
        <v>259373599</v>
      </c>
      <c r="D13" s="51">
        <v>281520743</v>
      </c>
      <c r="E13" s="51">
        <f t="shared" si="0"/>
        <v>22147144</v>
      </c>
      <c r="F13" s="70">
        <f t="shared" si="1"/>
        <v>8.5387040490578228E-2</v>
      </c>
    </row>
    <row r="14" spans="1:8" ht="23.1" customHeight="1" x14ac:dyDescent="0.2">
      <c r="A14" s="25">
        <v>3</v>
      </c>
      <c r="B14" s="48" t="s">
        <v>73</v>
      </c>
      <c r="C14" s="51">
        <v>493000</v>
      </c>
      <c r="D14" s="51">
        <v>1044000</v>
      </c>
      <c r="E14" s="51">
        <f t="shared" si="0"/>
        <v>551000</v>
      </c>
      <c r="F14" s="70">
        <f t="shared" si="1"/>
        <v>1.1176470588235294</v>
      </c>
    </row>
    <row r="15" spans="1:8" ht="33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193245559</v>
      </c>
      <c r="D16" s="27">
        <f>D12-D13-D14-D15</f>
        <v>198455064</v>
      </c>
      <c r="E16" s="27">
        <f t="shared" si="0"/>
        <v>5209505</v>
      </c>
      <c r="F16" s="28">
        <f t="shared" si="1"/>
        <v>2.6957954568052972E-2</v>
      </c>
    </row>
    <row r="17" spans="1:7" ht="23.1" customHeight="1" x14ac:dyDescent="0.2">
      <c r="A17" s="25">
        <v>5</v>
      </c>
      <c r="B17" s="48" t="s">
        <v>76</v>
      </c>
      <c r="C17" s="51">
        <v>8145638</v>
      </c>
      <c r="D17" s="51">
        <v>8481266</v>
      </c>
      <c r="E17" s="51">
        <f t="shared" si="0"/>
        <v>335628</v>
      </c>
      <c r="F17" s="70">
        <f t="shared" si="1"/>
        <v>4.1203402360870937E-2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201391197</v>
      </c>
      <c r="D19" s="27">
        <f>SUM(D16:D18)</f>
        <v>206936330</v>
      </c>
      <c r="E19" s="27">
        <f t="shared" si="0"/>
        <v>5545133</v>
      </c>
      <c r="F19" s="28">
        <f t="shared" si="1"/>
        <v>2.7534137949435794E-2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71723656</v>
      </c>
      <c r="D22" s="51">
        <v>73738064</v>
      </c>
      <c r="E22" s="51">
        <f t="shared" ref="E22:E31" si="2">D22-C22</f>
        <v>2014408</v>
      </c>
      <c r="F22" s="70">
        <f t="shared" ref="F22:F31" si="3">IF(C22=0,0,E22/C22)</f>
        <v>2.8085684868044095E-2</v>
      </c>
    </row>
    <row r="23" spans="1:7" ht="23.1" customHeight="1" x14ac:dyDescent="0.2">
      <c r="A23" s="25">
        <v>2</v>
      </c>
      <c r="B23" s="48" t="s">
        <v>81</v>
      </c>
      <c r="C23" s="51">
        <v>22412860</v>
      </c>
      <c r="D23" s="51">
        <v>22842359</v>
      </c>
      <c r="E23" s="51">
        <f t="shared" si="2"/>
        <v>429499</v>
      </c>
      <c r="F23" s="70">
        <f t="shared" si="3"/>
        <v>1.9163060849887073E-2</v>
      </c>
    </row>
    <row r="24" spans="1:7" ht="23.1" customHeight="1" x14ac:dyDescent="0.2">
      <c r="A24" s="25">
        <v>3</v>
      </c>
      <c r="B24" s="48" t="s">
        <v>82</v>
      </c>
      <c r="C24" s="51">
        <v>3101787</v>
      </c>
      <c r="D24" s="51">
        <v>3168512</v>
      </c>
      <c r="E24" s="51">
        <f t="shared" si="2"/>
        <v>66725</v>
      </c>
      <c r="F24" s="70">
        <f t="shared" si="3"/>
        <v>2.1511793040592406E-2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25497042</v>
      </c>
      <c r="D25" s="51">
        <v>27417790</v>
      </c>
      <c r="E25" s="51">
        <f t="shared" si="2"/>
        <v>1920748</v>
      </c>
      <c r="F25" s="70">
        <f t="shared" si="3"/>
        <v>7.5332189514375827E-2</v>
      </c>
    </row>
    <row r="26" spans="1:7" ht="23.1" customHeight="1" x14ac:dyDescent="0.2">
      <c r="A26" s="25">
        <v>5</v>
      </c>
      <c r="B26" s="48" t="s">
        <v>84</v>
      </c>
      <c r="C26" s="51">
        <v>7500925</v>
      </c>
      <c r="D26" s="51">
        <v>7293834</v>
      </c>
      <c r="E26" s="51">
        <f t="shared" si="2"/>
        <v>-207091</v>
      </c>
      <c r="F26" s="70">
        <f t="shared" si="3"/>
        <v>-2.7608728256848323E-2</v>
      </c>
    </row>
    <row r="27" spans="1:7" ht="23.1" customHeight="1" x14ac:dyDescent="0.2">
      <c r="A27" s="25">
        <v>6</v>
      </c>
      <c r="B27" s="48" t="s">
        <v>85</v>
      </c>
      <c r="C27" s="51">
        <v>11724327</v>
      </c>
      <c r="D27" s="51">
        <v>11904617</v>
      </c>
      <c r="E27" s="51">
        <f t="shared" si="2"/>
        <v>180290</v>
      </c>
      <c r="F27" s="70">
        <f t="shared" si="3"/>
        <v>1.5377428486940018E-2</v>
      </c>
    </row>
    <row r="28" spans="1:7" ht="23.1" customHeight="1" x14ac:dyDescent="0.2">
      <c r="A28" s="25">
        <v>7</v>
      </c>
      <c r="B28" s="48" t="s">
        <v>86</v>
      </c>
      <c r="C28" s="51">
        <v>1861697</v>
      </c>
      <c r="D28" s="51">
        <v>1719650</v>
      </c>
      <c r="E28" s="51">
        <f t="shared" si="2"/>
        <v>-142047</v>
      </c>
      <c r="F28" s="70">
        <f t="shared" si="3"/>
        <v>-7.6299741579859665E-2</v>
      </c>
    </row>
    <row r="29" spans="1:7" ht="23.1" customHeight="1" x14ac:dyDescent="0.2">
      <c r="A29" s="25">
        <v>8</v>
      </c>
      <c r="B29" s="48" t="s">
        <v>87</v>
      </c>
      <c r="C29" s="51">
        <v>1813757</v>
      </c>
      <c r="D29" s="51">
        <v>4132551</v>
      </c>
      <c r="E29" s="51">
        <f t="shared" si="2"/>
        <v>2318794</v>
      </c>
      <c r="F29" s="70">
        <f t="shared" si="3"/>
        <v>1.2784479949629415</v>
      </c>
    </row>
    <row r="30" spans="1:7" ht="23.1" customHeight="1" x14ac:dyDescent="0.2">
      <c r="A30" s="25">
        <v>9</v>
      </c>
      <c r="B30" s="48" t="s">
        <v>88</v>
      </c>
      <c r="C30" s="51">
        <v>46500852</v>
      </c>
      <c r="D30" s="51">
        <v>44767886</v>
      </c>
      <c r="E30" s="51">
        <f t="shared" si="2"/>
        <v>-1732966</v>
      </c>
      <c r="F30" s="70">
        <f t="shared" si="3"/>
        <v>-3.7267403186505059E-2</v>
      </c>
    </row>
    <row r="31" spans="1:7" ht="23.1" customHeight="1" x14ac:dyDescent="0.25">
      <c r="A31" s="29"/>
      <c r="B31" s="71" t="s">
        <v>89</v>
      </c>
      <c r="C31" s="27">
        <f>SUM(C22:C30)</f>
        <v>192136903</v>
      </c>
      <c r="D31" s="27">
        <f>SUM(D22:D30)</f>
        <v>196985263</v>
      </c>
      <c r="E31" s="27">
        <f t="shared" si="2"/>
        <v>4848360</v>
      </c>
      <c r="F31" s="28">
        <f t="shared" si="3"/>
        <v>2.5233882321919178E-2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9254294</v>
      </c>
      <c r="D33" s="27">
        <f>+D19-D31</f>
        <v>9951067</v>
      </c>
      <c r="E33" s="27">
        <f>D33-C33</f>
        <v>696773</v>
      </c>
      <c r="F33" s="28">
        <f>IF(C33=0,0,E33/C33)</f>
        <v>7.5291859108863407E-2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-1303000</v>
      </c>
      <c r="D36" s="51">
        <v>791000</v>
      </c>
      <c r="E36" s="51">
        <f>D36-C36</f>
        <v>2094000</v>
      </c>
      <c r="F36" s="70">
        <f>IF(C36=0,0,E36/C36)</f>
        <v>-1.6070606293169609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4823657</v>
      </c>
      <c r="D38" s="51">
        <v>2884712</v>
      </c>
      <c r="E38" s="51">
        <f>D38-C38</f>
        <v>-1938945</v>
      </c>
      <c r="F38" s="70">
        <f>IF(C38=0,0,E38/C38)</f>
        <v>-0.40196576995420696</v>
      </c>
    </row>
    <row r="39" spans="1:6" ht="23.1" customHeight="1" x14ac:dyDescent="0.25">
      <c r="A39" s="20"/>
      <c r="B39" s="71" t="s">
        <v>95</v>
      </c>
      <c r="C39" s="27">
        <f>SUM(C36:C38)</f>
        <v>3520657</v>
      </c>
      <c r="D39" s="27">
        <f>SUM(D36:D38)</f>
        <v>3675712</v>
      </c>
      <c r="E39" s="27">
        <f>D39-C39</f>
        <v>155055</v>
      </c>
      <c r="F39" s="28">
        <f>IF(C39=0,0,E39/C39)</f>
        <v>4.4041495664019527E-2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12774951</v>
      </c>
      <c r="D41" s="27">
        <f>D33+D39</f>
        <v>13626779</v>
      </c>
      <c r="E41" s="27">
        <f>D41-C41</f>
        <v>851828</v>
      </c>
      <c r="F41" s="28">
        <f>IF(C41=0,0,E41/C41)</f>
        <v>6.6679551256204422E-2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12774951</v>
      </c>
      <c r="D48" s="27">
        <f>D41+D46</f>
        <v>13626779</v>
      </c>
      <c r="E48" s="27">
        <f>D48-C48</f>
        <v>851828</v>
      </c>
      <c r="F48" s="28">
        <f>IF(C48=0,0,E48/C48)</f>
        <v>6.6679551256204422E-2</v>
      </c>
    </row>
    <row r="49" spans="1:6" ht="23.1" customHeight="1" x14ac:dyDescent="0.2">
      <c r="A49" s="44"/>
      <c r="B49" s="48" t="s">
        <v>102</v>
      </c>
      <c r="C49" s="51">
        <v>2563000</v>
      </c>
      <c r="D49" s="51">
        <v>1121000</v>
      </c>
      <c r="E49" s="51">
        <f>D49-C49</f>
        <v>-1442000</v>
      </c>
      <c r="F49" s="70">
        <f>IF(C49=0,0,E49/C49)</f>
        <v>-0.56262192742879436</v>
      </c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FILING&amp;RSAINT MARY`S HOSPITAL</oddHeader>
    <oddFooter>&amp;LREPORT 150&amp;CPAGE &amp;P of &amp;N&amp;R&amp;D,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zoomScaleNormal="75" workbookViewId="0">
      <selection sqref="A1:F1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7.8554687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103413421</v>
      </c>
      <c r="D14" s="97">
        <v>101811069</v>
      </c>
      <c r="E14" s="97">
        <f t="shared" ref="E14:E25" si="0">D14-C14</f>
        <v>-1602352</v>
      </c>
      <c r="F14" s="98">
        <f t="shared" ref="F14:F25" si="1">IF(C14=0,0,E14/C14)</f>
        <v>-1.5494623275251671E-2</v>
      </c>
    </row>
    <row r="15" spans="1:6" ht="33" customHeight="1" x14ac:dyDescent="0.25">
      <c r="A15" s="99">
        <v>2</v>
      </c>
      <c r="B15" s="100" t="s">
        <v>113</v>
      </c>
      <c r="C15" s="97">
        <v>17849715</v>
      </c>
      <c r="D15" s="97">
        <v>19410167</v>
      </c>
      <c r="E15" s="97">
        <f t="shared" si="0"/>
        <v>1560452</v>
      </c>
      <c r="F15" s="98">
        <f t="shared" si="1"/>
        <v>8.7421675920315814E-2</v>
      </c>
    </row>
    <row r="16" spans="1:6" ht="18" customHeight="1" x14ac:dyDescent="0.25">
      <c r="A16" s="99">
        <v>3</v>
      </c>
      <c r="B16" s="100" t="s">
        <v>114</v>
      </c>
      <c r="C16" s="97">
        <v>15361057</v>
      </c>
      <c r="D16" s="97">
        <v>21093714</v>
      </c>
      <c r="E16" s="97">
        <f t="shared" si="0"/>
        <v>5732657</v>
      </c>
      <c r="F16" s="98">
        <f t="shared" si="1"/>
        <v>0.3731941753747805</v>
      </c>
    </row>
    <row r="17" spans="1:6" ht="18" customHeight="1" x14ac:dyDescent="0.25">
      <c r="A17" s="99">
        <v>4</v>
      </c>
      <c r="B17" s="100" t="s">
        <v>115</v>
      </c>
      <c r="C17" s="97">
        <v>11599235</v>
      </c>
      <c r="D17" s="97">
        <v>13064844</v>
      </c>
      <c r="E17" s="97">
        <f t="shared" si="0"/>
        <v>1465609</v>
      </c>
      <c r="F17" s="98">
        <f t="shared" si="1"/>
        <v>0.12635393627252142</v>
      </c>
    </row>
    <row r="18" spans="1:6" ht="18" customHeight="1" x14ac:dyDescent="0.25">
      <c r="A18" s="99">
        <v>5</v>
      </c>
      <c r="B18" s="100" t="s">
        <v>116</v>
      </c>
      <c r="C18" s="97">
        <v>212284</v>
      </c>
      <c r="D18" s="97">
        <v>408034</v>
      </c>
      <c r="E18" s="97">
        <f t="shared" si="0"/>
        <v>195750</v>
      </c>
      <c r="F18" s="98">
        <f t="shared" si="1"/>
        <v>0.92211377211659851</v>
      </c>
    </row>
    <row r="19" spans="1:6" ht="18" customHeight="1" x14ac:dyDescent="0.25">
      <c r="A19" s="99">
        <v>6</v>
      </c>
      <c r="B19" s="100" t="s">
        <v>117</v>
      </c>
      <c r="C19" s="97">
        <v>4131014</v>
      </c>
      <c r="D19" s="97">
        <v>3758133</v>
      </c>
      <c r="E19" s="97">
        <f t="shared" si="0"/>
        <v>-372881</v>
      </c>
      <c r="F19" s="98">
        <f t="shared" si="1"/>
        <v>-9.0263794797112773E-2</v>
      </c>
    </row>
    <row r="20" spans="1:6" ht="18" customHeight="1" x14ac:dyDescent="0.25">
      <c r="A20" s="99">
        <v>7</v>
      </c>
      <c r="B20" s="100" t="s">
        <v>118</v>
      </c>
      <c r="C20" s="97">
        <v>59967522</v>
      </c>
      <c r="D20" s="97">
        <v>63288562</v>
      </c>
      <c r="E20" s="97">
        <f t="shared" si="0"/>
        <v>3321040</v>
      </c>
      <c r="F20" s="98">
        <f t="shared" si="1"/>
        <v>5.5380644209377203E-2</v>
      </c>
    </row>
    <row r="21" spans="1:6" ht="18" customHeight="1" x14ac:dyDescent="0.25">
      <c r="A21" s="99">
        <v>8</v>
      </c>
      <c r="B21" s="100" t="s">
        <v>119</v>
      </c>
      <c r="C21" s="97">
        <v>6784401</v>
      </c>
      <c r="D21" s="97">
        <v>7701377</v>
      </c>
      <c r="E21" s="97">
        <f t="shared" si="0"/>
        <v>916976</v>
      </c>
      <c r="F21" s="98">
        <f t="shared" si="1"/>
        <v>0.13515946359892347</v>
      </c>
    </row>
    <row r="22" spans="1:6" ht="18" customHeight="1" x14ac:dyDescent="0.25">
      <c r="A22" s="99">
        <v>9</v>
      </c>
      <c r="B22" s="100" t="s">
        <v>120</v>
      </c>
      <c r="C22" s="97">
        <v>2609364</v>
      </c>
      <c r="D22" s="97">
        <v>2728843</v>
      </c>
      <c r="E22" s="97">
        <f t="shared" si="0"/>
        <v>119479</v>
      </c>
      <c r="F22" s="98">
        <f t="shared" si="1"/>
        <v>4.5788552306232473E-2</v>
      </c>
    </row>
    <row r="23" spans="1:6" ht="18" customHeight="1" x14ac:dyDescent="0.25">
      <c r="A23" s="99">
        <v>10</v>
      </c>
      <c r="B23" s="100" t="s">
        <v>121</v>
      </c>
      <c r="C23" s="97">
        <v>9284921</v>
      </c>
      <c r="D23" s="97">
        <v>4706147</v>
      </c>
      <c r="E23" s="97">
        <f t="shared" si="0"/>
        <v>-4578774</v>
      </c>
      <c r="F23" s="98">
        <f t="shared" si="1"/>
        <v>-0.49314086786521932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231212934</v>
      </c>
      <c r="D25" s="103">
        <f>SUM(D14:D24)</f>
        <v>237970890</v>
      </c>
      <c r="E25" s="103">
        <f t="shared" si="0"/>
        <v>6757956</v>
      </c>
      <c r="F25" s="104">
        <f t="shared" si="1"/>
        <v>2.9228278379962946E-2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48352821</v>
      </c>
      <c r="D27" s="97">
        <v>52378693</v>
      </c>
      <c r="E27" s="97">
        <f t="shared" ref="E27:E38" si="2">D27-C27</f>
        <v>4025872</v>
      </c>
      <c r="F27" s="98">
        <f t="shared" ref="F27:F38" si="3">IF(C27=0,0,E27/C27)</f>
        <v>8.326033345603559E-2</v>
      </c>
    </row>
    <row r="28" spans="1:6" ht="18" customHeight="1" x14ac:dyDescent="0.25">
      <c r="A28" s="99">
        <v>2</v>
      </c>
      <c r="B28" s="100" t="s">
        <v>113</v>
      </c>
      <c r="C28" s="97">
        <v>9599761</v>
      </c>
      <c r="D28" s="97">
        <v>11974991</v>
      </c>
      <c r="E28" s="97">
        <f t="shared" si="2"/>
        <v>2375230</v>
      </c>
      <c r="F28" s="98">
        <f t="shared" si="3"/>
        <v>0.2474259515419186</v>
      </c>
    </row>
    <row r="29" spans="1:6" ht="18" customHeight="1" x14ac:dyDescent="0.25">
      <c r="A29" s="99">
        <v>3</v>
      </c>
      <c r="B29" s="100" t="s">
        <v>114</v>
      </c>
      <c r="C29" s="97">
        <v>15237768</v>
      </c>
      <c r="D29" s="97">
        <v>22515781</v>
      </c>
      <c r="E29" s="97">
        <f t="shared" si="2"/>
        <v>7278013</v>
      </c>
      <c r="F29" s="98">
        <f t="shared" si="3"/>
        <v>0.47762986022624837</v>
      </c>
    </row>
    <row r="30" spans="1:6" ht="18" customHeight="1" x14ac:dyDescent="0.25">
      <c r="A30" s="99">
        <v>4</v>
      </c>
      <c r="B30" s="100" t="s">
        <v>115</v>
      </c>
      <c r="C30" s="97">
        <v>34792095</v>
      </c>
      <c r="D30" s="97">
        <v>39567011</v>
      </c>
      <c r="E30" s="97">
        <f t="shared" si="2"/>
        <v>4774916</v>
      </c>
      <c r="F30" s="98">
        <f t="shared" si="3"/>
        <v>0.13724140498006804</v>
      </c>
    </row>
    <row r="31" spans="1:6" ht="18" customHeight="1" x14ac:dyDescent="0.25">
      <c r="A31" s="99">
        <v>5</v>
      </c>
      <c r="B31" s="100" t="s">
        <v>116</v>
      </c>
      <c r="C31" s="97">
        <v>658533</v>
      </c>
      <c r="D31" s="97">
        <v>668667</v>
      </c>
      <c r="E31" s="97">
        <f t="shared" si="2"/>
        <v>10134</v>
      </c>
      <c r="F31" s="98">
        <f t="shared" si="3"/>
        <v>1.5388750449863561E-2</v>
      </c>
    </row>
    <row r="32" spans="1:6" ht="18" customHeight="1" x14ac:dyDescent="0.25">
      <c r="A32" s="99">
        <v>6</v>
      </c>
      <c r="B32" s="100" t="s">
        <v>117</v>
      </c>
      <c r="C32" s="97">
        <v>6540689</v>
      </c>
      <c r="D32" s="97">
        <v>8269775</v>
      </c>
      <c r="E32" s="97">
        <f t="shared" si="2"/>
        <v>1729086</v>
      </c>
      <c r="F32" s="98">
        <f t="shared" si="3"/>
        <v>0.26435838793130206</v>
      </c>
    </row>
    <row r="33" spans="1:6" ht="18" customHeight="1" x14ac:dyDescent="0.25">
      <c r="A33" s="99">
        <v>7</v>
      </c>
      <c r="B33" s="100" t="s">
        <v>118</v>
      </c>
      <c r="C33" s="97">
        <v>82000437</v>
      </c>
      <c r="D33" s="97">
        <v>87862183</v>
      </c>
      <c r="E33" s="97">
        <f t="shared" si="2"/>
        <v>5861746</v>
      </c>
      <c r="F33" s="98">
        <f t="shared" si="3"/>
        <v>7.1484326357919292E-2</v>
      </c>
    </row>
    <row r="34" spans="1:6" ht="18" customHeight="1" x14ac:dyDescent="0.25">
      <c r="A34" s="99">
        <v>8</v>
      </c>
      <c r="B34" s="100" t="s">
        <v>119</v>
      </c>
      <c r="C34" s="97">
        <v>4304009</v>
      </c>
      <c r="D34" s="97">
        <v>4813065</v>
      </c>
      <c r="E34" s="97">
        <f t="shared" si="2"/>
        <v>509056</v>
      </c>
      <c r="F34" s="98">
        <f t="shared" si="3"/>
        <v>0.11827484561486744</v>
      </c>
    </row>
    <row r="35" spans="1:6" ht="18" customHeight="1" x14ac:dyDescent="0.25">
      <c r="A35" s="99">
        <v>9</v>
      </c>
      <c r="B35" s="100" t="s">
        <v>120</v>
      </c>
      <c r="C35" s="97">
        <v>7794023</v>
      </c>
      <c r="D35" s="97">
        <v>7905155</v>
      </c>
      <c r="E35" s="97">
        <f t="shared" si="2"/>
        <v>111132</v>
      </c>
      <c r="F35" s="98">
        <f t="shared" si="3"/>
        <v>1.4258618431072118E-2</v>
      </c>
    </row>
    <row r="36" spans="1:6" ht="18" customHeight="1" x14ac:dyDescent="0.25">
      <c r="A36" s="99">
        <v>10</v>
      </c>
      <c r="B36" s="100" t="s">
        <v>121</v>
      </c>
      <c r="C36" s="97">
        <v>12619090</v>
      </c>
      <c r="D36" s="97">
        <v>7093595</v>
      </c>
      <c r="E36" s="97">
        <f t="shared" si="2"/>
        <v>-5525495</v>
      </c>
      <c r="F36" s="98">
        <f t="shared" si="3"/>
        <v>-0.43786794451897876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221899226</v>
      </c>
      <c r="D38" s="103">
        <f>SUM(D27:D37)</f>
        <v>243048916</v>
      </c>
      <c r="E38" s="103">
        <f t="shared" si="2"/>
        <v>21149690</v>
      </c>
      <c r="F38" s="104">
        <f t="shared" si="3"/>
        <v>9.5312139574565261E-2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151766242</v>
      </c>
      <c r="D41" s="103">
        <f t="shared" si="4"/>
        <v>154189762</v>
      </c>
      <c r="E41" s="107">
        <f t="shared" ref="E41:E52" si="5">D41-C41</f>
        <v>2423520</v>
      </c>
      <c r="F41" s="108">
        <f t="shared" ref="F41:F52" si="6">IF(C41=0,0,E41/C41)</f>
        <v>1.5968768601386334E-2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27449476</v>
      </c>
      <c r="D42" s="103">
        <f t="shared" si="4"/>
        <v>31385158</v>
      </c>
      <c r="E42" s="107">
        <f t="shared" si="5"/>
        <v>3935682</v>
      </c>
      <c r="F42" s="108">
        <f t="shared" si="6"/>
        <v>0.14337913044314579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30598825</v>
      </c>
      <c r="D43" s="103">
        <f t="shared" si="4"/>
        <v>43609495</v>
      </c>
      <c r="E43" s="107">
        <f t="shared" si="5"/>
        <v>13010670</v>
      </c>
      <c r="F43" s="108">
        <f t="shared" si="6"/>
        <v>0.42520162130408601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46391330</v>
      </c>
      <c r="D44" s="103">
        <f t="shared" si="4"/>
        <v>52631855</v>
      </c>
      <c r="E44" s="107">
        <f t="shared" si="5"/>
        <v>6240525</v>
      </c>
      <c r="F44" s="108">
        <f t="shared" si="6"/>
        <v>0.13451920865385839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870817</v>
      </c>
      <c r="D45" s="103">
        <f t="shared" si="4"/>
        <v>1076701</v>
      </c>
      <c r="E45" s="107">
        <f t="shared" si="5"/>
        <v>205884</v>
      </c>
      <c r="F45" s="108">
        <f t="shared" si="6"/>
        <v>0.23642625258808683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10671703</v>
      </c>
      <c r="D46" s="103">
        <f t="shared" si="4"/>
        <v>12027908</v>
      </c>
      <c r="E46" s="107">
        <f t="shared" si="5"/>
        <v>1356205</v>
      </c>
      <c r="F46" s="108">
        <f t="shared" si="6"/>
        <v>0.12708421514354362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141967959</v>
      </c>
      <c r="D47" s="103">
        <f t="shared" si="4"/>
        <v>151150745</v>
      </c>
      <c r="E47" s="107">
        <f t="shared" si="5"/>
        <v>9182786</v>
      </c>
      <c r="F47" s="108">
        <f t="shared" si="6"/>
        <v>6.4682101966402145E-2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11088410</v>
      </c>
      <c r="D48" s="103">
        <f t="shared" si="4"/>
        <v>12514442</v>
      </c>
      <c r="E48" s="107">
        <f t="shared" si="5"/>
        <v>1426032</v>
      </c>
      <c r="F48" s="108">
        <f t="shared" si="6"/>
        <v>0.12860563417117513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10403387</v>
      </c>
      <c r="D49" s="103">
        <f t="shared" si="4"/>
        <v>10633998</v>
      </c>
      <c r="E49" s="107">
        <f t="shared" si="5"/>
        <v>230611</v>
      </c>
      <c r="F49" s="108">
        <f t="shared" si="6"/>
        <v>2.2166915447824828E-2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21904011</v>
      </c>
      <c r="D50" s="103">
        <f t="shared" si="4"/>
        <v>11799742</v>
      </c>
      <c r="E50" s="107">
        <f t="shared" si="5"/>
        <v>-10104269</v>
      </c>
      <c r="F50" s="108">
        <f t="shared" si="6"/>
        <v>-0.46129765913649329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453112160</v>
      </c>
      <c r="D52" s="112">
        <f>SUM(D41:D51)</f>
        <v>481019806</v>
      </c>
      <c r="E52" s="111">
        <f t="shared" si="5"/>
        <v>27907646</v>
      </c>
      <c r="F52" s="113">
        <f t="shared" si="6"/>
        <v>6.1591033001630324E-2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60520726</v>
      </c>
      <c r="D57" s="97">
        <v>58566351</v>
      </c>
      <c r="E57" s="97">
        <f t="shared" ref="E57:E68" si="7">D57-C57</f>
        <v>-1954375</v>
      </c>
      <c r="F57" s="98">
        <f t="shared" ref="F57:F68" si="8">IF(C57=0,0,E57/C57)</f>
        <v>-3.2292656238129068E-2</v>
      </c>
    </row>
    <row r="58" spans="1:6" ht="18" customHeight="1" x14ac:dyDescent="0.25">
      <c r="A58" s="99">
        <v>2</v>
      </c>
      <c r="B58" s="100" t="s">
        <v>113</v>
      </c>
      <c r="C58" s="97">
        <v>9219155</v>
      </c>
      <c r="D58" s="97">
        <v>10107225</v>
      </c>
      <c r="E58" s="97">
        <f t="shared" si="7"/>
        <v>888070</v>
      </c>
      <c r="F58" s="98">
        <f t="shared" si="8"/>
        <v>9.6328785013377036E-2</v>
      </c>
    </row>
    <row r="59" spans="1:6" ht="18" customHeight="1" x14ac:dyDescent="0.25">
      <c r="A59" s="99">
        <v>3</v>
      </c>
      <c r="B59" s="100" t="s">
        <v>114</v>
      </c>
      <c r="C59" s="97">
        <v>4585775</v>
      </c>
      <c r="D59" s="97">
        <v>7189780</v>
      </c>
      <c r="E59" s="97">
        <f t="shared" si="7"/>
        <v>2604005</v>
      </c>
      <c r="F59" s="98">
        <f t="shared" si="8"/>
        <v>0.56784403944807582</v>
      </c>
    </row>
    <row r="60" spans="1:6" ht="18" customHeight="1" x14ac:dyDescent="0.25">
      <c r="A60" s="99">
        <v>4</v>
      </c>
      <c r="B60" s="100" t="s">
        <v>115</v>
      </c>
      <c r="C60" s="97">
        <v>5117148</v>
      </c>
      <c r="D60" s="97">
        <v>5416203</v>
      </c>
      <c r="E60" s="97">
        <f t="shared" si="7"/>
        <v>299055</v>
      </c>
      <c r="F60" s="98">
        <f t="shared" si="8"/>
        <v>5.8441733559396761E-2</v>
      </c>
    </row>
    <row r="61" spans="1:6" ht="18" customHeight="1" x14ac:dyDescent="0.25">
      <c r="A61" s="99">
        <v>5</v>
      </c>
      <c r="B61" s="100" t="s">
        <v>116</v>
      </c>
      <c r="C61" s="97">
        <v>98729</v>
      </c>
      <c r="D61" s="97">
        <v>156393</v>
      </c>
      <c r="E61" s="97">
        <f t="shared" si="7"/>
        <v>57664</v>
      </c>
      <c r="F61" s="98">
        <f t="shared" si="8"/>
        <v>0.58406344640379215</v>
      </c>
    </row>
    <row r="62" spans="1:6" ht="18" customHeight="1" x14ac:dyDescent="0.25">
      <c r="A62" s="99">
        <v>6</v>
      </c>
      <c r="B62" s="100" t="s">
        <v>117</v>
      </c>
      <c r="C62" s="97">
        <v>2227407</v>
      </c>
      <c r="D62" s="97">
        <v>2096583</v>
      </c>
      <c r="E62" s="97">
        <f t="shared" si="7"/>
        <v>-130824</v>
      </c>
      <c r="F62" s="98">
        <f t="shared" si="8"/>
        <v>-5.8733765315454246E-2</v>
      </c>
    </row>
    <row r="63" spans="1:6" ht="18" customHeight="1" x14ac:dyDescent="0.25">
      <c r="A63" s="99">
        <v>7</v>
      </c>
      <c r="B63" s="100" t="s">
        <v>118</v>
      </c>
      <c r="C63" s="97">
        <v>29297569</v>
      </c>
      <c r="D63" s="97">
        <v>32957168</v>
      </c>
      <c r="E63" s="97">
        <f t="shared" si="7"/>
        <v>3659599</v>
      </c>
      <c r="F63" s="98">
        <f t="shared" si="8"/>
        <v>0.12491135356657065</v>
      </c>
    </row>
    <row r="64" spans="1:6" ht="18" customHeight="1" x14ac:dyDescent="0.25">
      <c r="A64" s="99">
        <v>8</v>
      </c>
      <c r="B64" s="100" t="s">
        <v>119</v>
      </c>
      <c r="C64" s="97">
        <v>4831925</v>
      </c>
      <c r="D64" s="97">
        <v>4990607</v>
      </c>
      <c r="E64" s="97">
        <f t="shared" si="7"/>
        <v>158682</v>
      </c>
      <c r="F64" s="98">
        <f t="shared" si="8"/>
        <v>3.2840327612700941E-2</v>
      </c>
    </row>
    <row r="65" spans="1:6" ht="18" customHeight="1" x14ac:dyDescent="0.25">
      <c r="A65" s="99">
        <v>9</v>
      </c>
      <c r="B65" s="100" t="s">
        <v>120</v>
      </c>
      <c r="C65" s="97">
        <v>22505</v>
      </c>
      <c r="D65" s="97">
        <v>19808</v>
      </c>
      <c r="E65" s="97">
        <f t="shared" si="7"/>
        <v>-2697</v>
      </c>
      <c r="F65" s="98">
        <f t="shared" si="8"/>
        <v>-0.11984003554765607</v>
      </c>
    </row>
    <row r="66" spans="1:6" ht="18" customHeight="1" x14ac:dyDescent="0.25">
      <c r="A66" s="99">
        <v>10</v>
      </c>
      <c r="B66" s="100" t="s">
        <v>121</v>
      </c>
      <c r="C66" s="97">
        <v>1511782</v>
      </c>
      <c r="D66" s="97">
        <v>979349</v>
      </c>
      <c r="E66" s="97">
        <f t="shared" si="7"/>
        <v>-532433</v>
      </c>
      <c r="F66" s="98">
        <f t="shared" si="8"/>
        <v>-0.35218900608685644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117432721</v>
      </c>
      <c r="D68" s="103">
        <f>SUM(D57:D67)</f>
        <v>122479467</v>
      </c>
      <c r="E68" s="103">
        <f t="shared" si="7"/>
        <v>5046746</v>
      </c>
      <c r="F68" s="104">
        <f t="shared" si="8"/>
        <v>4.297563708840571E-2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12415264</v>
      </c>
      <c r="D70" s="97">
        <v>12883244</v>
      </c>
      <c r="E70" s="97">
        <f t="shared" ref="E70:E81" si="9">D70-C70</f>
        <v>467980</v>
      </c>
      <c r="F70" s="98">
        <f t="shared" ref="F70:F81" si="10">IF(C70=0,0,E70/C70)</f>
        <v>3.7693922577884773E-2</v>
      </c>
    </row>
    <row r="71" spans="1:6" ht="18" customHeight="1" x14ac:dyDescent="0.25">
      <c r="A71" s="99">
        <v>2</v>
      </c>
      <c r="B71" s="100" t="s">
        <v>113</v>
      </c>
      <c r="C71" s="97">
        <v>2377934</v>
      </c>
      <c r="D71" s="97">
        <v>2875207</v>
      </c>
      <c r="E71" s="97">
        <f t="shared" si="9"/>
        <v>497273</v>
      </c>
      <c r="F71" s="98">
        <f t="shared" si="10"/>
        <v>0.20911976530887738</v>
      </c>
    </row>
    <row r="72" spans="1:6" ht="18" customHeight="1" x14ac:dyDescent="0.25">
      <c r="A72" s="99">
        <v>3</v>
      </c>
      <c r="B72" s="100" t="s">
        <v>114</v>
      </c>
      <c r="C72" s="97">
        <v>3100691</v>
      </c>
      <c r="D72" s="97">
        <v>4065152</v>
      </c>
      <c r="E72" s="97">
        <f t="shared" si="9"/>
        <v>964461</v>
      </c>
      <c r="F72" s="98">
        <f t="shared" si="10"/>
        <v>0.31104711820687714</v>
      </c>
    </row>
    <row r="73" spans="1:6" ht="18" customHeight="1" x14ac:dyDescent="0.25">
      <c r="A73" s="99">
        <v>4</v>
      </c>
      <c r="B73" s="100" t="s">
        <v>115</v>
      </c>
      <c r="C73" s="97">
        <v>8165332</v>
      </c>
      <c r="D73" s="97">
        <v>8662222</v>
      </c>
      <c r="E73" s="97">
        <f t="shared" si="9"/>
        <v>496890</v>
      </c>
      <c r="F73" s="98">
        <f t="shared" si="10"/>
        <v>6.0853618689356417E-2</v>
      </c>
    </row>
    <row r="74" spans="1:6" ht="18" customHeight="1" x14ac:dyDescent="0.25">
      <c r="A74" s="99">
        <v>5</v>
      </c>
      <c r="B74" s="100" t="s">
        <v>116</v>
      </c>
      <c r="C74" s="97">
        <v>219328</v>
      </c>
      <c r="D74" s="97">
        <v>176473</v>
      </c>
      <c r="E74" s="97">
        <f t="shared" si="9"/>
        <v>-42855</v>
      </c>
      <c r="F74" s="98">
        <f t="shared" si="10"/>
        <v>-0.19539228917420484</v>
      </c>
    </row>
    <row r="75" spans="1:6" ht="18" customHeight="1" x14ac:dyDescent="0.25">
      <c r="A75" s="99">
        <v>6</v>
      </c>
      <c r="B75" s="100" t="s">
        <v>117</v>
      </c>
      <c r="C75" s="97">
        <v>3344950</v>
      </c>
      <c r="D75" s="97">
        <v>3653116</v>
      </c>
      <c r="E75" s="97">
        <f t="shared" si="9"/>
        <v>308166</v>
      </c>
      <c r="F75" s="98">
        <f t="shared" si="10"/>
        <v>9.2128731371171474E-2</v>
      </c>
    </row>
    <row r="76" spans="1:6" ht="18" customHeight="1" x14ac:dyDescent="0.25">
      <c r="A76" s="99">
        <v>7</v>
      </c>
      <c r="B76" s="100" t="s">
        <v>118</v>
      </c>
      <c r="C76" s="97">
        <v>26102455</v>
      </c>
      <c r="D76" s="97">
        <v>23505617</v>
      </c>
      <c r="E76" s="97">
        <f t="shared" si="9"/>
        <v>-2596838</v>
      </c>
      <c r="F76" s="98">
        <f t="shared" si="10"/>
        <v>-9.9486350996486728E-2</v>
      </c>
    </row>
    <row r="77" spans="1:6" ht="18" customHeight="1" x14ac:dyDescent="0.25">
      <c r="A77" s="99">
        <v>8</v>
      </c>
      <c r="B77" s="100" t="s">
        <v>119</v>
      </c>
      <c r="C77" s="97">
        <v>3530214</v>
      </c>
      <c r="D77" s="97">
        <v>3667099</v>
      </c>
      <c r="E77" s="97">
        <f t="shared" si="9"/>
        <v>136885</v>
      </c>
      <c r="F77" s="98">
        <f t="shared" si="10"/>
        <v>3.8775269714527223E-2</v>
      </c>
    </row>
    <row r="78" spans="1:6" ht="18" customHeight="1" x14ac:dyDescent="0.25">
      <c r="A78" s="99">
        <v>9</v>
      </c>
      <c r="B78" s="100" t="s">
        <v>120</v>
      </c>
      <c r="C78" s="97">
        <v>309287</v>
      </c>
      <c r="D78" s="97">
        <v>229219</v>
      </c>
      <c r="E78" s="97">
        <f t="shared" si="9"/>
        <v>-80068</v>
      </c>
      <c r="F78" s="98">
        <f t="shared" si="10"/>
        <v>-0.25887929334242954</v>
      </c>
    </row>
    <row r="79" spans="1:6" ht="18" customHeight="1" x14ac:dyDescent="0.25">
      <c r="A79" s="99">
        <v>10</v>
      </c>
      <c r="B79" s="100" t="s">
        <v>121</v>
      </c>
      <c r="C79" s="97">
        <v>1277165</v>
      </c>
      <c r="D79" s="97">
        <v>788737</v>
      </c>
      <c r="E79" s="97">
        <f t="shared" si="9"/>
        <v>-488428</v>
      </c>
      <c r="F79" s="98">
        <f t="shared" si="10"/>
        <v>-0.38243140079786087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60842620</v>
      </c>
      <c r="D81" s="103">
        <f>SUM(D70:D80)</f>
        <v>60506086</v>
      </c>
      <c r="E81" s="103">
        <f t="shared" si="9"/>
        <v>-336534</v>
      </c>
      <c r="F81" s="104">
        <f t="shared" si="10"/>
        <v>-5.5312213708088179E-3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72935990</v>
      </c>
      <c r="D84" s="103">
        <f t="shared" si="11"/>
        <v>71449595</v>
      </c>
      <c r="E84" s="103">
        <f t="shared" ref="E84:E95" si="12">D84-C84</f>
        <v>-1486395</v>
      </c>
      <c r="F84" s="104">
        <f t="shared" ref="F84:F95" si="13">IF(C84=0,0,E84/C84)</f>
        <v>-2.0379445044894844E-2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11597089</v>
      </c>
      <c r="D85" s="103">
        <f t="shared" si="11"/>
        <v>12982432</v>
      </c>
      <c r="E85" s="103">
        <f t="shared" si="12"/>
        <v>1385343</v>
      </c>
      <c r="F85" s="104">
        <f t="shared" si="13"/>
        <v>0.11945609799148735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7686466</v>
      </c>
      <c r="D86" s="103">
        <f t="shared" si="11"/>
        <v>11254932</v>
      </c>
      <c r="E86" s="103">
        <f t="shared" si="12"/>
        <v>3568466</v>
      </c>
      <c r="F86" s="104">
        <f t="shared" si="13"/>
        <v>0.46425314312194965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13282480</v>
      </c>
      <c r="D87" s="103">
        <f t="shared" si="11"/>
        <v>14078425</v>
      </c>
      <c r="E87" s="103">
        <f t="shared" si="12"/>
        <v>795945</v>
      </c>
      <c r="F87" s="104">
        <f t="shared" si="13"/>
        <v>5.9924426763676659E-2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318057</v>
      </c>
      <c r="D88" s="103">
        <f t="shared" si="11"/>
        <v>332866</v>
      </c>
      <c r="E88" s="103">
        <f t="shared" si="12"/>
        <v>14809</v>
      </c>
      <c r="F88" s="104">
        <f t="shared" si="13"/>
        <v>4.6560836579606801E-2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5572357</v>
      </c>
      <c r="D89" s="103">
        <f t="shared" si="11"/>
        <v>5749699</v>
      </c>
      <c r="E89" s="103">
        <f t="shared" si="12"/>
        <v>177342</v>
      </c>
      <c r="F89" s="104">
        <f t="shared" si="13"/>
        <v>3.1825311981985363E-2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55400024</v>
      </c>
      <c r="D90" s="103">
        <f t="shared" si="11"/>
        <v>56462785</v>
      </c>
      <c r="E90" s="103">
        <f t="shared" si="12"/>
        <v>1062761</v>
      </c>
      <c r="F90" s="104">
        <f t="shared" si="13"/>
        <v>1.9183403241846971E-2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8362139</v>
      </c>
      <c r="D91" s="103">
        <f t="shared" si="11"/>
        <v>8657706</v>
      </c>
      <c r="E91" s="103">
        <f t="shared" si="12"/>
        <v>295567</v>
      </c>
      <c r="F91" s="104">
        <f t="shared" si="13"/>
        <v>3.5345860670338056E-2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331792</v>
      </c>
      <c r="D92" s="103">
        <f t="shared" si="11"/>
        <v>249027</v>
      </c>
      <c r="E92" s="103">
        <f t="shared" si="12"/>
        <v>-82765</v>
      </c>
      <c r="F92" s="104">
        <f t="shared" si="13"/>
        <v>-0.24944844963109417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2788947</v>
      </c>
      <c r="D93" s="103">
        <f t="shared" si="11"/>
        <v>1768086</v>
      </c>
      <c r="E93" s="103">
        <f t="shared" si="12"/>
        <v>-1020861</v>
      </c>
      <c r="F93" s="104">
        <f t="shared" si="13"/>
        <v>-0.36603814988237499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178275341</v>
      </c>
      <c r="D95" s="112">
        <f>SUM(D84:D94)</f>
        <v>182985553</v>
      </c>
      <c r="E95" s="112">
        <f t="shared" si="12"/>
        <v>4710212</v>
      </c>
      <c r="F95" s="113">
        <f t="shared" si="13"/>
        <v>2.6420995599161411E-2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4626</v>
      </c>
      <c r="D100" s="117">
        <v>4384</v>
      </c>
      <c r="E100" s="117">
        <f t="shared" ref="E100:E111" si="14">D100-C100</f>
        <v>-242</v>
      </c>
      <c r="F100" s="98">
        <f t="shared" ref="F100:F111" si="15">IF(C100=0,0,E100/C100)</f>
        <v>-5.2313013402507567E-2</v>
      </c>
    </row>
    <row r="101" spans="1:6" ht="18" customHeight="1" x14ac:dyDescent="0.25">
      <c r="A101" s="99">
        <v>2</v>
      </c>
      <c r="B101" s="100" t="s">
        <v>113</v>
      </c>
      <c r="C101" s="117">
        <v>674</v>
      </c>
      <c r="D101" s="117">
        <v>746</v>
      </c>
      <c r="E101" s="117">
        <f t="shared" si="14"/>
        <v>72</v>
      </c>
      <c r="F101" s="98">
        <f t="shared" si="15"/>
        <v>0.10682492581602374</v>
      </c>
    </row>
    <row r="102" spans="1:6" ht="18" customHeight="1" x14ac:dyDescent="0.25">
      <c r="A102" s="99">
        <v>3</v>
      </c>
      <c r="B102" s="100" t="s">
        <v>114</v>
      </c>
      <c r="C102" s="117">
        <v>1057</v>
      </c>
      <c r="D102" s="117">
        <v>1269</v>
      </c>
      <c r="E102" s="117">
        <f t="shared" si="14"/>
        <v>212</v>
      </c>
      <c r="F102" s="98">
        <f t="shared" si="15"/>
        <v>0.20056764427625354</v>
      </c>
    </row>
    <row r="103" spans="1:6" ht="18" customHeight="1" x14ac:dyDescent="0.25">
      <c r="A103" s="99">
        <v>4</v>
      </c>
      <c r="B103" s="100" t="s">
        <v>115</v>
      </c>
      <c r="C103" s="117">
        <v>1546</v>
      </c>
      <c r="D103" s="117">
        <v>1418</v>
      </c>
      <c r="E103" s="117">
        <f t="shared" si="14"/>
        <v>-128</v>
      </c>
      <c r="F103" s="98">
        <f t="shared" si="15"/>
        <v>-8.2794307891332478E-2</v>
      </c>
    </row>
    <row r="104" spans="1:6" ht="18" customHeight="1" x14ac:dyDescent="0.25">
      <c r="A104" s="99">
        <v>5</v>
      </c>
      <c r="B104" s="100" t="s">
        <v>116</v>
      </c>
      <c r="C104" s="117">
        <v>30</v>
      </c>
      <c r="D104" s="117">
        <v>48</v>
      </c>
      <c r="E104" s="117">
        <f t="shared" si="14"/>
        <v>18</v>
      </c>
      <c r="F104" s="98">
        <f t="shared" si="15"/>
        <v>0.6</v>
      </c>
    </row>
    <row r="105" spans="1:6" ht="18" customHeight="1" x14ac:dyDescent="0.25">
      <c r="A105" s="99">
        <v>6</v>
      </c>
      <c r="B105" s="100" t="s">
        <v>117</v>
      </c>
      <c r="C105" s="117">
        <v>194</v>
      </c>
      <c r="D105" s="117">
        <v>188</v>
      </c>
      <c r="E105" s="117">
        <f t="shared" si="14"/>
        <v>-6</v>
      </c>
      <c r="F105" s="98">
        <f t="shared" si="15"/>
        <v>-3.0927835051546393E-2</v>
      </c>
    </row>
    <row r="106" spans="1:6" ht="18" customHeight="1" x14ac:dyDescent="0.25">
      <c r="A106" s="99">
        <v>7</v>
      </c>
      <c r="B106" s="100" t="s">
        <v>118</v>
      </c>
      <c r="C106" s="117">
        <v>3409</v>
      </c>
      <c r="D106" s="117">
        <v>3453</v>
      </c>
      <c r="E106" s="117">
        <f t="shared" si="14"/>
        <v>44</v>
      </c>
      <c r="F106" s="98">
        <f t="shared" si="15"/>
        <v>1.2907010853622763E-2</v>
      </c>
    </row>
    <row r="107" spans="1:6" ht="18" customHeight="1" x14ac:dyDescent="0.25">
      <c r="A107" s="99">
        <v>8</v>
      </c>
      <c r="B107" s="100" t="s">
        <v>119</v>
      </c>
      <c r="C107" s="117">
        <v>157</v>
      </c>
      <c r="D107" s="117">
        <v>182</v>
      </c>
      <c r="E107" s="117">
        <f t="shared" si="14"/>
        <v>25</v>
      </c>
      <c r="F107" s="98">
        <f t="shared" si="15"/>
        <v>0.15923566878980891</v>
      </c>
    </row>
    <row r="108" spans="1:6" ht="18" customHeight="1" x14ac:dyDescent="0.25">
      <c r="A108" s="99">
        <v>9</v>
      </c>
      <c r="B108" s="100" t="s">
        <v>120</v>
      </c>
      <c r="C108" s="117">
        <v>196</v>
      </c>
      <c r="D108" s="117">
        <v>184</v>
      </c>
      <c r="E108" s="117">
        <f t="shared" si="14"/>
        <v>-12</v>
      </c>
      <c r="F108" s="98">
        <f t="shared" si="15"/>
        <v>-6.1224489795918366E-2</v>
      </c>
    </row>
    <row r="109" spans="1:6" ht="18" customHeight="1" x14ac:dyDescent="0.25">
      <c r="A109" s="99">
        <v>10</v>
      </c>
      <c r="B109" s="100" t="s">
        <v>121</v>
      </c>
      <c r="C109" s="117">
        <v>573</v>
      </c>
      <c r="D109" s="117">
        <v>336</v>
      </c>
      <c r="E109" s="117">
        <f t="shared" si="14"/>
        <v>-237</v>
      </c>
      <c r="F109" s="98">
        <f t="shared" si="15"/>
        <v>-0.41361256544502617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12462</v>
      </c>
      <c r="D111" s="118">
        <f>SUM(D100:D110)</f>
        <v>12208</v>
      </c>
      <c r="E111" s="118">
        <f t="shared" si="14"/>
        <v>-254</v>
      </c>
      <c r="F111" s="104">
        <f t="shared" si="15"/>
        <v>-2.0381961161932274E-2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24369</v>
      </c>
      <c r="D113" s="117">
        <v>21893</v>
      </c>
      <c r="E113" s="117">
        <f t="shared" ref="E113:E124" si="16">D113-C113</f>
        <v>-2476</v>
      </c>
      <c r="F113" s="98">
        <f t="shared" ref="F113:F124" si="17">IF(C113=0,0,E113/C113)</f>
        <v>-0.10160449751733761</v>
      </c>
    </row>
    <row r="114" spans="1:6" ht="18" customHeight="1" x14ac:dyDescent="0.25">
      <c r="A114" s="99">
        <v>2</v>
      </c>
      <c r="B114" s="100" t="s">
        <v>113</v>
      </c>
      <c r="C114" s="117">
        <v>3520</v>
      </c>
      <c r="D114" s="117">
        <v>3777</v>
      </c>
      <c r="E114" s="117">
        <f t="shared" si="16"/>
        <v>257</v>
      </c>
      <c r="F114" s="98">
        <f t="shared" si="17"/>
        <v>7.3011363636363638E-2</v>
      </c>
    </row>
    <row r="115" spans="1:6" ht="18" customHeight="1" x14ac:dyDescent="0.25">
      <c r="A115" s="99">
        <v>3</v>
      </c>
      <c r="B115" s="100" t="s">
        <v>114</v>
      </c>
      <c r="C115" s="117">
        <v>4844</v>
      </c>
      <c r="D115" s="117">
        <v>6084</v>
      </c>
      <c r="E115" s="117">
        <f t="shared" si="16"/>
        <v>1240</v>
      </c>
      <c r="F115" s="98">
        <f t="shared" si="17"/>
        <v>0.25598678777869527</v>
      </c>
    </row>
    <row r="116" spans="1:6" ht="18" customHeight="1" x14ac:dyDescent="0.25">
      <c r="A116" s="99">
        <v>4</v>
      </c>
      <c r="B116" s="100" t="s">
        <v>115</v>
      </c>
      <c r="C116" s="117">
        <v>4518</v>
      </c>
      <c r="D116" s="117">
        <v>4611</v>
      </c>
      <c r="E116" s="117">
        <f t="shared" si="16"/>
        <v>93</v>
      </c>
      <c r="F116" s="98">
        <f t="shared" si="17"/>
        <v>2.0584329349269587E-2</v>
      </c>
    </row>
    <row r="117" spans="1:6" ht="18" customHeight="1" x14ac:dyDescent="0.25">
      <c r="A117" s="99">
        <v>5</v>
      </c>
      <c r="B117" s="100" t="s">
        <v>116</v>
      </c>
      <c r="C117" s="117">
        <v>74</v>
      </c>
      <c r="D117" s="117">
        <v>175</v>
      </c>
      <c r="E117" s="117">
        <f t="shared" si="16"/>
        <v>101</v>
      </c>
      <c r="F117" s="98">
        <f t="shared" si="17"/>
        <v>1.3648648648648649</v>
      </c>
    </row>
    <row r="118" spans="1:6" ht="18" customHeight="1" x14ac:dyDescent="0.25">
      <c r="A118" s="99">
        <v>6</v>
      </c>
      <c r="B118" s="100" t="s">
        <v>117</v>
      </c>
      <c r="C118" s="117">
        <v>806</v>
      </c>
      <c r="D118" s="117">
        <v>729</v>
      </c>
      <c r="E118" s="117">
        <f t="shared" si="16"/>
        <v>-77</v>
      </c>
      <c r="F118" s="98">
        <f t="shared" si="17"/>
        <v>-9.553349875930521E-2</v>
      </c>
    </row>
    <row r="119" spans="1:6" ht="18" customHeight="1" x14ac:dyDescent="0.25">
      <c r="A119" s="99">
        <v>7</v>
      </c>
      <c r="B119" s="100" t="s">
        <v>118</v>
      </c>
      <c r="C119" s="117">
        <v>11282</v>
      </c>
      <c r="D119" s="117">
        <v>12560</v>
      </c>
      <c r="E119" s="117">
        <f t="shared" si="16"/>
        <v>1278</v>
      </c>
      <c r="F119" s="98">
        <f t="shared" si="17"/>
        <v>0.11327778762630739</v>
      </c>
    </row>
    <row r="120" spans="1:6" ht="18" customHeight="1" x14ac:dyDescent="0.25">
      <c r="A120" s="99">
        <v>8</v>
      </c>
      <c r="B120" s="100" t="s">
        <v>119</v>
      </c>
      <c r="C120" s="117">
        <v>405</v>
      </c>
      <c r="D120" s="117">
        <v>518</v>
      </c>
      <c r="E120" s="117">
        <f t="shared" si="16"/>
        <v>113</v>
      </c>
      <c r="F120" s="98">
        <f t="shared" si="17"/>
        <v>0.27901234567901234</v>
      </c>
    </row>
    <row r="121" spans="1:6" ht="18" customHeight="1" x14ac:dyDescent="0.25">
      <c r="A121" s="99">
        <v>9</v>
      </c>
      <c r="B121" s="100" t="s">
        <v>120</v>
      </c>
      <c r="C121" s="117">
        <v>566</v>
      </c>
      <c r="D121" s="117">
        <v>647</v>
      </c>
      <c r="E121" s="117">
        <f t="shared" si="16"/>
        <v>81</v>
      </c>
      <c r="F121" s="98">
        <f t="shared" si="17"/>
        <v>0.14310954063604239</v>
      </c>
    </row>
    <row r="122" spans="1:6" ht="18" customHeight="1" x14ac:dyDescent="0.25">
      <c r="A122" s="99">
        <v>10</v>
      </c>
      <c r="B122" s="100" t="s">
        <v>121</v>
      </c>
      <c r="C122" s="117">
        <v>2712</v>
      </c>
      <c r="D122" s="117">
        <v>1613</v>
      </c>
      <c r="E122" s="117">
        <f t="shared" si="16"/>
        <v>-1099</v>
      </c>
      <c r="F122" s="98">
        <f t="shared" si="17"/>
        <v>-0.40523598820058998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53096</v>
      </c>
      <c r="D124" s="118">
        <f>SUM(D113:D123)</f>
        <v>52607</v>
      </c>
      <c r="E124" s="118">
        <f t="shared" si="16"/>
        <v>-489</v>
      </c>
      <c r="F124" s="104">
        <f t="shared" si="17"/>
        <v>-9.2097333132439355E-3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50072</v>
      </c>
      <c r="D126" s="117">
        <v>49625</v>
      </c>
      <c r="E126" s="117">
        <f t="shared" ref="E126:E137" si="18">D126-C126</f>
        <v>-447</v>
      </c>
      <c r="F126" s="98">
        <f t="shared" ref="F126:F137" si="19">IF(C126=0,0,E126/C126)</f>
        <v>-8.9271449113276884E-3</v>
      </c>
    </row>
    <row r="127" spans="1:6" ht="18" customHeight="1" x14ac:dyDescent="0.25">
      <c r="A127" s="99">
        <v>2</v>
      </c>
      <c r="B127" s="100" t="s">
        <v>113</v>
      </c>
      <c r="C127" s="117">
        <v>9720</v>
      </c>
      <c r="D127" s="117">
        <v>11749</v>
      </c>
      <c r="E127" s="117">
        <f t="shared" si="18"/>
        <v>2029</v>
      </c>
      <c r="F127" s="98">
        <f t="shared" si="19"/>
        <v>0.2087448559670782</v>
      </c>
    </row>
    <row r="128" spans="1:6" ht="18" customHeight="1" x14ac:dyDescent="0.25">
      <c r="A128" s="99">
        <v>3</v>
      </c>
      <c r="B128" s="100" t="s">
        <v>114</v>
      </c>
      <c r="C128" s="117">
        <v>13612</v>
      </c>
      <c r="D128" s="117">
        <v>18056</v>
      </c>
      <c r="E128" s="117">
        <f t="shared" si="18"/>
        <v>4444</v>
      </c>
      <c r="F128" s="98">
        <f t="shared" si="19"/>
        <v>0.3264766382603585</v>
      </c>
    </row>
    <row r="129" spans="1:6" ht="18" customHeight="1" x14ac:dyDescent="0.25">
      <c r="A129" s="99">
        <v>4</v>
      </c>
      <c r="B129" s="100" t="s">
        <v>115</v>
      </c>
      <c r="C129" s="117">
        <v>36364</v>
      </c>
      <c r="D129" s="117">
        <v>38288</v>
      </c>
      <c r="E129" s="117">
        <f t="shared" si="18"/>
        <v>1924</v>
      </c>
      <c r="F129" s="98">
        <f t="shared" si="19"/>
        <v>5.2909470905290946E-2</v>
      </c>
    </row>
    <row r="130" spans="1:6" ht="18" customHeight="1" x14ac:dyDescent="0.25">
      <c r="A130" s="99">
        <v>5</v>
      </c>
      <c r="B130" s="100" t="s">
        <v>116</v>
      </c>
      <c r="C130" s="117">
        <v>712</v>
      </c>
      <c r="D130" s="117">
        <v>655</v>
      </c>
      <c r="E130" s="117">
        <f t="shared" si="18"/>
        <v>-57</v>
      </c>
      <c r="F130" s="98">
        <f t="shared" si="19"/>
        <v>-8.00561797752809E-2</v>
      </c>
    </row>
    <row r="131" spans="1:6" ht="18" customHeight="1" x14ac:dyDescent="0.25">
      <c r="A131" s="99">
        <v>6</v>
      </c>
      <c r="B131" s="100" t="s">
        <v>117</v>
      </c>
      <c r="C131" s="117">
        <v>5238</v>
      </c>
      <c r="D131" s="117">
        <v>5726</v>
      </c>
      <c r="E131" s="117">
        <f t="shared" si="18"/>
        <v>488</v>
      </c>
      <c r="F131" s="98">
        <f t="shared" si="19"/>
        <v>9.3165330278732347E-2</v>
      </c>
    </row>
    <row r="132" spans="1:6" ht="18" customHeight="1" x14ac:dyDescent="0.25">
      <c r="A132" s="99">
        <v>7</v>
      </c>
      <c r="B132" s="100" t="s">
        <v>118</v>
      </c>
      <c r="C132" s="117">
        <v>84796</v>
      </c>
      <c r="D132" s="117">
        <v>83329</v>
      </c>
      <c r="E132" s="117">
        <f t="shared" si="18"/>
        <v>-1467</v>
      </c>
      <c r="F132" s="98">
        <f t="shared" si="19"/>
        <v>-1.7300344355865842E-2</v>
      </c>
    </row>
    <row r="133" spans="1:6" ht="18" customHeight="1" x14ac:dyDescent="0.25">
      <c r="A133" s="99">
        <v>8</v>
      </c>
      <c r="B133" s="100" t="s">
        <v>119</v>
      </c>
      <c r="C133" s="117">
        <v>2717</v>
      </c>
      <c r="D133" s="117">
        <v>2679</v>
      </c>
      <c r="E133" s="117">
        <f t="shared" si="18"/>
        <v>-38</v>
      </c>
      <c r="F133" s="98">
        <f t="shared" si="19"/>
        <v>-1.3986013986013986E-2</v>
      </c>
    </row>
    <row r="134" spans="1:6" ht="18" customHeight="1" x14ac:dyDescent="0.25">
      <c r="A134" s="99">
        <v>9</v>
      </c>
      <c r="B134" s="100" t="s">
        <v>120</v>
      </c>
      <c r="C134" s="117">
        <v>8870</v>
      </c>
      <c r="D134" s="117">
        <v>8625</v>
      </c>
      <c r="E134" s="117">
        <f t="shared" si="18"/>
        <v>-245</v>
      </c>
      <c r="F134" s="98">
        <f t="shared" si="19"/>
        <v>-2.7621195039458851E-2</v>
      </c>
    </row>
    <row r="135" spans="1:6" ht="18" customHeight="1" x14ac:dyDescent="0.25">
      <c r="A135" s="99">
        <v>10</v>
      </c>
      <c r="B135" s="100" t="s">
        <v>121</v>
      </c>
      <c r="C135" s="117">
        <v>11242</v>
      </c>
      <c r="D135" s="117">
        <v>5231</v>
      </c>
      <c r="E135" s="117">
        <f t="shared" si="18"/>
        <v>-6011</v>
      </c>
      <c r="F135" s="98">
        <f t="shared" si="19"/>
        <v>-0.53469133606119912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223343</v>
      </c>
      <c r="D137" s="118">
        <f>SUM(D126:D136)</f>
        <v>223963</v>
      </c>
      <c r="E137" s="118">
        <f t="shared" si="18"/>
        <v>620</v>
      </c>
      <c r="F137" s="104">
        <f t="shared" si="19"/>
        <v>2.775999247793752E-3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12947298</v>
      </c>
      <c r="D142" s="97">
        <v>14870663</v>
      </c>
      <c r="E142" s="97">
        <f t="shared" ref="E142:E153" si="20">D142-C142</f>
        <v>1923365</v>
      </c>
      <c r="F142" s="98">
        <f t="shared" ref="F142:F153" si="21">IF(C142=0,0,E142/C142)</f>
        <v>0.14855338928632059</v>
      </c>
    </row>
    <row r="143" spans="1:6" ht="18" customHeight="1" x14ac:dyDescent="0.25">
      <c r="A143" s="99">
        <v>2</v>
      </c>
      <c r="B143" s="100" t="s">
        <v>113</v>
      </c>
      <c r="C143" s="97">
        <v>2218559</v>
      </c>
      <c r="D143" s="97">
        <v>2545683</v>
      </c>
      <c r="E143" s="97">
        <f t="shared" si="20"/>
        <v>327124</v>
      </c>
      <c r="F143" s="98">
        <f t="shared" si="21"/>
        <v>0.14744886207669031</v>
      </c>
    </row>
    <row r="144" spans="1:6" ht="18" customHeight="1" x14ac:dyDescent="0.25">
      <c r="A144" s="99">
        <v>3</v>
      </c>
      <c r="B144" s="100" t="s">
        <v>114</v>
      </c>
      <c r="C144" s="97">
        <v>8081211</v>
      </c>
      <c r="D144" s="97">
        <v>7531290</v>
      </c>
      <c r="E144" s="97">
        <f t="shared" si="20"/>
        <v>-549921</v>
      </c>
      <c r="F144" s="98">
        <f t="shared" si="21"/>
        <v>-6.8049330725308374E-2</v>
      </c>
    </row>
    <row r="145" spans="1:6" ht="18" customHeight="1" x14ac:dyDescent="0.25">
      <c r="A145" s="99">
        <v>4</v>
      </c>
      <c r="B145" s="100" t="s">
        <v>115</v>
      </c>
      <c r="C145" s="97">
        <v>22257276</v>
      </c>
      <c r="D145" s="97">
        <v>24823929</v>
      </c>
      <c r="E145" s="97">
        <f t="shared" si="20"/>
        <v>2566653</v>
      </c>
      <c r="F145" s="98">
        <f t="shared" si="21"/>
        <v>0.11531748089927986</v>
      </c>
    </row>
    <row r="146" spans="1:6" ht="18" customHeight="1" x14ac:dyDescent="0.25">
      <c r="A146" s="99">
        <v>5</v>
      </c>
      <c r="B146" s="100" t="s">
        <v>116</v>
      </c>
      <c r="C146" s="97">
        <v>210371</v>
      </c>
      <c r="D146" s="97">
        <v>246268</v>
      </c>
      <c r="E146" s="97">
        <f t="shared" si="20"/>
        <v>35897</v>
      </c>
      <c r="F146" s="98">
        <f t="shared" si="21"/>
        <v>0.17063663717907887</v>
      </c>
    </row>
    <row r="147" spans="1:6" ht="18" customHeight="1" x14ac:dyDescent="0.25">
      <c r="A147" s="99">
        <v>6</v>
      </c>
      <c r="B147" s="100" t="s">
        <v>117</v>
      </c>
      <c r="C147" s="97">
        <v>2276831</v>
      </c>
      <c r="D147" s="97">
        <v>2765304</v>
      </c>
      <c r="E147" s="97">
        <f t="shared" si="20"/>
        <v>488473</v>
      </c>
      <c r="F147" s="98">
        <f t="shared" si="21"/>
        <v>0.21454073666424955</v>
      </c>
    </row>
    <row r="148" spans="1:6" ht="18" customHeight="1" x14ac:dyDescent="0.25">
      <c r="A148" s="99">
        <v>7</v>
      </c>
      <c r="B148" s="100" t="s">
        <v>118</v>
      </c>
      <c r="C148" s="97">
        <v>18547040</v>
      </c>
      <c r="D148" s="97">
        <v>20020071</v>
      </c>
      <c r="E148" s="97">
        <f t="shared" si="20"/>
        <v>1473031</v>
      </c>
      <c r="F148" s="98">
        <f t="shared" si="21"/>
        <v>7.9421352409872414E-2</v>
      </c>
    </row>
    <row r="149" spans="1:6" ht="18" customHeight="1" x14ac:dyDescent="0.25">
      <c r="A149" s="99">
        <v>8</v>
      </c>
      <c r="B149" s="100" t="s">
        <v>119</v>
      </c>
      <c r="C149" s="97">
        <v>1171002</v>
      </c>
      <c r="D149" s="97">
        <v>1196537</v>
      </c>
      <c r="E149" s="97">
        <f t="shared" si="20"/>
        <v>25535</v>
      </c>
      <c r="F149" s="98">
        <f t="shared" si="21"/>
        <v>2.1806111347376009E-2</v>
      </c>
    </row>
    <row r="150" spans="1:6" ht="18" customHeight="1" x14ac:dyDescent="0.25">
      <c r="A150" s="99">
        <v>9</v>
      </c>
      <c r="B150" s="100" t="s">
        <v>120</v>
      </c>
      <c r="C150" s="97">
        <v>7313277</v>
      </c>
      <c r="D150" s="97">
        <v>7362461</v>
      </c>
      <c r="E150" s="97">
        <f t="shared" si="20"/>
        <v>49184</v>
      </c>
      <c r="F150" s="98">
        <f t="shared" si="21"/>
        <v>6.7253024875168817E-3</v>
      </c>
    </row>
    <row r="151" spans="1:6" ht="18" customHeight="1" x14ac:dyDescent="0.25">
      <c r="A151" s="99">
        <v>10</v>
      </c>
      <c r="B151" s="100" t="s">
        <v>121</v>
      </c>
      <c r="C151" s="97">
        <v>7902175</v>
      </c>
      <c r="D151" s="97">
        <v>8592011</v>
      </c>
      <c r="E151" s="97">
        <f t="shared" si="20"/>
        <v>689836</v>
      </c>
      <c r="F151" s="98">
        <f t="shared" si="21"/>
        <v>8.7296978363551811E-2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82925040</v>
      </c>
      <c r="D153" s="103">
        <f>SUM(D142:D152)</f>
        <v>89954217</v>
      </c>
      <c r="E153" s="103">
        <f t="shared" si="20"/>
        <v>7029177</v>
      </c>
      <c r="F153" s="104">
        <f t="shared" si="21"/>
        <v>8.4765433938892285E-2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2230800</v>
      </c>
      <c r="D155" s="97">
        <v>2351142</v>
      </c>
      <c r="E155" s="97">
        <f t="shared" ref="E155:E166" si="22">D155-C155</f>
        <v>120342</v>
      </c>
      <c r="F155" s="98">
        <f t="shared" ref="F155:F166" si="23">IF(C155=0,0,E155/C155)</f>
        <v>5.3945669714900481E-2</v>
      </c>
    </row>
    <row r="156" spans="1:6" ht="18" customHeight="1" x14ac:dyDescent="0.25">
      <c r="A156" s="99">
        <v>2</v>
      </c>
      <c r="B156" s="100" t="s">
        <v>113</v>
      </c>
      <c r="C156" s="97">
        <v>393593</v>
      </c>
      <c r="D156" s="97">
        <v>426866</v>
      </c>
      <c r="E156" s="97">
        <f t="shared" si="22"/>
        <v>33273</v>
      </c>
      <c r="F156" s="98">
        <f t="shared" si="23"/>
        <v>8.4536564420607072E-2</v>
      </c>
    </row>
    <row r="157" spans="1:6" ht="18" customHeight="1" x14ac:dyDescent="0.25">
      <c r="A157" s="99">
        <v>3</v>
      </c>
      <c r="B157" s="100" t="s">
        <v>114</v>
      </c>
      <c r="C157" s="97">
        <v>1173625</v>
      </c>
      <c r="D157" s="97">
        <v>1044731</v>
      </c>
      <c r="E157" s="97">
        <f t="shared" si="22"/>
        <v>-128894</v>
      </c>
      <c r="F157" s="98">
        <f t="shared" si="23"/>
        <v>-0.10982554052614762</v>
      </c>
    </row>
    <row r="158" spans="1:6" ht="18" customHeight="1" x14ac:dyDescent="0.25">
      <c r="A158" s="99">
        <v>4</v>
      </c>
      <c r="B158" s="100" t="s">
        <v>115</v>
      </c>
      <c r="C158" s="97">
        <v>3459795</v>
      </c>
      <c r="D158" s="97">
        <v>3450242</v>
      </c>
      <c r="E158" s="97">
        <f t="shared" si="22"/>
        <v>-9553</v>
      </c>
      <c r="F158" s="98">
        <f t="shared" si="23"/>
        <v>-2.7611462528849252E-3</v>
      </c>
    </row>
    <row r="159" spans="1:6" ht="18" customHeight="1" x14ac:dyDescent="0.25">
      <c r="A159" s="99">
        <v>5</v>
      </c>
      <c r="B159" s="100" t="s">
        <v>116</v>
      </c>
      <c r="C159" s="97">
        <v>82908</v>
      </c>
      <c r="D159" s="97">
        <v>52941</v>
      </c>
      <c r="E159" s="97">
        <f t="shared" si="22"/>
        <v>-29967</v>
      </c>
      <c r="F159" s="98">
        <f t="shared" si="23"/>
        <v>-0.36144883485309015</v>
      </c>
    </row>
    <row r="160" spans="1:6" ht="18" customHeight="1" x14ac:dyDescent="0.25">
      <c r="A160" s="99">
        <v>6</v>
      </c>
      <c r="B160" s="100" t="s">
        <v>117</v>
      </c>
      <c r="C160" s="97">
        <v>884653</v>
      </c>
      <c r="D160" s="97">
        <v>938654</v>
      </c>
      <c r="E160" s="97">
        <f t="shared" si="22"/>
        <v>54001</v>
      </c>
      <c r="F160" s="98">
        <f t="shared" si="23"/>
        <v>6.1042013083095856E-2</v>
      </c>
    </row>
    <row r="161" spans="1:6" ht="18" customHeight="1" x14ac:dyDescent="0.25">
      <c r="A161" s="99">
        <v>7</v>
      </c>
      <c r="B161" s="100" t="s">
        <v>118</v>
      </c>
      <c r="C161" s="97">
        <v>5169881</v>
      </c>
      <c r="D161" s="97">
        <v>5662082</v>
      </c>
      <c r="E161" s="97">
        <f t="shared" si="22"/>
        <v>492201</v>
      </c>
      <c r="F161" s="98">
        <f t="shared" si="23"/>
        <v>9.5205479584539759E-2</v>
      </c>
    </row>
    <row r="162" spans="1:6" ht="18" customHeight="1" x14ac:dyDescent="0.25">
      <c r="A162" s="99">
        <v>8</v>
      </c>
      <c r="B162" s="100" t="s">
        <v>119</v>
      </c>
      <c r="C162" s="97">
        <v>763026</v>
      </c>
      <c r="D162" s="97">
        <v>620748</v>
      </c>
      <c r="E162" s="97">
        <f t="shared" si="22"/>
        <v>-142278</v>
      </c>
      <c r="F162" s="98">
        <f t="shared" si="23"/>
        <v>-0.18646546775601355</v>
      </c>
    </row>
    <row r="163" spans="1:6" ht="18" customHeight="1" x14ac:dyDescent="0.25">
      <c r="A163" s="99">
        <v>9</v>
      </c>
      <c r="B163" s="100" t="s">
        <v>120</v>
      </c>
      <c r="C163" s="97">
        <v>107518</v>
      </c>
      <c r="D163" s="97">
        <v>91931</v>
      </c>
      <c r="E163" s="97">
        <f t="shared" si="22"/>
        <v>-15587</v>
      </c>
      <c r="F163" s="98">
        <f t="shared" si="23"/>
        <v>-0.14497107461076286</v>
      </c>
    </row>
    <row r="164" spans="1:6" ht="18" customHeight="1" x14ac:dyDescent="0.25">
      <c r="A164" s="99">
        <v>10</v>
      </c>
      <c r="B164" s="100" t="s">
        <v>121</v>
      </c>
      <c r="C164" s="97">
        <v>543149</v>
      </c>
      <c r="D164" s="97">
        <v>831589</v>
      </c>
      <c r="E164" s="97">
        <f t="shared" si="22"/>
        <v>288440</v>
      </c>
      <c r="F164" s="98">
        <f t="shared" si="23"/>
        <v>0.53105133213906308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14808948</v>
      </c>
      <c r="D166" s="103">
        <f>SUM(D155:D165)</f>
        <v>15470926</v>
      </c>
      <c r="E166" s="103">
        <f t="shared" si="22"/>
        <v>661978</v>
      </c>
      <c r="F166" s="104">
        <f t="shared" si="23"/>
        <v>4.4701217128995253E-2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7327</v>
      </c>
      <c r="D168" s="117">
        <v>7603</v>
      </c>
      <c r="E168" s="117">
        <f t="shared" ref="E168:E179" si="24">D168-C168</f>
        <v>276</v>
      </c>
      <c r="F168" s="98">
        <f t="shared" ref="F168:F179" si="25">IF(C168=0,0,E168/C168)</f>
        <v>3.7668895864610343E-2</v>
      </c>
    </row>
    <row r="169" spans="1:6" ht="18" customHeight="1" x14ac:dyDescent="0.25">
      <c r="A169" s="99">
        <v>2</v>
      </c>
      <c r="B169" s="100" t="s">
        <v>113</v>
      </c>
      <c r="C169" s="117">
        <v>1267</v>
      </c>
      <c r="D169" s="117">
        <v>1308</v>
      </c>
      <c r="E169" s="117">
        <f t="shared" si="24"/>
        <v>41</v>
      </c>
      <c r="F169" s="98">
        <f t="shared" si="25"/>
        <v>3.235990528808208E-2</v>
      </c>
    </row>
    <row r="170" spans="1:6" ht="18" customHeight="1" x14ac:dyDescent="0.25">
      <c r="A170" s="99">
        <v>3</v>
      </c>
      <c r="B170" s="100" t="s">
        <v>114</v>
      </c>
      <c r="C170" s="117">
        <v>6218</v>
      </c>
      <c r="D170" s="117">
        <v>5285</v>
      </c>
      <c r="E170" s="117">
        <f t="shared" si="24"/>
        <v>-933</v>
      </c>
      <c r="F170" s="98">
        <f t="shared" si="25"/>
        <v>-0.1500482470247668</v>
      </c>
    </row>
    <row r="171" spans="1:6" ht="18" customHeight="1" x14ac:dyDescent="0.25">
      <c r="A171" s="99">
        <v>4</v>
      </c>
      <c r="B171" s="100" t="s">
        <v>115</v>
      </c>
      <c r="C171" s="117">
        <v>20464</v>
      </c>
      <c r="D171" s="117">
        <v>20633</v>
      </c>
      <c r="E171" s="117">
        <f t="shared" si="24"/>
        <v>169</v>
      </c>
      <c r="F171" s="98">
        <f t="shared" si="25"/>
        <v>8.2584050039093033E-3</v>
      </c>
    </row>
    <row r="172" spans="1:6" ht="18" customHeight="1" x14ac:dyDescent="0.25">
      <c r="A172" s="99">
        <v>5</v>
      </c>
      <c r="B172" s="100" t="s">
        <v>116</v>
      </c>
      <c r="C172" s="117">
        <v>182</v>
      </c>
      <c r="D172" s="117">
        <v>175</v>
      </c>
      <c r="E172" s="117">
        <f t="shared" si="24"/>
        <v>-7</v>
      </c>
      <c r="F172" s="98">
        <f t="shared" si="25"/>
        <v>-3.8461538461538464E-2</v>
      </c>
    </row>
    <row r="173" spans="1:6" ht="18" customHeight="1" x14ac:dyDescent="0.25">
      <c r="A173" s="99">
        <v>6</v>
      </c>
      <c r="B173" s="100" t="s">
        <v>117</v>
      </c>
      <c r="C173" s="117">
        <v>1396</v>
      </c>
      <c r="D173" s="117">
        <v>1523</v>
      </c>
      <c r="E173" s="117">
        <f t="shared" si="24"/>
        <v>127</v>
      </c>
      <c r="F173" s="98">
        <f t="shared" si="25"/>
        <v>9.0974212034383953E-2</v>
      </c>
    </row>
    <row r="174" spans="1:6" ht="18" customHeight="1" x14ac:dyDescent="0.25">
      <c r="A174" s="99">
        <v>7</v>
      </c>
      <c r="B174" s="100" t="s">
        <v>118</v>
      </c>
      <c r="C174" s="117">
        <v>12036</v>
      </c>
      <c r="D174" s="117">
        <v>11522</v>
      </c>
      <c r="E174" s="117">
        <f t="shared" si="24"/>
        <v>-514</v>
      </c>
      <c r="F174" s="98">
        <f t="shared" si="25"/>
        <v>-4.2705217680292458E-2</v>
      </c>
    </row>
    <row r="175" spans="1:6" ht="18" customHeight="1" x14ac:dyDescent="0.25">
      <c r="A175" s="99">
        <v>8</v>
      </c>
      <c r="B175" s="100" t="s">
        <v>119</v>
      </c>
      <c r="C175" s="117">
        <v>951</v>
      </c>
      <c r="D175" s="117">
        <v>880</v>
      </c>
      <c r="E175" s="117">
        <f t="shared" si="24"/>
        <v>-71</v>
      </c>
      <c r="F175" s="98">
        <f t="shared" si="25"/>
        <v>-7.4658254468980015E-2</v>
      </c>
    </row>
    <row r="176" spans="1:6" ht="18" customHeight="1" x14ac:dyDescent="0.25">
      <c r="A176" s="99">
        <v>9</v>
      </c>
      <c r="B176" s="100" t="s">
        <v>120</v>
      </c>
      <c r="C176" s="117">
        <v>5760</v>
      </c>
      <c r="D176" s="117">
        <v>5501</v>
      </c>
      <c r="E176" s="117">
        <f t="shared" si="24"/>
        <v>-259</v>
      </c>
      <c r="F176" s="98">
        <f t="shared" si="25"/>
        <v>-4.4965277777777778E-2</v>
      </c>
    </row>
    <row r="177" spans="1:6" ht="18" customHeight="1" x14ac:dyDescent="0.25">
      <c r="A177" s="99">
        <v>10</v>
      </c>
      <c r="B177" s="100" t="s">
        <v>121</v>
      </c>
      <c r="C177" s="117">
        <v>6383</v>
      </c>
      <c r="D177" s="117">
        <v>6097</v>
      </c>
      <c r="E177" s="117">
        <f t="shared" si="24"/>
        <v>-286</v>
      </c>
      <c r="F177" s="98">
        <f t="shared" si="25"/>
        <v>-4.4806517311608958E-2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61984</v>
      </c>
      <c r="D179" s="118">
        <f>SUM(D168:D178)</f>
        <v>60527</v>
      </c>
      <c r="E179" s="118">
        <f t="shared" si="24"/>
        <v>-1457</v>
      </c>
      <c r="F179" s="104">
        <f t="shared" si="25"/>
        <v>-2.3506066081569438E-2</v>
      </c>
    </row>
  </sheetData>
  <mergeCells count="23">
    <mergeCell ref="A10:A11"/>
    <mergeCell ref="B10:B11"/>
    <mergeCell ref="C10:F11"/>
    <mergeCell ref="A2:F2"/>
    <mergeCell ref="A3:F3"/>
    <mergeCell ref="A4:F4"/>
    <mergeCell ref="A5:F5"/>
    <mergeCell ref="C9:F9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3" fitToHeight="2" orientation="portrait" r:id="rId1"/>
  <headerFooter>
    <oddHeader>&amp;LOFFICE OF HEALTH CARE ACCESS&amp;CTWELVE MONTHS ACTUAL FILING&amp;RSAINT MARY`S HOSPITAL</oddHeader>
    <oddFooter>&amp;LREPORT 165&amp;C&amp;P of &amp;N&amp;R&amp;D,&amp;T</oddFooter>
  </headerFooter>
  <rowBreaks count="2" manualBreakCount="2">
    <brk id="68" max="5" man="1"/>
    <brk id="12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zoomScaleNormal="75" workbookViewId="0">
      <selection sqref="A1:F1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25.28515625" style="119" customWidth="1"/>
    <col min="7" max="7" width="12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33" customHeight="1" x14ac:dyDescent="0.2">
      <c r="A15" s="141">
        <v>1</v>
      </c>
      <c r="B15" s="149" t="s">
        <v>157</v>
      </c>
      <c r="C15" s="146">
        <v>27364646</v>
      </c>
      <c r="D15" s="146">
        <v>27239418</v>
      </c>
      <c r="E15" s="146">
        <f>+D15-C15</f>
        <v>-125228</v>
      </c>
      <c r="F15" s="150">
        <f>IF(C15=0,0,E15/C15)</f>
        <v>-4.5762696875377082E-3</v>
      </c>
    </row>
    <row r="16" spans="1:7" ht="15" customHeight="1" x14ac:dyDescent="0.2">
      <c r="A16" s="141">
        <v>2</v>
      </c>
      <c r="B16" s="149" t="s">
        <v>158</v>
      </c>
      <c r="C16" s="146">
        <v>2773646</v>
      </c>
      <c r="D16" s="146">
        <v>2877015</v>
      </c>
      <c r="E16" s="146">
        <f>+D16-C16</f>
        <v>103369</v>
      </c>
      <c r="F16" s="150">
        <f>IF(C16=0,0,E16/C16)</f>
        <v>3.7268274321957451E-2</v>
      </c>
    </row>
    <row r="17" spans="1:7" ht="15" customHeight="1" x14ac:dyDescent="0.2">
      <c r="A17" s="141">
        <v>3</v>
      </c>
      <c r="B17" s="149" t="s">
        <v>159</v>
      </c>
      <c r="C17" s="146">
        <v>41585364</v>
      </c>
      <c r="D17" s="146">
        <v>43621631</v>
      </c>
      <c r="E17" s="146">
        <f>+D17-C17</f>
        <v>2036267</v>
      </c>
      <c r="F17" s="150">
        <f>IF(C17=0,0,E17/C17)</f>
        <v>4.8965953502294698E-2</v>
      </c>
    </row>
    <row r="18" spans="1:7" ht="15.75" customHeight="1" x14ac:dyDescent="0.25">
      <c r="A18" s="141"/>
      <c r="B18" s="151" t="s">
        <v>160</v>
      </c>
      <c r="C18" s="147">
        <f>SUM(C15:C17)</f>
        <v>71723656</v>
      </c>
      <c r="D18" s="147">
        <f>SUM(D15:D17)</f>
        <v>73738064</v>
      </c>
      <c r="E18" s="147">
        <f>+D18-C18</f>
        <v>2014408</v>
      </c>
      <c r="F18" s="148">
        <f>IF(C18=0,0,E18/C18)</f>
        <v>2.8085684868044095E-2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6314946</v>
      </c>
      <c r="D21" s="146">
        <v>6590600</v>
      </c>
      <c r="E21" s="146">
        <f>+D21-C21</f>
        <v>275654</v>
      </c>
      <c r="F21" s="150">
        <f>IF(C21=0,0,E21/C21)</f>
        <v>4.365104626389521E-2</v>
      </c>
    </row>
    <row r="22" spans="1:7" ht="15" customHeight="1" x14ac:dyDescent="0.2">
      <c r="A22" s="141">
        <v>2</v>
      </c>
      <c r="B22" s="149" t="s">
        <v>163</v>
      </c>
      <c r="C22" s="146">
        <v>943697</v>
      </c>
      <c r="D22" s="146">
        <v>847264</v>
      </c>
      <c r="E22" s="146">
        <f>+D22-C22</f>
        <v>-96433</v>
      </c>
      <c r="F22" s="150">
        <f>IF(C22=0,0,E22/C22)</f>
        <v>-0.10218640093165497</v>
      </c>
    </row>
    <row r="23" spans="1:7" ht="15" customHeight="1" x14ac:dyDescent="0.2">
      <c r="A23" s="141">
        <v>3</v>
      </c>
      <c r="B23" s="149" t="s">
        <v>164</v>
      </c>
      <c r="C23" s="146">
        <v>15154217</v>
      </c>
      <c r="D23" s="146">
        <v>15404495</v>
      </c>
      <c r="E23" s="146">
        <f>+D23-C23</f>
        <v>250278</v>
      </c>
      <c r="F23" s="150">
        <f>IF(C23=0,0,E23/C23)</f>
        <v>1.6515402940316878E-2</v>
      </c>
    </row>
    <row r="24" spans="1:7" ht="15.75" customHeight="1" x14ac:dyDescent="0.25">
      <c r="A24" s="141"/>
      <c r="B24" s="151" t="s">
        <v>165</v>
      </c>
      <c r="C24" s="147">
        <f>SUM(C21:C23)</f>
        <v>22412860</v>
      </c>
      <c r="D24" s="147">
        <f>SUM(D21:D23)</f>
        <v>22842359</v>
      </c>
      <c r="E24" s="147">
        <f>+D24-C24</f>
        <v>429499</v>
      </c>
      <c r="F24" s="148">
        <f>IF(C24=0,0,E24/C24)</f>
        <v>1.9163060849887073E-2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0</v>
      </c>
      <c r="D27" s="146">
        <v>0</v>
      </c>
      <c r="E27" s="146">
        <f>+D27-C27</f>
        <v>0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168</v>
      </c>
      <c r="C28" s="146">
        <v>3101787</v>
      </c>
      <c r="D28" s="146">
        <v>3168512</v>
      </c>
      <c r="E28" s="146">
        <f>+D28-C28</f>
        <v>66725</v>
      </c>
      <c r="F28" s="150">
        <f>IF(C28=0,0,E28/C28)</f>
        <v>2.1511793040592406E-2</v>
      </c>
    </row>
    <row r="29" spans="1:7" ht="15" customHeight="1" x14ac:dyDescent="0.2">
      <c r="A29" s="141">
        <v>3</v>
      </c>
      <c r="B29" s="149" t="s">
        <v>169</v>
      </c>
      <c r="C29" s="146">
        <v>0</v>
      </c>
      <c r="D29" s="146">
        <v>0</v>
      </c>
      <c r="E29" s="146">
        <f>+D29-C29</f>
        <v>0</v>
      </c>
      <c r="F29" s="150">
        <f>IF(C29=0,0,E29/C29)</f>
        <v>0</v>
      </c>
    </row>
    <row r="30" spans="1:7" ht="15.75" customHeight="1" x14ac:dyDescent="0.25">
      <c r="A30" s="141"/>
      <c r="B30" s="151" t="s">
        <v>170</v>
      </c>
      <c r="C30" s="147">
        <f>SUM(C27:C29)</f>
        <v>3101787</v>
      </c>
      <c r="D30" s="147">
        <f>SUM(D27:D29)</f>
        <v>3168512</v>
      </c>
      <c r="E30" s="147">
        <f>+D30-C30</f>
        <v>66725</v>
      </c>
      <c r="F30" s="148">
        <f>IF(C30=0,0,E30/C30)</f>
        <v>2.1511793040592406E-2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20237341</v>
      </c>
      <c r="D33" s="146">
        <v>21867819</v>
      </c>
      <c r="E33" s="146">
        <f>+D33-C33</f>
        <v>1630478</v>
      </c>
      <c r="F33" s="150">
        <f>IF(C33=0,0,E33/C33)</f>
        <v>8.0567797913767419E-2</v>
      </c>
    </row>
    <row r="34" spans="1:7" ht="15" customHeight="1" x14ac:dyDescent="0.2">
      <c r="A34" s="141">
        <v>2</v>
      </c>
      <c r="B34" s="149" t="s">
        <v>174</v>
      </c>
      <c r="C34" s="146">
        <v>5259701</v>
      </c>
      <c r="D34" s="146">
        <v>5549971</v>
      </c>
      <c r="E34" s="146">
        <f>+D34-C34</f>
        <v>290270</v>
      </c>
      <c r="F34" s="150">
        <f>IF(C34=0,0,E34/C34)</f>
        <v>5.5187547733226663E-2</v>
      </c>
    </row>
    <row r="35" spans="1:7" ht="15.75" customHeight="1" x14ac:dyDescent="0.25">
      <c r="A35" s="141"/>
      <c r="B35" s="151" t="s">
        <v>175</v>
      </c>
      <c r="C35" s="147">
        <f>SUM(C33:C34)</f>
        <v>25497042</v>
      </c>
      <c r="D35" s="147">
        <f>SUM(D33:D34)</f>
        <v>27417790</v>
      </c>
      <c r="E35" s="147">
        <f>+D35-C35</f>
        <v>1920748</v>
      </c>
      <c r="F35" s="148">
        <f>IF(C35=0,0,E35/C35)</f>
        <v>7.5332189514375827E-2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3246467</v>
      </c>
      <c r="D38" s="146">
        <v>3283592</v>
      </c>
      <c r="E38" s="146">
        <f>+D38-C38</f>
        <v>37125</v>
      </c>
      <c r="F38" s="150">
        <f>IF(C38=0,0,E38/C38)</f>
        <v>1.1435508200144958E-2</v>
      </c>
    </row>
    <row r="39" spans="1:7" ht="15" customHeight="1" x14ac:dyDescent="0.2">
      <c r="A39" s="141">
        <v>2</v>
      </c>
      <c r="B39" s="149" t="s">
        <v>179</v>
      </c>
      <c r="C39" s="146">
        <v>4176329</v>
      </c>
      <c r="D39" s="146">
        <v>3938836</v>
      </c>
      <c r="E39" s="146">
        <f>+D39-C39</f>
        <v>-237493</v>
      </c>
      <c r="F39" s="150">
        <f>IF(C39=0,0,E39/C39)</f>
        <v>-5.6866448979474557E-2</v>
      </c>
    </row>
    <row r="40" spans="1:7" ht="15" customHeight="1" x14ac:dyDescent="0.2">
      <c r="A40" s="141">
        <v>3</v>
      </c>
      <c r="B40" s="149" t="s">
        <v>180</v>
      </c>
      <c r="C40" s="146">
        <v>78129</v>
      </c>
      <c r="D40" s="146">
        <v>71406</v>
      </c>
      <c r="E40" s="146">
        <f>+D40-C40</f>
        <v>-6723</v>
      </c>
      <c r="F40" s="150">
        <f>IF(C40=0,0,E40/C40)</f>
        <v>-8.60499942402949E-2</v>
      </c>
    </row>
    <row r="41" spans="1:7" ht="15.75" customHeight="1" x14ac:dyDescent="0.25">
      <c r="A41" s="141"/>
      <c r="B41" s="151" t="s">
        <v>181</v>
      </c>
      <c r="C41" s="147">
        <f>SUM(C38:C40)</f>
        <v>7500925</v>
      </c>
      <c r="D41" s="147">
        <f>SUM(D38:D40)</f>
        <v>7293834</v>
      </c>
      <c r="E41" s="147">
        <f>+D41-C41</f>
        <v>-207091</v>
      </c>
      <c r="F41" s="148">
        <f>IF(C41=0,0,E41/C41)</f>
        <v>-2.7608728256848323E-2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11724327</v>
      </c>
      <c r="D44" s="146">
        <v>11904617</v>
      </c>
      <c r="E44" s="146">
        <f>+D44-C44</f>
        <v>180290</v>
      </c>
      <c r="F44" s="150">
        <f>IF(C44=0,0,E44/C44)</f>
        <v>1.5377428486940018E-2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1861697</v>
      </c>
      <c r="D47" s="146">
        <v>1719650</v>
      </c>
      <c r="E47" s="146">
        <f>+D47-C47</f>
        <v>-142047</v>
      </c>
      <c r="F47" s="150">
        <f>IF(C47=0,0,E47/C47)</f>
        <v>-7.6299741579859665E-2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1813757</v>
      </c>
      <c r="D50" s="146">
        <v>4132551</v>
      </c>
      <c r="E50" s="146">
        <f>+D50-C50</f>
        <v>2318794</v>
      </c>
      <c r="F50" s="150">
        <f>IF(C50=0,0,E50/C50)</f>
        <v>1.2784479949629415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54465</v>
      </c>
      <c r="D53" s="146">
        <v>83368</v>
      </c>
      <c r="E53" s="146">
        <f t="shared" ref="E53:E59" si="0">+D53-C53</f>
        <v>28903</v>
      </c>
      <c r="F53" s="150">
        <f t="shared" ref="F53:F59" si="1">IF(C53=0,0,E53/C53)</f>
        <v>0.5306710731662535</v>
      </c>
    </row>
    <row r="54" spans="1:7" ht="15" customHeight="1" x14ac:dyDescent="0.2">
      <c r="A54" s="141">
        <v>2</v>
      </c>
      <c r="B54" s="149" t="s">
        <v>193</v>
      </c>
      <c r="C54" s="146">
        <v>948768</v>
      </c>
      <c r="D54" s="146">
        <v>1029923</v>
      </c>
      <c r="E54" s="146">
        <f t="shared" si="0"/>
        <v>81155</v>
      </c>
      <c r="F54" s="150">
        <f t="shared" si="1"/>
        <v>8.5537244089176706E-2</v>
      </c>
    </row>
    <row r="55" spans="1:7" ht="15" customHeight="1" x14ac:dyDescent="0.2">
      <c r="A55" s="141">
        <v>3</v>
      </c>
      <c r="B55" s="149" t="s">
        <v>194</v>
      </c>
      <c r="C55" s="146">
        <v>0</v>
      </c>
      <c r="D55" s="146">
        <v>0</v>
      </c>
      <c r="E55" s="146">
        <f t="shared" si="0"/>
        <v>0</v>
      </c>
      <c r="F55" s="150">
        <f t="shared" si="1"/>
        <v>0</v>
      </c>
    </row>
    <row r="56" spans="1:7" ht="15" customHeight="1" x14ac:dyDescent="0.2">
      <c r="A56" s="141">
        <v>4</v>
      </c>
      <c r="B56" s="149" t="s">
        <v>195</v>
      </c>
      <c r="C56" s="146">
        <v>2365051</v>
      </c>
      <c r="D56" s="146">
        <v>2343905</v>
      </c>
      <c r="E56" s="146">
        <f t="shared" si="0"/>
        <v>-21146</v>
      </c>
      <c r="F56" s="150">
        <f t="shared" si="1"/>
        <v>-8.9410334068905917E-3</v>
      </c>
    </row>
    <row r="57" spans="1:7" ht="15" customHeight="1" x14ac:dyDescent="0.2">
      <c r="A57" s="141">
        <v>5</v>
      </c>
      <c r="B57" s="149" t="s">
        <v>196</v>
      </c>
      <c r="C57" s="146">
        <v>396624</v>
      </c>
      <c r="D57" s="146">
        <v>402570</v>
      </c>
      <c r="E57" s="146">
        <f t="shared" si="0"/>
        <v>5946</v>
      </c>
      <c r="F57" s="150">
        <f t="shared" si="1"/>
        <v>1.4991528500544596E-2</v>
      </c>
    </row>
    <row r="58" spans="1:7" ht="15" customHeight="1" x14ac:dyDescent="0.2">
      <c r="A58" s="141">
        <v>6</v>
      </c>
      <c r="B58" s="149" t="s">
        <v>197</v>
      </c>
      <c r="C58" s="146">
        <v>59127</v>
      </c>
      <c r="D58" s="146">
        <v>90816</v>
      </c>
      <c r="E58" s="146">
        <f t="shared" si="0"/>
        <v>31689</v>
      </c>
      <c r="F58" s="150">
        <f t="shared" si="1"/>
        <v>0.53594804404079355</v>
      </c>
    </row>
    <row r="59" spans="1:7" ht="15.75" customHeight="1" x14ac:dyDescent="0.25">
      <c r="A59" s="141"/>
      <c r="B59" s="151" t="s">
        <v>198</v>
      </c>
      <c r="C59" s="147">
        <f>SUM(C53:C58)</f>
        <v>3824035</v>
      </c>
      <c r="D59" s="147">
        <f>SUM(D53:D58)</f>
        <v>3950582</v>
      </c>
      <c r="E59" s="147">
        <f t="shared" si="0"/>
        <v>126547</v>
      </c>
      <c r="F59" s="148">
        <f t="shared" si="1"/>
        <v>3.3092531841366513E-2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277806</v>
      </c>
      <c r="D62" s="146">
        <v>241428</v>
      </c>
      <c r="E62" s="146">
        <f t="shared" ref="E62:E78" si="2">+D62-C62</f>
        <v>-36378</v>
      </c>
      <c r="F62" s="150">
        <f t="shared" ref="F62:F78" si="3">IF(C62=0,0,E62/C62)</f>
        <v>-0.13094749573443337</v>
      </c>
    </row>
    <row r="63" spans="1:7" ht="15" customHeight="1" x14ac:dyDescent="0.2">
      <c r="A63" s="141">
        <v>2</v>
      </c>
      <c r="B63" s="149" t="s">
        <v>202</v>
      </c>
      <c r="C63" s="146">
        <v>1386779</v>
      </c>
      <c r="D63" s="146">
        <v>965043</v>
      </c>
      <c r="E63" s="146">
        <f t="shared" si="2"/>
        <v>-421736</v>
      </c>
      <c r="F63" s="150">
        <f t="shared" si="3"/>
        <v>-0.30411190247328523</v>
      </c>
    </row>
    <row r="64" spans="1:7" ht="15" customHeight="1" x14ac:dyDescent="0.2">
      <c r="A64" s="141">
        <v>3</v>
      </c>
      <c r="B64" s="149" t="s">
        <v>203</v>
      </c>
      <c r="C64" s="146">
        <v>1484635</v>
      </c>
      <c r="D64" s="146">
        <v>1250710</v>
      </c>
      <c r="E64" s="146">
        <f t="shared" si="2"/>
        <v>-233925</v>
      </c>
      <c r="F64" s="150">
        <f t="shared" si="3"/>
        <v>-0.15756398037228006</v>
      </c>
    </row>
    <row r="65" spans="1:7" ht="15" customHeight="1" x14ac:dyDescent="0.2">
      <c r="A65" s="141">
        <v>4</v>
      </c>
      <c r="B65" s="149" t="s">
        <v>204</v>
      </c>
      <c r="C65" s="146">
        <v>664275</v>
      </c>
      <c r="D65" s="146">
        <v>640983</v>
      </c>
      <c r="E65" s="146">
        <f t="shared" si="2"/>
        <v>-23292</v>
      </c>
      <c r="F65" s="150">
        <f t="shared" si="3"/>
        <v>-3.506379135147341E-2</v>
      </c>
    </row>
    <row r="66" spans="1:7" ht="15" customHeight="1" x14ac:dyDescent="0.2">
      <c r="A66" s="141">
        <v>5</v>
      </c>
      <c r="B66" s="149" t="s">
        <v>205</v>
      </c>
      <c r="C66" s="146">
        <v>0</v>
      </c>
      <c r="D66" s="146">
        <v>0</v>
      </c>
      <c r="E66" s="146">
        <f t="shared" si="2"/>
        <v>0</v>
      </c>
      <c r="F66" s="150">
        <f t="shared" si="3"/>
        <v>0</v>
      </c>
    </row>
    <row r="67" spans="1:7" ht="15" customHeight="1" x14ac:dyDescent="0.2">
      <c r="A67" s="141">
        <v>6</v>
      </c>
      <c r="B67" s="149" t="s">
        <v>206</v>
      </c>
      <c r="C67" s="146">
        <v>0</v>
      </c>
      <c r="D67" s="146">
        <v>0</v>
      </c>
      <c r="E67" s="146">
        <f t="shared" si="2"/>
        <v>0</v>
      </c>
      <c r="F67" s="150">
        <f t="shared" si="3"/>
        <v>0</v>
      </c>
    </row>
    <row r="68" spans="1:7" ht="15" customHeight="1" x14ac:dyDescent="0.2">
      <c r="A68" s="141">
        <v>7</v>
      </c>
      <c r="B68" s="149" t="s">
        <v>207</v>
      </c>
      <c r="C68" s="146">
        <v>3944292</v>
      </c>
      <c r="D68" s="146">
        <v>4304371</v>
      </c>
      <c r="E68" s="146">
        <f t="shared" si="2"/>
        <v>360079</v>
      </c>
      <c r="F68" s="150">
        <f t="shared" si="3"/>
        <v>9.1291162013360072E-2</v>
      </c>
    </row>
    <row r="69" spans="1:7" ht="15" customHeight="1" x14ac:dyDescent="0.2">
      <c r="A69" s="141">
        <v>8</v>
      </c>
      <c r="B69" s="149" t="s">
        <v>208</v>
      </c>
      <c r="C69" s="146">
        <v>1792858</v>
      </c>
      <c r="D69" s="146">
        <v>52346</v>
      </c>
      <c r="E69" s="146">
        <f t="shared" si="2"/>
        <v>-1740512</v>
      </c>
      <c r="F69" s="150">
        <f t="shared" si="3"/>
        <v>-0.97080304184715127</v>
      </c>
    </row>
    <row r="70" spans="1:7" ht="15" customHeight="1" x14ac:dyDescent="0.2">
      <c r="A70" s="141">
        <v>9</v>
      </c>
      <c r="B70" s="149" t="s">
        <v>209</v>
      </c>
      <c r="C70" s="146">
        <v>77306</v>
      </c>
      <c r="D70" s="146">
        <v>132837</v>
      </c>
      <c r="E70" s="146">
        <f t="shared" si="2"/>
        <v>55531</v>
      </c>
      <c r="F70" s="150">
        <f t="shared" si="3"/>
        <v>0.71832716736087754</v>
      </c>
    </row>
    <row r="71" spans="1:7" ht="15" customHeight="1" x14ac:dyDescent="0.2">
      <c r="A71" s="141">
        <v>10</v>
      </c>
      <c r="B71" s="149" t="s">
        <v>210</v>
      </c>
      <c r="C71" s="146">
        <v>0</v>
      </c>
      <c r="D71" s="146">
        <v>0</v>
      </c>
      <c r="E71" s="146">
        <f t="shared" si="2"/>
        <v>0</v>
      </c>
      <c r="F71" s="150">
        <f t="shared" si="3"/>
        <v>0</v>
      </c>
    </row>
    <row r="72" spans="1:7" ht="15" customHeight="1" x14ac:dyDescent="0.2">
      <c r="A72" s="141">
        <v>11</v>
      </c>
      <c r="B72" s="149" t="s">
        <v>211</v>
      </c>
      <c r="C72" s="146">
        <v>0</v>
      </c>
      <c r="D72" s="146">
        <v>0</v>
      </c>
      <c r="E72" s="146">
        <f t="shared" si="2"/>
        <v>0</v>
      </c>
      <c r="F72" s="150">
        <f t="shared" si="3"/>
        <v>0</v>
      </c>
    </row>
    <row r="73" spans="1:7" ht="15" customHeight="1" x14ac:dyDescent="0.2">
      <c r="A73" s="141">
        <v>12</v>
      </c>
      <c r="B73" s="149" t="s">
        <v>212</v>
      </c>
      <c r="C73" s="146">
        <v>2868491</v>
      </c>
      <c r="D73" s="146">
        <v>2882487</v>
      </c>
      <c r="E73" s="146">
        <f t="shared" si="2"/>
        <v>13996</v>
      </c>
      <c r="F73" s="150">
        <f t="shared" si="3"/>
        <v>4.8792204681834452E-3</v>
      </c>
    </row>
    <row r="74" spans="1:7" ht="15" customHeight="1" x14ac:dyDescent="0.2">
      <c r="A74" s="141">
        <v>13</v>
      </c>
      <c r="B74" s="149" t="s">
        <v>213</v>
      </c>
      <c r="C74" s="146">
        <v>0</v>
      </c>
      <c r="D74" s="146">
        <v>0</v>
      </c>
      <c r="E74" s="146">
        <f t="shared" si="2"/>
        <v>0</v>
      </c>
      <c r="F74" s="150">
        <f t="shared" si="3"/>
        <v>0</v>
      </c>
    </row>
    <row r="75" spans="1:7" ht="15" customHeight="1" x14ac:dyDescent="0.2">
      <c r="A75" s="141">
        <v>14</v>
      </c>
      <c r="B75" s="149" t="s">
        <v>214</v>
      </c>
      <c r="C75" s="146">
        <v>157969</v>
      </c>
      <c r="D75" s="146">
        <v>178436</v>
      </c>
      <c r="E75" s="146">
        <f t="shared" si="2"/>
        <v>20467</v>
      </c>
      <c r="F75" s="150">
        <f t="shared" si="3"/>
        <v>0.12956339534972053</v>
      </c>
    </row>
    <row r="76" spans="1:7" ht="15" customHeight="1" x14ac:dyDescent="0.2">
      <c r="A76" s="141">
        <v>15</v>
      </c>
      <c r="B76" s="149" t="s">
        <v>215</v>
      </c>
      <c r="C76" s="146">
        <v>644828</v>
      </c>
      <c r="D76" s="146">
        <v>580623</v>
      </c>
      <c r="E76" s="146">
        <f t="shared" si="2"/>
        <v>-64205</v>
      </c>
      <c r="F76" s="150">
        <f t="shared" si="3"/>
        <v>-9.9569187442232657E-2</v>
      </c>
    </row>
    <row r="77" spans="1:7" ht="15" customHeight="1" x14ac:dyDescent="0.2">
      <c r="A77" s="141">
        <v>16</v>
      </c>
      <c r="B77" s="149" t="s">
        <v>216</v>
      </c>
      <c r="C77" s="146">
        <v>5190975</v>
      </c>
      <c r="D77" s="146">
        <v>5397843</v>
      </c>
      <c r="E77" s="146">
        <f t="shared" si="2"/>
        <v>206868</v>
      </c>
      <c r="F77" s="150">
        <f t="shared" si="3"/>
        <v>3.9851472989178335E-2</v>
      </c>
    </row>
    <row r="78" spans="1:7" ht="15.75" customHeight="1" x14ac:dyDescent="0.25">
      <c r="A78" s="141"/>
      <c r="B78" s="151" t="s">
        <v>217</v>
      </c>
      <c r="C78" s="147">
        <f>SUM(C62:C77)</f>
        <v>18490214</v>
      </c>
      <c r="D78" s="147">
        <f>SUM(D62:D77)</f>
        <v>16627107</v>
      </c>
      <c r="E78" s="147">
        <f t="shared" si="2"/>
        <v>-1863107</v>
      </c>
      <c r="F78" s="148">
        <f t="shared" si="3"/>
        <v>-0.10076178674838485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24186603</v>
      </c>
      <c r="D81" s="146">
        <v>24190197</v>
      </c>
      <c r="E81" s="146">
        <f>+D81-C81</f>
        <v>3594</v>
      </c>
      <c r="F81" s="150">
        <f>IF(C81=0,0,E81/C81)</f>
        <v>1.4859465796002852E-4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192136903</v>
      </c>
      <c r="D83" s="147">
        <f>+D81+D78+D59+D50+D47+D44+D41+D35+D30+D24+D18</f>
        <v>196985263</v>
      </c>
      <c r="E83" s="147">
        <f>+D83-C83</f>
        <v>4848360</v>
      </c>
      <c r="F83" s="148">
        <f>IF(C83=0,0,E83/C83)</f>
        <v>2.5233882321919178E-2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17869796</v>
      </c>
      <c r="D91" s="146">
        <v>18481600</v>
      </c>
      <c r="E91" s="146">
        <f t="shared" ref="E91:E109" si="4">D91-C91</f>
        <v>611804</v>
      </c>
      <c r="F91" s="150">
        <f t="shared" ref="F91:F109" si="5">IF(C91=0,0,E91/C91)</f>
        <v>3.4236764650251182E-2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879930</v>
      </c>
      <c r="D92" s="146">
        <v>888933</v>
      </c>
      <c r="E92" s="146">
        <f t="shared" si="4"/>
        <v>9003</v>
      </c>
      <c r="F92" s="150">
        <f t="shared" si="5"/>
        <v>1.0231495687156932E-2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2072914</v>
      </c>
      <c r="D93" s="146">
        <v>1939585</v>
      </c>
      <c r="E93" s="146">
        <f t="shared" si="4"/>
        <v>-133329</v>
      </c>
      <c r="F93" s="150">
        <f t="shared" si="5"/>
        <v>-6.4319600330742133E-2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1181403</v>
      </c>
      <c r="D94" s="146">
        <v>1146354</v>
      </c>
      <c r="E94" s="146">
        <f t="shared" si="4"/>
        <v>-35049</v>
      </c>
      <c r="F94" s="150">
        <f t="shared" si="5"/>
        <v>-2.9667268493477669E-2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4494478</v>
      </c>
      <c r="D95" s="146">
        <v>4867656</v>
      </c>
      <c r="E95" s="146">
        <f t="shared" si="4"/>
        <v>373178</v>
      </c>
      <c r="F95" s="150">
        <f t="shared" si="5"/>
        <v>8.3030331887262554E-2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558931</v>
      </c>
      <c r="D96" s="146">
        <v>572778</v>
      </c>
      <c r="E96" s="146">
        <f t="shared" si="4"/>
        <v>13847</v>
      </c>
      <c r="F96" s="150">
        <f t="shared" si="5"/>
        <v>2.4774077658959694E-2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137709</v>
      </c>
      <c r="D97" s="146">
        <v>138647</v>
      </c>
      <c r="E97" s="146">
        <f t="shared" si="4"/>
        <v>938</v>
      </c>
      <c r="F97" s="150">
        <f t="shared" si="5"/>
        <v>6.811464755389989E-3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809833</v>
      </c>
      <c r="D98" s="146">
        <v>853143</v>
      </c>
      <c r="E98" s="146">
        <f t="shared" si="4"/>
        <v>43310</v>
      </c>
      <c r="F98" s="150">
        <f t="shared" si="5"/>
        <v>5.348016195931754E-2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0</v>
      </c>
      <c r="D99" s="146">
        <v>0</v>
      </c>
      <c r="E99" s="146">
        <f t="shared" si="4"/>
        <v>0</v>
      </c>
      <c r="F99" s="150">
        <f t="shared" si="5"/>
        <v>0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3205095</v>
      </c>
      <c r="D100" s="146">
        <v>3266101</v>
      </c>
      <c r="E100" s="146">
        <f t="shared" si="4"/>
        <v>61006</v>
      </c>
      <c r="F100" s="150">
        <f t="shared" si="5"/>
        <v>1.9034069192956839E-2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2348769</v>
      </c>
      <c r="D101" s="146">
        <v>2386642</v>
      </c>
      <c r="E101" s="146">
        <f t="shared" si="4"/>
        <v>37873</v>
      </c>
      <c r="F101" s="150">
        <f t="shared" si="5"/>
        <v>1.6124616767336421E-2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4190456</v>
      </c>
      <c r="D102" s="146">
        <v>4330728</v>
      </c>
      <c r="E102" s="146">
        <f t="shared" si="4"/>
        <v>140272</v>
      </c>
      <c r="F102" s="150">
        <f t="shared" si="5"/>
        <v>3.347416128459528E-2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3747881</v>
      </c>
      <c r="D103" s="146">
        <v>4207241</v>
      </c>
      <c r="E103" s="146">
        <f t="shared" si="4"/>
        <v>459360</v>
      </c>
      <c r="F103" s="150">
        <f t="shared" si="5"/>
        <v>0.12256525754152814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0</v>
      </c>
      <c r="D104" s="146">
        <v>0</v>
      </c>
      <c r="E104" s="146">
        <f t="shared" si="4"/>
        <v>0</v>
      </c>
      <c r="F104" s="150">
        <f t="shared" si="5"/>
        <v>0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1777959</v>
      </c>
      <c r="D105" s="146">
        <v>1806372</v>
      </c>
      <c r="E105" s="146">
        <f t="shared" si="4"/>
        <v>28413</v>
      </c>
      <c r="F105" s="150">
        <f t="shared" si="5"/>
        <v>1.5980683469078872E-2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695643</v>
      </c>
      <c r="D106" s="146">
        <v>686446</v>
      </c>
      <c r="E106" s="146">
        <f t="shared" si="4"/>
        <v>-9197</v>
      </c>
      <c r="F106" s="150">
        <f t="shared" si="5"/>
        <v>-1.3220861850115648E-2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6234981</v>
      </c>
      <c r="D107" s="146">
        <v>6753916</v>
      </c>
      <c r="E107" s="146">
        <f t="shared" si="4"/>
        <v>518935</v>
      </c>
      <c r="F107" s="150">
        <f t="shared" si="5"/>
        <v>8.3229604067758992E-2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45167897</v>
      </c>
      <c r="D108" s="146">
        <v>45598105</v>
      </c>
      <c r="E108" s="146">
        <f t="shared" si="4"/>
        <v>430208</v>
      </c>
      <c r="F108" s="150">
        <f t="shared" si="5"/>
        <v>9.5246409191909031E-3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95373675</v>
      </c>
      <c r="D109" s="147">
        <f>SUM(D91:D108)</f>
        <v>97924247</v>
      </c>
      <c r="E109" s="147">
        <f t="shared" si="4"/>
        <v>2550572</v>
      </c>
      <c r="F109" s="148">
        <f t="shared" si="5"/>
        <v>2.6742935091889873E-2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0</v>
      </c>
      <c r="D112" s="146">
        <v>0</v>
      </c>
      <c r="E112" s="146">
        <f t="shared" ref="E112:E118" si="6">D112-C112</f>
        <v>0</v>
      </c>
      <c r="F112" s="150">
        <f t="shared" ref="F112:F118" si="7">IF(C112=0,0,E112/C112)</f>
        <v>0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4997755</v>
      </c>
      <c r="D113" s="146">
        <v>4773610</v>
      </c>
      <c r="E113" s="146">
        <f t="shared" si="6"/>
        <v>-224145</v>
      </c>
      <c r="F113" s="150">
        <f t="shared" si="7"/>
        <v>-4.4849137262630921E-2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1199753</v>
      </c>
      <c r="D114" s="146">
        <v>1221168</v>
      </c>
      <c r="E114" s="146">
        <f t="shared" si="6"/>
        <v>21415</v>
      </c>
      <c r="F114" s="150">
        <f t="shared" si="7"/>
        <v>1.7849507356930968E-2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2119116</v>
      </c>
      <c r="D115" s="146">
        <v>2131567</v>
      </c>
      <c r="E115" s="146">
        <f t="shared" si="6"/>
        <v>12451</v>
      </c>
      <c r="F115" s="150">
        <f t="shared" si="7"/>
        <v>5.8755632065446159E-3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275653</v>
      </c>
      <c r="D116" s="146">
        <v>313909</v>
      </c>
      <c r="E116" s="146">
        <f t="shared" si="6"/>
        <v>38256</v>
      </c>
      <c r="F116" s="150">
        <f t="shared" si="7"/>
        <v>0.13878318030277195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2546188</v>
      </c>
      <c r="D117" s="146">
        <v>2533997</v>
      </c>
      <c r="E117" s="146">
        <f t="shared" si="6"/>
        <v>-12191</v>
      </c>
      <c r="F117" s="150">
        <f t="shared" si="7"/>
        <v>-4.7879418173363475E-3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11138465</v>
      </c>
      <c r="D118" s="147">
        <f>SUM(D112:D117)</f>
        <v>10974251</v>
      </c>
      <c r="E118" s="147">
        <f t="shared" si="6"/>
        <v>-164214</v>
      </c>
      <c r="F118" s="148">
        <f t="shared" si="7"/>
        <v>-1.474296503153711E-2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17911148</v>
      </c>
      <c r="D121" s="146">
        <v>18285274</v>
      </c>
      <c r="E121" s="146">
        <f t="shared" ref="E121:E155" si="8">D121-C121</f>
        <v>374126</v>
      </c>
      <c r="F121" s="150">
        <f t="shared" ref="F121:F155" si="9">IF(C121=0,0,E121/C121)</f>
        <v>2.0887885019988669E-2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620288</v>
      </c>
      <c r="D122" s="146">
        <v>621018</v>
      </c>
      <c r="E122" s="146">
        <f t="shared" si="8"/>
        <v>730</v>
      </c>
      <c r="F122" s="150">
        <f t="shared" si="9"/>
        <v>1.17687267849773E-3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917166</v>
      </c>
      <c r="D123" s="146">
        <v>990397</v>
      </c>
      <c r="E123" s="146">
        <f t="shared" si="8"/>
        <v>73231</v>
      </c>
      <c r="F123" s="150">
        <f t="shared" si="9"/>
        <v>7.984486995811009E-2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3949346</v>
      </c>
      <c r="D124" s="146">
        <v>4005884</v>
      </c>
      <c r="E124" s="146">
        <f t="shared" si="8"/>
        <v>56538</v>
      </c>
      <c r="F124" s="150">
        <f t="shared" si="9"/>
        <v>1.4315787981098643E-2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3636729</v>
      </c>
      <c r="D125" s="146">
        <v>3856752</v>
      </c>
      <c r="E125" s="146">
        <f t="shared" si="8"/>
        <v>220023</v>
      </c>
      <c r="F125" s="150">
        <f t="shared" si="9"/>
        <v>6.0500246237759264E-2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0</v>
      </c>
      <c r="D126" s="146">
        <v>0</v>
      </c>
      <c r="E126" s="146">
        <f t="shared" si="8"/>
        <v>0</v>
      </c>
      <c r="F126" s="150">
        <f t="shared" si="9"/>
        <v>0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589</v>
      </c>
      <c r="D127" s="146">
        <v>1279</v>
      </c>
      <c r="E127" s="146">
        <f t="shared" si="8"/>
        <v>690</v>
      </c>
      <c r="F127" s="150">
        <f t="shared" si="9"/>
        <v>1.1714770797962648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587035</v>
      </c>
      <c r="D128" s="146">
        <v>576794</v>
      </c>
      <c r="E128" s="146">
        <f t="shared" si="8"/>
        <v>-10241</v>
      </c>
      <c r="F128" s="150">
        <f t="shared" si="9"/>
        <v>-1.7445297128791299E-2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840530</v>
      </c>
      <c r="D129" s="146">
        <v>877179</v>
      </c>
      <c r="E129" s="146">
        <f t="shared" si="8"/>
        <v>36649</v>
      </c>
      <c r="F129" s="150">
        <f t="shared" si="9"/>
        <v>4.3602250960703366E-2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9588455</v>
      </c>
      <c r="D130" s="146">
        <v>10260055</v>
      </c>
      <c r="E130" s="146">
        <f t="shared" si="8"/>
        <v>671600</v>
      </c>
      <c r="F130" s="150">
        <f t="shared" si="9"/>
        <v>7.0042566816030313E-2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6608634</v>
      </c>
      <c r="D132" s="146">
        <v>7044227</v>
      </c>
      <c r="E132" s="146">
        <f t="shared" si="8"/>
        <v>435593</v>
      </c>
      <c r="F132" s="150">
        <f t="shared" si="9"/>
        <v>6.5912713580446425E-2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0</v>
      </c>
      <c r="D133" s="146">
        <v>0</v>
      </c>
      <c r="E133" s="146">
        <f t="shared" si="8"/>
        <v>0</v>
      </c>
      <c r="F133" s="150">
        <f t="shared" si="9"/>
        <v>0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725249</v>
      </c>
      <c r="D134" s="146">
        <v>753066</v>
      </c>
      <c r="E134" s="146">
        <f t="shared" si="8"/>
        <v>27817</v>
      </c>
      <c r="F134" s="150">
        <f t="shared" si="9"/>
        <v>3.8355102868118399E-2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1306543</v>
      </c>
      <c r="D138" s="146">
        <v>1278147</v>
      </c>
      <c r="E138" s="146">
        <f t="shared" si="8"/>
        <v>-28396</v>
      </c>
      <c r="F138" s="150">
        <f t="shared" si="9"/>
        <v>-2.1733689591540425E-2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127974</v>
      </c>
      <c r="D140" s="146">
        <v>128136</v>
      </c>
      <c r="E140" s="146">
        <f t="shared" si="8"/>
        <v>162</v>
      </c>
      <c r="F140" s="150">
        <f t="shared" si="9"/>
        <v>1.265882132308125E-3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305919</v>
      </c>
      <c r="D143" s="146">
        <v>269519</v>
      </c>
      <c r="E143" s="146">
        <f t="shared" si="8"/>
        <v>-36400</v>
      </c>
      <c r="F143" s="150">
        <f t="shared" si="9"/>
        <v>-0.11898574459252285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7200395</v>
      </c>
      <c r="D144" s="146">
        <v>7138173</v>
      </c>
      <c r="E144" s="146">
        <f t="shared" si="8"/>
        <v>-62222</v>
      </c>
      <c r="F144" s="150">
        <f t="shared" si="9"/>
        <v>-8.6414703637786531E-3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706733</v>
      </c>
      <c r="D145" s="146">
        <v>730598</v>
      </c>
      <c r="E145" s="146">
        <f t="shared" si="8"/>
        <v>23865</v>
      </c>
      <c r="F145" s="150">
        <f t="shared" si="9"/>
        <v>3.3768056677698652E-2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1449934</v>
      </c>
      <c r="D152" s="146">
        <v>1539455</v>
      </c>
      <c r="E152" s="146">
        <f t="shared" si="8"/>
        <v>89521</v>
      </c>
      <c r="F152" s="150">
        <f t="shared" si="9"/>
        <v>6.1741430989272615E-2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0</v>
      </c>
      <c r="D154" s="146">
        <v>0</v>
      </c>
      <c r="E154" s="146">
        <f t="shared" si="8"/>
        <v>0</v>
      </c>
      <c r="F154" s="150">
        <f t="shared" si="9"/>
        <v>0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56482667</v>
      </c>
      <c r="D155" s="147">
        <f>SUM(D121:D154)</f>
        <v>58355953</v>
      </c>
      <c r="E155" s="147">
        <f t="shared" si="8"/>
        <v>1873286</v>
      </c>
      <c r="F155" s="148">
        <f t="shared" si="9"/>
        <v>3.3165678950677027E-2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15023929</v>
      </c>
      <c r="D158" s="146">
        <v>15533671</v>
      </c>
      <c r="E158" s="146">
        <f t="shared" ref="E158:E171" si="10">D158-C158</f>
        <v>509742</v>
      </c>
      <c r="F158" s="150">
        <f t="shared" ref="F158:F171" si="11">IF(C158=0,0,E158/C158)</f>
        <v>3.3928674716181099E-2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4116394</v>
      </c>
      <c r="D159" s="146">
        <v>3823002</v>
      </c>
      <c r="E159" s="146">
        <f t="shared" si="10"/>
        <v>-293392</v>
      </c>
      <c r="F159" s="150">
        <f t="shared" si="11"/>
        <v>-7.1274032563452383E-2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1363787</v>
      </c>
      <c r="D160" s="146">
        <v>1385478</v>
      </c>
      <c r="E160" s="146">
        <f t="shared" si="10"/>
        <v>21691</v>
      </c>
      <c r="F160" s="150">
        <f t="shared" si="11"/>
        <v>1.5904976363611031E-2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1547544</v>
      </c>
      <c r="D161" s="146">
        <v>1794319</v>
      </c>
      <c r="E161" s="146">
        <f t="shared" si="10"/>
        <v>246775</v>
      </c>
      <c r="F161" s="150">
        <f t="shared" si="11"/>
        <v>0.15946234808186391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0</v>
      </c>
      <c r="D163" s="146">
        <v>0</v>
      </c>
      <c r="E163" s="146">
        <f t="shared" si="10"/>
        <v>0</v>
      </c>
      <c r="F163" s="150">
        <f t="shared" si="11"/>
        <v>0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1587313</v>
      </c>
      <c r="D164" s="146">
        <v>1632149</v>
      </c>
      <c r="E164" s="146">
        <f t="shared" si="10"/>
        <v>44836</v>
      </c>
      <c r="F164" s="150">
        <f t="shared" si="11"/>
        <v>2.8246476907831032E-2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1116520</v>
      </c>
      <c r="D167" s="146">
        <v>1289957</v>
      </c>
      <c r="E167" s="146">
        <f t="shared" si="10"/>
        <v>173437</v>
      </c>
      <c r="F167" s="150">
        <f t="shared" si="11"/>
        <v>0.15533711890516963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2548565</v>
      </c>
      <c r="D169" s="146">
        <v>2721965</v>
      </c>
      <c r="E169" s="146">
        <f t="shared" si="10"/>
        <v>173400</v>
      </c>
      <c r="F169" s="150">
        <f t="shared" si="11"/>
        <v>6.8038288213170942E-2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27304052</v>
      </c>
      <c r="D171" s="147">
        <f>SUM(D158:D170)</f>
        <v>28180541</v>
      </c>
      <c r="E171" s="147">
        <f t="shared" si="10"/>
        <v>876489</v>
      </c>
      <c r="F171" s="148">
        <f t="shared" si="11"/>
        <v>3.2101059578995818E-2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1838044</v>
      </c>
      <c r="D174" s="146">
        <v>1550271</v>
      </c>
      <c r="E174" s="146">
        <f>D174-C174</f>
        <v>-287773</v>
      </c>
      <c r="F174" s="150">
        <f>IF(C174=0,0,E174/C174)</f>
        <v>-0.15656480475984252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192136903</v>
      </c>
      <c r="D176" s="147">
        <f>+D174+D171+D155+D118+D109</f>
        <v>196985263</v>
      </c>
      <c r="E176" s="147">
        <f>D176-C176</f>
        <v>4848360</v>
      </c>
      <c r="F176" s="148">
        <f>IF(C176=0,0,E176/C176)</f>
        <v>2.5233882321919178E-2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0" orientation="portrait" r:id="rId1"/>
  <headerFooter>
    <oddHeader>&amp;LOFFICE OF HEALTH CARE ACCESS&amp;CTWELVE MONTHS ACTUAL FILING&amp;RSAINT MARY`S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zoomScaleNormal="85" workbookViewId="0">
      <selection sqref="A1:F1"/>
    </sheetView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183704311</v>
      </c>
      <c r="D11" s="164">
        <v>193245559</v>
      </c>
      <c r="E11" s="51">
        <v>198455064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11427996</v>
      </c>
      <c r="D12" s="49">
        <v>8145638</v>
      </c>
      <c r="E12" s="49">
        <v>8481266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195132307</v>
      </c>
      <c r="D13" s="51">
        <f>+D11+D12</f>
        <v>201391197</v>
      </c>
      <c r="E13" s="51">
        <f>+E11+E12</f>
        <v>206936330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189131774</v>
      </c>
      <c r="D14" s="49">
        <v>192136903</v>
      </c>
      <c r="E14" s="49">
        <v>196985263</v>
      </c>
      <c r="F14" s="13"/>
    </row>
    <row r="15" spans="1:6" ht="33" customHeight="1" x14ac:dyDescent="0.25">
      <c r="A15" s="44">
        <v>5</v>
      </c>
      <c r="B15" s="48" t="s">
        <v>90</v>
      </c>
      <c r="C15" s="51">
        <f>+C13-C14</f>
        <v>6000533</v>
      </c>
      <c r="D15" s="51">
        <f>+D13-D14</f>
        <v>9254294</v>
      </c>
      <c r="E15" s="51">
        <f>+E13-E14</f>
        <v>9951067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4155005</v>
      </c>
      <c r="D16" s="49">
        <v>3520657</v>
      </c>
      <c r="E16" s="49">
        <v>3675712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10155538</v>
      </c>
      <c r="D17" s="51">
        <f>D15+D16</f>
        <v>12774951</v>
      </c>
      <c r="E17" s="51">
        <f>E15+E16</f>
        <v>13626779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3.010996003599065E-2</v>
      </c>
      <c r="D20" s="169">
        <f>IF(+D27=0,0,+D24/+D27)</f>
        <v>4.5162316475844289E-2</v>
      </c>
      <c r="E20" s="169">
        <f>IF(+E27=0,0,+E24/+E27)</f>
        <v>4.7248328754155473E-2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2.0849320301936734E-2</v>
      </c>
      <c r="D21" s="169">
        <f>IF(D27=0,0,+D26/D27)</f>
        <v>1.7181324219534902E-2</v>
      </c>
      <c r="E21" s="169">
        <f>IF(E27=0,0,+E26/E27)</f>
        <v>1.745252534040765E-2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5.0959280337927383E-2</v>
      </c>
      <c r="D22" s="169">
        <f>IF(D27=0,0,+D28/D27)</f>
        <v>6.2343640695379197E-2</v>
      </c>
      <c r="E22" s="169">
        <f>IF(E27=0,0,+E28/E27)</f>
        <v>6.4700854094563123E-2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6000533</v>
      </c>
      <c r="D24" s="51">
        <f>+D15</f>
        <v>9254294</v>
      </c>
      <c r="E24" s="51">
        <f>+E15</f>
        <v>9951067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195132307</v>
      </c>
      <c r="D25" s="51">
        <f>+D13</f>
        <v>201391197</v>
      </c>
      <c r="E25" s="51">
        <f>+E13</f>
        <v>206936330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4155005</v>
      </c>
      <c r="D26" s="51">
        <f>+D16</f>
        <v>3520657</v>
      </c>
      <c r="E26" s="51">
        <f>+E16</f>
        <v>3675712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199287312</v>
      </c>
      <c r="D27" s="51">
        <f>+D25+D26</f>
        <v>204911854</v>
      </c>
      <c r="E27" s="51">
        <f>+E25+E26</f>
        <v>210612042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10155538</v>
      </c>
      <c r="D28" s="51">
        <f>+D17</f>
        <v>12774951</v>
      </c>
      <c r="E28" s="51">
        <f>+E17</f>
        <v>13626779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-1435860</v>
      </c>
      <c r="D31" s="51">
        <v>-4907594</v>
      </c>
      <c r="E31" s="51">
        <v>6754167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14865843</v>
      </c>
      <c r="D32" s="51">
        <v>11261310</v>
      </c>
      <c r="E32" s="51">
        <v>23714139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-3844059</v>
      </c>
      <c r="D33" s="51">
        <f>+D32-C32</f>
        <v>-3604533</v>
      </c>
      <c r="E33" s="51">
        <f>+E32-D32</f>
        <v>12452829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0.79449999999999998</v>
      </c>
      <c r="D34" s="171">
        <f>IF(C32=0,0,+D33/C32)</f>
        <v>-0.24247081043436286</v>
      </c>
      <c r="E34" s="171">
        <f>IF(D32=0,0,+E33/D32)</f>
        <v>1.105806429269774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0.44477190713979342</v>
      </c>
      <c r="D38" s="172">
        <f>IF((D40+D41)=0,0,+D39/(D40+D41))</f>
        <v>0.41654992898353127</v>
      </c>
      <c r="E38" s="172">
        <f>IF((E40+E41)=0,0,+E39/(E40+E41))</f>
        <v>0.40242049357554827</v>
      </c>
      <c r="F38" s="5"/>
    </row>
    <row r="39" spans="1:6" ht="24" customHeight="1" x14ac:dyDescent="0.2">
      <c r="A39" s="21">
        <v>2</v>
      </c>
      <c r="B39" s="48" t="s">
        <v>324</v>
      </c>
      <c r="C39" s="51">
        <v>189131768</v>
      </c>
      <c r="D39" s="51">
        <v>192136903</v>
      </c>
      <c r="E39" s="23">
        <v>196985263</v>
      </c>
      <c r="F39" s="5"/>
    </row>
    <row r="40" spans="1:6" ht="24" customHeight="1" x14ac:dyDescent="0.2">
      <c r="A40" s="21">
        <v>3</v>
      </c>
      <c r="B40" s="48" t="s">
        <v>325</v>
      </c>
      <c r="C40" s="51">
        <v>413805174</v>
      </c>
      <c r="D40" s="51">
        <v>453112160</v>
      </c>
      <c r="E40" s="23">
        <v>481019806</v>
      </c>
      <c r="F40" s="5"/>
    </row>
    <row r="41" spans="1:6" ht="24" customHeight="1" x14ac:dyDescent="0.2">
      <c r="A41" s="21">
        <v>4</v>
      </c>
      <c r="B41" s="48" t="s">
        <v>326</v>
      </c>
      <c r="C41" s="51">
        <v>11427996</v>
      </c>
      <c r="D41" s="51">
        <v>8145638</v>
      </c>
      <c r="E41" s="23">
        <v>8481266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1.009506627987403</v>
      </c>
      <c r="D43" s="173">
        <f>IF(D38=0,0,IF((D46-D47)=0,0,((+D44-D45)/(D46-D47)/D38)))</f>
        <v>1.0166215248939936</v>
      </c>
      <c r="E43" s="173">
        <f>IF(E38=0,0,IF((E46-E47)=0,0,((+E44-E45)/(E46-E47)/E38)))</f>
        <v>1.0023717405681909</v>
      </c>
      <c r="F43" s="5"/>
    </row>
    <row r="44" spans="1:6" ht="24" customHeight="1" x14ac:dyDescent="0.2">
      <c r="A44" s="21">
        <v>6</v>
      </c>
      <c r="B44" s="48" t="s">
        <v>328</v>
      </c>
      <c r="C44" s="51">
        <v>66586056</v>
      </c>
      <c r="D44" s="51">
        <v>69666312</v>
      </c>
      <c r="E44" s="23">
        <v>71119217</v>
      </c>
      <c r="F44" s="5"/>
    </row>
    <row r="45" spans="1:6" ht="24" customHeight="1" x14ac:dyDescent="0.2">
      <c r="A45" s="21">
        <v>7</v>
      </c>
      <c r="B45" s="48" t="s">
        <v>329</v>
      </c>
      <c r="C45" s="51">
        <v>362184</v>
      </c>
      <c r="D45" s="51">
        <v>331792</v>
      </c>
      <c r="E45" s="23">
        <v>249027</v>
      </c>
      <c r="F45" s="5"/>
    </row>
    <row r="46" spans="1:6" ht="24" customHeight="1" x14ac:dyDescent="0.2">
      <c r="A46" s="21">
        <v>8</v>
      </c>
      <c r="B46" s="48" t="s">
        <v>330</v>
      </c>
      <c r="C46" s="51">
        <v>156633005</v>
      </c>
      <c r="D46" s="51">
        <v>174131459</v>
      </c>
      <c r="E46" s="23">
        <v>186327093</v>
      </c>
      <c r="F46" s="5"/>
    </row>
    <row r="47" spans="1:6" ht="24" customHeight="1" x14ac:dyDescent="0.2">
      <c r="A47" s="21">
        <v>9</v>
      </c>
      <c r="B47" s="48" t="s">
        <v>331</v>
      </c>
      <c r="C47" s="51">
        <v>9141147</v>
      </c>
      <c r="D47" s="51">
        <v>10403387</v>
      </c>
      <c r="E47" s="174">
        <v>10633998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1.071417588362539</v>
      </c>
      <c r="D49" s="175">
        <f>IF(D38=0,0,IF(D51=0,0,(D50/D51)/D38))</f>
        <v>1.1323574103993037</v>
      </c>
      <c r="E49" s="175">
        <f>IF(E38=0,0,IF(E51=0,0,(E50/E51)/E38))</f>
        <v>1.1305970405475321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79381763</v>
      </c>
      <c r="D50" s="176">
        <v>84533079</v>
      </c>
      <c r="E50" s="176">
        <v>84432027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166580676</v>
      </c>
      <c r="D51" s="176">
        <v>179215718</v>
      </c>
      <c r="E51" s="176">
        <v>185574920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0.65837793111907617</v>
      </c>
      <c r="D53" s="175">
        <f>IF(D38=0,0,IF(D55=0,0,(D54/D55)/D38))</f>
        <v>0.65384430074975231</v>
      </c>
      <c r="E53" s="175">
        <f>IF(E38=0,0,IF(E55=0,0,(E54/E55)/E38))</f>
        <v>0.65411023934098733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20748284</v>
      </c>
      <c r="D54" s="176">
        <v>20968946</v>
      </c>
      <c r="E54" s="176">
        <v>25333357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70854848</v>
      </c>
      <c r="D55" s="176">
        <v>76990155</v>
      </c>
      <c r="E55" s="176">
        <v>96241350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4906172.6071732547</v>
      </c>
      <c r="D57" s="53">
        <f>+D60*D38</f>
        <v>5089126.6942185787</v>
      </c>
      <c r="E57" s="53">
        <f>+E60*E38</f>
        <v>5210770.3329180302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584465</v>
      </c>
      <c r="D58" s="51">
        <v>493000</v>
      </c>
      <c r="E58" s="52">
        <v>1043954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10446296</v>
      </c>
      <c r="D59" s="51">
        <v>11724327</v>
      </c>
      <c r="E59" s="52">
        <v>11904617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11030761</v>
      </c>
      <c r="D60" s="51">
        <v>12217327</v>
      </c>
      <c r="E60" s="52">
        <v>12948571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2.5940499890918668E-2</v>
      </c>
      <c r="D62" s="178">
        <f>IF(D63=0,0,+D57/D63)</f>
        <v>2.6486982015207036E-2</v>
      </c>
      <c r="E62" s="178">
        <f>IF(E63=0,0,+E57/E63)</f>
        <v>2.6452589668690241E-2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189131768</v>
      </c>
      <c r="D63" s="176">
        <v>192136903</v>
      </c>
      <c r="E63" s="176">
        <v>196985263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1.2729105046378413</v>
      </c>
      <c r="D67" s="179">
        <f>IF(D69=0,0,D68/D69)</f>
        <v>1.6900930096714164</v>
      </c>
      <c r="E67" s="179">
        <f>IF(E69=0,0,E68/E69)</f>
        <v>1.751296004335906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41797521</v>
      </c>
      <c r="D68" s="180">
        <v>51079294</v>
      </c>
      <c r="E68" s="180">
        <v>56533835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32836182</v>
      </c>
      <c r="D69" s="180">
        <v>30222771</v>
      </c>
      <c r="E69" s="180">
        <v>32281142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26.844931796130027</v>
      </c>
      <c r="D71" s="181">
        <f>IF((D77/365)=0,0,+D74/(D77/365))</f>
        <v>37.720922733704697</v>
      </c>
      <c r="E71" s="181">
        <f>IF((E77/365)=0,0,+E74/(E77/365))</f>
        <v>44.211865444906316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13309855</v>
      </c>
      <c r="D72" s="182">
        <v>19053028</v>
      </c>
      <c r="E72" s="182">
        <v>22941812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24767</v>
      </c>
      <c r="D73" s="184">
        <v>28176</v>
      </c>
      <c r="E73" s="184">
        <v>35207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13334622</v>
      </c>
      <c r="D74" s="180">
        <f>+D72+D73</f>
        <v>19081204</v>
      </c>
      <c r="E74" s="180">
        <f>+E72+E73</f>
        <v>22977019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189131774</v>
      </c>
      <c r="D75" s="180">
        <f>+D14</f>
        <v>192136903</v>
      </c>
      <c r="E75" s="180">
        <f>+E14</f>
        <v>196985263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7826153</v>
      </c>
      <c r="D76" s="180">
        <v>7500925</v>
      </c>
      <c r="E76" s="180">
        <v>7293834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181305621</v>
      </c>
      <c r="D77" s="180">
        <f>+D75-D76</f>
        <v>184635978</v>
      </c>
      <c r="E77" s="180">
        <f>+E75-E76</f>
        <v>189691429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28.284823457409228</v>
      </c>
      <c r="D79" s="179">
        <f>IF((D84/365)=0,0,+D83/(D84/365))</f>
        <v>27.415097233877439</v>
      </c>
      <c r="E79" s="179">
        <f>IF((E84/365)=0,0,+E83/(E84/365))</f>
        <v>29.373054471414246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19663796</v>
      </c>
      <c r="D80" s="189">
        <v>21361544</v>
      </c>
      <c r="E80" s="189">
        <v>21905974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5428059</v>
      </c>
      <c r="D82" s="190">
        <v>6846898</v>
      </c>
      <c r="E82" s="190">
        <v>5935477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14235737</v>
      </c>
      <c r="D83" s="191">
        <f>+D80+D81-D82</f>
        <v>14514646</v>
      </c>
      <c r="E83" s="191">
        <f>+E80+E81-E82</f>
        <v>15970497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183704311</v>
      </c>
      <c r="D84" s="191">
        <f>+D11</f>
        <v>193245559</v>
      </c>
      <c r="E84" s="191">
        <f>+E11</f>
        <v>198455064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66.104990920275995</v>
      </c>
      <c r="D86" s="179">
        <f>IF((D90/365)=0,0,+D87/(D90/365))</f>
        <v>59.74627228394241</v>
      </c>
      <c r="E86" s="179">
        <f>IF((E90/365)=0,0,+E87/(E90/365))</f>
        <v>62.114650578123907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32836182</v>
      </c>
      <c r="D87" s="51">
        <f>+D69</f>
        <v>30222771</v>
      </c>
      <c r="E87" s="51">
        <f>+E69</f>
        <v>32281142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189131774</v>
      </c>
      <c r="D88" s="51">
        <f t="shared" si="0"/>
        <v>192136903</v>
      </c>
      <c r="E88" s="51">
        <f t="shared" si="0"/>
        <v>196985263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7826153</v>
      </c>
      <c r="D89" s="52">
        <f t="shared" si="0"/>
        <v>7500925</v>
      </c>
      <c r="E89" s="52">
        <f t="shared" si="0"/>
        <v>7293834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181305621</v>
      </c>
      <c r="D90" s="51">
        <f>+D88-D89</f>
        <v>184635978</v>
      </c>
      <c r="E90" s="51">
        <f>+E88-E89</f>
        <v>189691429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9.2127795082615531</v>
      </c>
      <c r="D94" s="192">
        <f>IF(D96=0,0,(D95/D96)*100)</f>
        <v>7.3600741432713477</v>
      </c>
      <c r="E94" s="192">
        <f>IF(E96=0,0,(E95/E96)*100)</f>
        <v>14.838788495922769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14865843</v>
      </c>
      <c r="D95" s="51">
        <f>+D32</f>
        <v>11261310</v>
      </c>
      <c r="E95" s="51">
        <f>+E32</f>
        <v>23714139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161361107</v>
      </c>
      <c r="D96" s="51">
        <v>153005388</v>
      </c>
      <c r="E96" s="51">
        <v>159811827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28.361394409662065</v>
      </c>
      <c r="D98" s="192">
        <f>IF(D104=0,0,(D101/D104)*100)</f>
        <v>34.844690647851934</v>
      </c>
      <c r="E98" s="192">
        <f>IF(E104=0,0,(E101/E104)*100)</f>
        <v>36.362453654655837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10155538</v>
      </c>
      <c r="D99" s="51">
        <f>+D28</f>
        <v>12774951</v>
      </c>
      <c r="E99" s="51">
        <f>+E28</f>
        <v>13626779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7826153</v>
      </c>
      <c r="D100" s="52">
        <f>+D76</f>
        <v>7500925</v>
      </c>
      <c r="E100" s="52">
        <f>+E76</f>
        <v>7293834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17981691</v>
      </c>
      <c r="D101" s="51">
        <f>+D99+D100</f>
        <v>20275876</v>
      </c>
      <c r="E101" s="51">
        <f>+E99+E100</f>
        <v>20920613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32836182</v>
      </c>
      <c r="D102" s="180">
        <f>+D69</f>
        <v>30222771</v>
      </c>
      <c r="E102" s="180">
        <f>+E69</f>
        <v>32281142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30565817</v>
      </c>
      <c r="D103" s="194">
        <v>27966513</v>
      </c>
      <c r="E103" s="194">
        <v>25252415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63401999</v>
      </c>
      <c r="D104" s="180">
        <f>+D102+D103</f>
        <v>58189284</v>
      </c>
      <c r="E104" s="180">
        <f>+E102+E103</f>
        <v>57533557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67.278670865207218</v>
      </c>
      <c r="D106" s="197">
        <f>IF(D109=0,0,(D107/D109)*100)</f>
        <v>71.292544070059662</v>
      </c>
      <c r="E106" s="197">
        <f>IF(E109=0,0,(E107/E109)*100)</f>
        <v>51.570741531045861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30565817</v>
      </c>
      <c r="D107" s="180">
        <f>+D103</f>
        <v>27966513</v>
      </c>
      <c r="E107" s="180">
        <f>+E103</f>
        <v>25252415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14865843</v>
      </c>
      <c r="D108" s="180">
        <f>+D32</f>
        <v>11261310</v>
      </c>
      <c r="E108" s="180">
        <f>+E32</f>
        <v>23714139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45431660</v>
      </c>
      <c r="D109" s="180">
        <f>+D107+D108</f>
        <v>39227823</v>
      </c>
      <c r="E109" s="180">
        <f>+E107+E108</f>
        <v>48966554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9.9355078995779138</v>
      </c>
      <c r="D111" s="197">
        <f>IF((+D113+D115)=0,0,((+D112+D113+D114)/(+D113+D115)))</f>
        <v>5.0031839468329693</v>
      </c>
      <c r="E111" s="197">
        <f>IF((+E113+E115)=0,0,((+E112+E113+E114)/(+E113+E115)))</f>
        <v>7.970099449069755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10155538</v>
      </c>
      <c r="D112" s="180">
        <f>+D17</f>
        <v>12774951</v>
      </c>
      <c r="E112" s="180">
        <f>+E17</f>
        <v>13626779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2012386</v>
      </c>
      <c r="D113" s="180">
        <v>1861697</v>
      </c>
      <c r="E113" s="180">
        <v>1719650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7826153</v>
      </c>
      <c r="D114" s="180">
        <v>7500925</v>
      </c>
      <c r="E114" s="180">
        <v>7293834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2563000</v>
      </c>
      <c r="E115" s="180">
        <v>1121000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13.122682625806064</v>
      </c>
      <c r="D119" s="197">
        <f>IF(+D121=0,0,(+D120)/(+D121))</f>
        <v>13.877760009598816</v>
      </c>
      <c r="E119" s="197">
        <f>IF(+E121=0,0,(+E120)/(+E121))</f>
        <v>14.829224383225613</v>
      </c>
    </row>
    <row r="120" spans="1:8" ht="24" customHeight="1" x14ac:dyDescent="0.25">
      <c r="A120" s="17">
        <v>21</v>
      </c>
      <c r="B120" s="48" t="s">
        <v>369</v>
      </c>
      <c r="C120" s="180">
        <v>102700122</v>
      </c>
      <c r="D120" s="180">
        <v>104096037</v>
      </c>
      <c r="E120" s="180">
        <v>108161901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7826153</v>
      </c>
      <c r="D121" s="180">
        <v>7500925</v>
      </c>
      <c r="E121" s="180">
        <v>7293834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58081</v>
      </c>
      <c r="D124" s="198">
        <v>53096</v>
      </c>
      <c r="E124" s="198">
        <v>52607</v>
      </c>
    </row>
    <row r="125" spans="1:8" ht="24" customHeight="1" x14ac:dyDescent="0.2">
      <c r="A125" s="44">
        <v>2</v>
      </c>
      <c r="B125" s="48" t="s">
        <v>373</v>
      </c>
      <c r="C125" s="198">
        <v>13153</v>
      </c>
      <c r="D125" s="198">
        <v>12462</v>
      </c>
      <c r="E125" s="198">
        <v>12208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4.4157986771078841</v>
      </c>
      <c r="D126" s="199">
        <f>IF(D125=0,0,D124/D125)</f>
        <v>4.2606323222596698</v>
      </c>
      <c r="E126" s="199">
        <f>IF(E125=0,0,E124/E125)</f>
        <v>4.309223460026212</v>
      </c>
    </row>
    <row r="127" spans="1:8" ht="24" customHeight="1" x14ac:dyDescent="0.2">
      <c r="A127" s="44">
        <v>4</v>
      </c>
      <c r="B127" s="48" t="s">
        <v>375</v>
      </c>
      <c r="C127" s="198">
        <v>196</v>
      </c>
      <c r="D127" s="198">
        <v>196</v>
      </c>
      <c r="E127" s="198">
        <v>181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196</v>
      </c>
      <c r="E128" s="198">
        <v>181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379</v>
      </c>
      <c r="D129" s="198">
        <v>379</v>
      </c>
      <c r="E129" s="198">
        <v>379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0.81179999999999997</v>
      </c>
      <c r="D130" s="171">
        <v>0.74209999999999998</v>
      </c>
      <c r="E130" s="171">
        <v>0.79620000000000002</v>
      </c>
    </row>
    <row r="131" spans="1:8" ht="24" customHeight="1" x14ac:dyDescent="0.2">
      <c r="A131" s="44">
        <v>7</v>
      </c>
      <c r="B131" s="48" t="s">
        <v>379</v>
      </c>
      <c r="C131" s="171">
        <v>0.81179999999999997</v>
      </c>
      <c r="D131" s="171">
        <v>0.74209999999999998</v>
      </c>
      <c r="E131" s="171">
        <v>0.79620000000000002</v>
      </c>
    </row>
    <row r="132" spans="1:8" ht="24" customHeight="1" x14ac:dyDescent="0.2">
      <c r="A132" s="44">
        <v>8</v>
      </c>
      <c r="B132" s="48" t="s">
        <v>380</v>
      </c>
      <c r="C132" s="199">
        <v>1209.2</v>
      </c>
      <c r="D132" s="199">
        <v>1205.4000000000001</v>
      </c>
      <c r="E132" s="199">
        <v>1198.7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0.35642825964278541</v>
      </c>
      <c r="D135" s="203">
        <f>IF(D149=0,0,D143/D149)</f>
        <v>0.36134115667961769</v>
      </c>
      <c r="E135" s="203">
        <f>IF(E149=0,0,E143/E149)</f>
        <v>0.36525126992380019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0.40255822417532167</v>
      </c>
      <c r="D136" s="203">
        <f>IF(D149=0,0,D144/D149)</f>
        <v>0.39552175779171322</v>
      </c>
      <c r="E136" s="203">
        <f>IF(E149=0,0,E144/E149)</f>
        <v>0.38579475872974761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0.17122755453995361</v>
      </c>
      <c r="D137" s="203">
        <f>IF(D149=0,0,D145/D149)</f>
        <v>0.16991412236652401</v>
      </c>
      <c r="E137" s="203">
        <f>IF(E149=0,0,E145/E149)</f>
        <v>0.20007772819233977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4.556868832191064E-2</v>
      </c>
      <c r="D138" s="203">
        <f>IF(D149=0,0,D146/D149)</f>
        <v>4.8341256169333435E-2</v>
      </c>
      <c r="E138" s="203">
        <f>IF(E149=0,0,E146/E149)</f>
        <v>2.4530678056944706E-2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2.2090460860211478E-2</v>
      </c>
      <c r="D139" s="203">
        <f>IF(D149=0,0,D147/D149)</f>
        <v>2.2959849499514646E-2</v>
      </c>
      <c r="E139" s="203">
        <f>IF(E149=0,0,E147/E149)</f>
        <v>2.2107193648487729E-2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2.126812459817141E-3</v>
      </c>
      <c r="D140" s="203">
        <f>IF(D149=0,0,D148/D149)</f>
        <v>1.9218574932970238E-3</v>
      </c>
      <c r="E140" s="203">
        <f>IF(E149=0,0,E148/E149)</f>
        <v>2.2383714486800153E-3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1.0000000000000002</v>
      </c>
      <c r="E141" s="203">
        <f>SUM(E135:E140)</f>
        <v>1.0000000000000002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147491858</v>
      </c>
      <c r="D143" s="205">
        <f>+D46-D147</f>
        <v>163728072</v>
      </c>
      <c r="E143" s="205">
        <f>+E46-E147</f>
        <v>175693095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166580676</v>
      </c>
      <c r="D144" s="205">
        <f>+D51</f>
        <v>179215718</v>
      </c>
      <c r="E144" s="205">
        <f>+E51</f>
        <v>185574920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70854848</v>
      </c>
      <c r="D145" s="205">
        <f>+D55</f>
        <v>76990155</v>
      </c>
      <c r="E145" s="205">
        <f>+E55</f>
        <v>96241350</v>
      </c>
    </row>
    <row r="146" spans="1:7" ht="20.100000000000001" customHeight="1" x14ac:dyDescent="0.2">
      <c r="A146" s="202">
        <v>11</v>
      </c>
      <c r="B146" s="201" t="s">
        <v>392</v>
      </c>
      <c r="C146" s="204">
        <v>18856559</v>
      </c>
      <c r="D146" s="205">
        <v>21904011</v>
      </c>
      <c r="E146" s="205">
        <v>11799742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9141147</v>
      </c>
      <c r="D147" s="205">
        <f>+D47</f>
        <v>10403387</v>
      </c>
      <c r="E147" s="205">
        <f>+E47</f>
        <v>10633998</v>
      </c>
    </row>
    <row r="148" spans="1:7" ht="20.100000000000001" customHeight="1" x14ac:dyDescent="0.2">
      <c r="A148" s="202">
        <v>13</v>
      </c>
      <c r="B148" s="201" t="s">
        <v>394</v>
      </c>
      <c r="C148" s="206">
        <v>880086</v>
      </c>
      <c r="D148" s="205">
        <v>870817</v>
      </c>
      <c r="E148" s="205">
        <v>1076701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413805174</v>
      </c>
      <c r="D149" s="205">
        <f>SUM(D143:D148)</f>
        <v>453112160</v>
      </c>
      <c r="E149" s="205">
        <f>SUM(E143:E148)</f>
        <v>481019806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0.38840331635748798</v>
      </c>
      <c r="D152" s="203">
        <f>IF(D166=0,0,D160/D166)</f>
        <v>0.38891817348984903</v>
      </c>
      <c r="E152" s="203">
        <f>IF(E166=0,0,E160/E166)</f>
        <v>0.38729937330079822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0.46557440808511064</v>
      </c>
      <c r="D153" s="203">
        <f>IF(D166=0,0,D161/D166)</f>
        <v>0.47417146154834727</v>
      </c>
      <c r="E153" s="203">
        <f>IF(E166=0,0,E161/E166)</f>
        <v>0.46141362318368379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0.12168878186897628</v>
      </c>
      <c r="D154" s="203">
        <f>IF(D166=0,0,D162/D166)</f>
        <v>0.11762112405663552</v>
      </c>
      <c r="E154" s="203">
        <f>IF(E166=0,0,E162/E166)</f>
        <v>0.1384445743648407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2.0363466184661817E-2</v>
      </c>
      <c r="D155" s="203">
        <f>IF(D166=0,0,D163/D166)</f>
        <v>1.5644042436581289E-2</v>
      </c>
      <c r="E155" s="203">
        <f>IF(E166=0,0,E163/E166)</f>
        <v>9.6624349355055369E-3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2.1242108394329529E-3</v>
      </c>
      <c r="D156" s="203">
        <f>IF(D166=0,0,D164/D166)</f>
        <v>1.8611211070408218E-3</v>
      </c>
      <c r="E156" s="203">
        <f>IF(E166=0,0,E164/E166)</f>
        <v>1.3609107162684041E-3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1.8458166643303422E-3</v>
      </c>
      <c r="D157" s="203">
        <f>IF(D166=0,0,D165/D166)</f>
        <v>1.7840773615460368E-3</v>
      </c>
      <c r="E157" s="203">
        <f>IF(E166=0,0,E165/E166)</f>
        <v>1.819083498903326E-3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0.99999999999999989</v>
      </c>
      <c r="D158" s="203">
        <f>SUM(D152:D157)</f>
        <v>0.99999999999999989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66223872</v>
      </c>
      <c r="D160" s="208">
        <f>+D44-D164</f>
        <v>69334520</v>
      </c>
      <c r="E160" s="208">
        <f>+E44-E164</f>
        <v>70870190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79381763</v>
      </c>
      <c r="D161" s="208">
        <f>+D50</f>
        <v>84533079</v>
      </c>
      <c r="E161" s="208">
        <f>+E50</f>
        <v>84432027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20748284</v>
      </c>
      <c r="D162" s="208">
        <f>+D54</f>
        <v>20968946</v>
      </c>
      <c r="E162" s="208">
        <f>+E54</f>
        <v>25333357</v>
      </c>
    </row>
    <row r="163" spans="1:6" ht="20.100000000000001" customHeight="1" x14ac:dyDescent="0.2">
      <c r="A163" s="202">
        <v>11</v>
      </c>
      <c r="B163" s="201" t="s">
        <v>408</v>
      </c>
      <c r="C163" s="207">
        <v>3472029</v>
      </c>
      <c r="D163" s="208">
        <v>2788947</v>
      </c>
      <c r="E163" s="208">
        <v>1768086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362184</v>
      </c>
      <c r="D164" s="208">
        <f>+D45</f>
        <v>331792</v>
      </c>
      <c r="E164" s="208">
        <f>+E45</f>
        <v>249027</v>
      </c>
    </row>
    <row r="165" spans="1:6" ht="20.100000000000001" customHeight="1" x14ac:dyDescent="0.2">
      <c r="A165" s="202">
        <v>13</v>
      </c>
      <c r="B165" s="201" t="s">
        <v>410</v>
      </c>
      <c r="C165" s="209">
        <v>314717</v>
      </c>
      <c r="D165" s="208">
        <v>318057</v>
      </c>
      <c r="E165" s="208">
        <v>332866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170502849</v>
      </c>
      <c r="D166" s="208">
        <f>SUM(D160:D165)</f>
        <v>178275341</v>
      </c>
      <c r="E166" s="208">
        <f>SUM(E160:E165)</f>
        <v>182985553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4241</v>
      </c>
      <c r="D169" s="198">
        <v>3956</v>
      </c>
      <c r="E169" s="198">
        <v>4007</v>
      </c>
    </row>
    <row r="170" spans="1:6" ht="20.100000000000001" customHeight="1" x14ac:dyDescent="0.2">
      <c r="A170" s="202">
        <v>2</v>
      </c>
      <c r="B170" s="201" t="s">
        <v>414</v>
      </c>
      <c r="C170" s="198">
        <v>5470</v>
      </c>
      <c r="D170" s="198">
        <v>5300</v>
      </c>
      <c r="E170" s="198">
        <v>5130</v>
      </c>
    </row>
    <row r="171" spans="1:6" ht="20.100000000000001" customHeight="1" x14ac:dyDescent="0.2">
      <c r="A171" s="202">
        <v>3</v>
      </c>
      <c r="B171" s="201" t="s">
        <v>415</v>
      </c>
      <c r="C171" s="198">
        <v>3401</v>
      </c>
      <c r="D171" s="198">
        <v>3176</v>
      </c>
      <c r="E171" s="198">
        <v>3023</v>
      </c>
    </row>
    <row r="172" spans="1:6" ht="20.100000000000001" customHeight="1" x14ac:dyDescent="0.2">
      <c r="A172" s="202">
        <v>4</v>
      </c>
      <c r="B172" s="201" t="s">
        <v>416</v>
      </c>
      <c r="C172" s="198">
        <v>2847</v>
      </c>
      <c r="D172" s="198">
        <v>2603</v>
      </c>
      <c r="E172" s="198">
        <v>2687</v>
      </c>
    </row>
    <row r="173" spans="1:6" ht="20.100000000000001" customHeight="1" x14ac:dyDescent="0.2">
      <c r="A173" s="202">
        <v>5</v>
      </c>
      <c r="B173" s="201" t="s">
        <v>417</v>
      </c>
      <c r="C173" s="198">
        <v>554</v>
      </c>
      <c r="D173" s="198">
        <v>573</v>
      </c>
      <c r="E173" s="198">
        <v>336</v>
      </c>
    </row>
    <row r="174" spans="1:6" ht="20.100000000000001" customHeight="1" x14ac:dyDescent="0.2">
      <c r="A174" s="202">
        <v>6</v>
      </c>
      <c r="B174" s="201" t="s">
        <v>418</v>
      </c>
      <c r="C174" s="198">
        <v>41</v>
      </c>
      <c r="D174" s="198">
        <v>30</v>
      </c>
      <c r="E174" s="198">
        <v>48</v>
      </c>
    </row>
    <row r="175" spans="1:6" ht="20.100000000000001" customHeight="1" x14ac:dyDescent="0.2">
      <c r="A175" s="202">
        <v>7</v>
      </c>
      <c r="B175" s="201" t="s">
        <v>419</v>
      </c>
      <c r="C175" s="198">
        <v>141</v>
      </c>
      <c r="D175" s="198">
        <v>196</v>
      </c>
      <c r="E175" s="198">
        <v>184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13153</v>
      </c>
      <c r="D176" s="198">
        <f>+D169+D170+D171+D174</f>
        <v>12462</v>
      </c>
      <c r="E176" s="198">
        <f>+E169+E170+E171+E174</f>
        <v>12208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1.1557999999999999</v>
      </c>
      <c r="D179" s="210">
        <v>1.1393500000000001</v>
      </c>
      <c r="E179" s="210">
        <v>1.1935500000000001</v>
      </c>
    </row>
    <row r="180" spans="1:6" ht="20.100000000000001" customHeight="1" x14ac:dyDescent="0.2">
      <c r="A180" s="202">
        <v>2</v>
      </c>
      <c r="B180" s="201" t="s">
        <v>414</v>
      </c>
      <c r="C180" s="210">
        <v>1.4974000000000001</v>
      </c>
      <c r="D180" s="210">
        <v>1.5644400000000001</v>
      </c>
      <c r="E180" s="210">
        <v>1.5350600000000001</v>
      </c>
    </row>
    <row r="181" spans="1:6" ht="20.100000000000001" customHeight="1" x14ac:dyDescent="0.2">
      <c r="A181" s="202">
        <v>3</v>
      </c>
      <c r="B181" s="201" t="s">
        <v>415</v>
      </c>
      <c r="C181" s="210">
        <v>0.88632999999999995</v>
      </c>
      <c r="D181" s="210">
        <v>0.91107400000000005</v>
      </c>
      <c r="E181" s="210">
        <v>0.98811400000000005</v>
      </c>
    </row>
    <row r="182" spans="1:6" ht="20.100000000000001" customHeight="1" x14ac:dyDescent="0.2">
      <c r="A182" s="202">
        <v>4</v>
      </c>
      <c r="B182" s="201" t="s">
        <v>416</v>
      </c>
      <c r="C182" s="210">
        <v>0.84089999999999998</v>
      </c>
      <c r="D182" s="210">
        <v>0.85870000000000002</v>
      </c>
      <c r="E182" s="210">
        <v>0.97384000000000004</v>
      </c>
    </row>
    <row r="183" spans="1:6" ht="20.100000000000001" customHeight="1" x14ac:dyDescent="0.2">
      <c r="A183" s="202">
        <v>5</v>
      </c>
      <c r="B183" s="201" t="s">
        <v>417</v>
      </c>
      <c r="C183" s="210">
        <v>1.1197999999999999</v>
      </c>
      <c r="D183" s="210">
        <v>1.149</v>
      </c>
      <c r="E183" s="210">
        <v>1.1022700000000001</v>
      </c>
    </row>
    <row r="184" spans="1:6" ht="20.100000000000001" customHeight="1" x14ac:dyDescent="0.2">
      <c r="A184" s="202">
        <v>6</v>
      </c>
      <c r="B184" s="201" t="s">
        <v>418</v>
      </c>
      <c r="C184" s="210">
        <v>0.6532</v>
      </c>
      <c r="D184" s="210">
        <v>0.61797000000000002</v>
      </c>
      <c r="E184" s="210">
        <v>0.68227000000000004</v>
      </c>
    </row>
    <row r="185" spans="1:6" ht="20.100000000000001" customHeight="1" x14ac:dyDescent="0.2">
      <c r="A185" s="202">
        <v>7</v>
      </c>
      <c r="B185" s="201" t="s">
        <v>419</v>
      </c>
      <c r="C185" s="210">
        <v>1.0893999999999999</v>
      </c>
      <c r="D185" s="210">
        <v>0.98958999999999997</v>
      </c>
      <c r="E185" s="210">
        <v>1.0383500000000001</v>
      </c>
    </row>
    <row r="186" spans="1:6" ht="20.100000000000001" customHeight="1" x14ac:dyDescent="0.2">
      <c r="A186" s="202">
        <v>8</v>
      </c>
      <c r="B186" s="201" t="s">
        <v>423</v>
      </c>
      <c r="C186" s="210">
        <v>1.226618</v>
      </c>
      <c r="D186" s="210">
        <v>1.260705</v>
      </c>
      <c r="E186" s="210">
        <v>1.284176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8246</v>
      </c>
      <c r="D189" s="198">
        <v>7575</v>
      </c>
      <c r="E189" s="198">
        <v>7441</v>
      </c>
    </row>
    <row r="190" spans="1:6" ht="20.100000000000001" customHeight="1" x14ac:dyDescent="0.2">
      <c r="A190" s="202">
        <v>2</v>
      </c>
      <c r="B190" s="201" t="s">
        <v>427</v>
      </c>
      <c r="C190" s="198">
        <v>60106</v>
      </c>
      <c r="D190" s="198">
        <v>61984</v>
      </c>
      <c r="E190" s="198">
        <v>60527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68352</v>
      </c>
      <c r="D191" s="198">
        <f>+D190+D189</f>
        <v>69559</v>
      </c>
      <c r="E191" s="198">
        <f>+E190+E189</f>
        <v>67968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1" orientation="portrait" r:id="rId1"/>
  <headerFooter>
    <oddHeader>&amp;LOFFICE OF HEALTH CARE ACCESS&amp;CTWELVE MONTHS ACTUAL FILING&amp;RSAINT MARY`S HOSPITAL</oddHeader>
    <oddFooter>&amp;L&amp;8REPORT 185&amp;C&amp;8PAGE &amp;P of &amp;N&amp;R&amp;D, &amp;T</oddFooter>
  </headerFooter>
  <rowBreaks count="4" manualBreakCount="4">
    <brk id="42" max="4" man="1"/>
    <brk id="78" max="4" man="1"/>
    <brk id="110" max="4" man="1"/>
    <brk id="150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sqref="A1:F1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1.8554687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753752</v>
      </c>
      <c r="D14" s="237">
        <v>280132</v>
      </c>
      <c r="E14" s="237">
        <f t="shared" ref="E14:E24" si="0">D14-C14</f>
        <v>-473620</v>
      </c>
      <c r="F14" s="238">
        <f t="shared" ref="F14:F24" si="1">IF(C14=0,0,E14/C14)</f>
        <v>-0.62834990819261505</v>
      </c>
    </row>
    <row r="15" spans="1:7" ht="33" customHeight="1" x14ac:dyDescent="0.3">
      <c r="A15" s="235">
        <v>2</v>
      </c>
      <c r="B15" s="236" t="s">
        <v>435</v>
      </c>
      <c r="C15" s="237">
        <v>404226</v>
      </c>
      <c r="D15" s="237">
        <v>115586</v>
      </c>
      <c r="E15" s="237">
        <f t="shared" si="0"/>
        <v>-288640</v>
      </c>
      <c r="F15" s="238">
        <f t="shared" si="1"/>
        <v>-0.71405599837714551</v>
      </c>
    </row>
    <row r="16" spans="1:7" ht="20.25" customHeight="1" x14ac:dyDescent="0.3">
      <c r="A16" s="235">
        <v>3</v>
      </c>
      <c r="B16" s="236" t="s">
        <v>436</v>
      </c>
      <c r="C16" s="237">
        <v>250814</v>
      </c>
      <c r="D16" s="237">
        <v>272473</v>
      </c>
      <c r="E16" s="237">
        <f t="shared" si="0"/>
        <v>21659</v>
      </c>
      <c r="F16" s="238">
        <f t="shared" si="1"/>
        <v>8.6354828677824999E-2</v>
      </c>
    </row>
    <row r="17" spans="1:6" ht="20.25" customHeight="1" x14ac:dyDescent="0.3">
      <c r="A17" s="235">
        <v>4</v>
      </c>
      <c r="B17" s="236" t="s">
        <v>437</v>
      </c>
      <c r="C17" s="237">
        <v>85634</v>
      </c>
      <c r="D17" s="237">
        <v>110085</v>
      </c>
      <c r="E17" s="237">
        <f t="shared" si="0"/>
        <v>24451</v>
      </c>
      <c r="F17" s="238">
        <f t="shared" si="1"/>
        <v>0.28552911226849148</v>
      </c>
    </row>
    <row r="18" spans="1:6" ht="20.25" customHeight="1" x14ac:dyDescent="0.3">
      <c r="A18" s="235">
        <v>5</v>
      </c>
      <c r="B18" s="236" t="s">
        <v>373</v>
      </c>
      <c r="C18" s="239">
        <v>26</v>
      </c>
      <c r="D18" s="239">
        <v>10</v>
      </c>
      <c r="E18" s="239">
        <f t="shared" si="0"/>
        <v>-16</v>
      </c>
      <c r="F18" s="238">
        <f t="shared" si="1"/>
        <v>-0.61538461538461542</v>
      </c>
    </row>
    <row r="19" spans="1:6" ht="20.25" customHeight="1" x14ac:dyDescent="0.3">
      <c r="A19" s="235">
        <v>6</v>
      </c>
      <c r="B19" s="236" t="s">
        <v>372</v>
      </c>
      <c r="C19" s="239">
        <v>109</v>
      </c>
      <c r="D19" s="239">
        <v>52</v>
      </c>
      <c r="E19" s="239">
        <f t="shared" si="0"/>
        <v>-57</v>
      </c>
      <c r="F19" s="238">
        <f t="shared" si="1"/>
        <v>-0.52293577981651373</v>
      </c>
    </row>
    <row r="20" spans="1:6" ht="20.25" customHeight="1" x14ac:dyDescent="0.3">
      <c r="A20" s="235">
        <v>7</v>
      </c>
      <c r="B20" s="236" t="s">
        <v>438</v>
      </c>
      <c r="C20" s="239">
        <v>293</v>
      </c>
      <c r="D20" s="239">
        <v>284</v>
      </c>
      <c r="E20" s="239">
        <f t="shared" si="0"/>
        <v>-9</v>
      </c>
      <c r="F20" s="238">
        <f t="shared" si="1"/>
        <v>-3.0716723549488054E-2</v>
      </c>
    </row>
    <row r="21" spans="1:6" ht="20.25" customHeight="1" x14ac:dyDescent="0.3">
      <c r="A21" s="235">
        <v>8</v>
      </c>
      <c r="B21" s="236" t="s">
        <v>439</v>
      </c>
      <c r="C21" s="239">
        <v>22</v>
      </c>
      <c r="D21" s="239">
        <v>26</v>
      </c>
      <c r="E21" s="239">
        <f t="shared" si="0"/>
        <v>4</v>
      </c>
      <c r="F21" s="238">
        <f t="shared" si="1"/>
        <v>0.18181818181818182</v>
      </c>
    </row>
    <row r="22" spans="1:6" ht="20.25" customHeight="1" x14ac:dyDescent="0.3">
      <c r="A22" s="235">
        <v>9</v>
      </c>
      <c r="B22" s="236" t="s">
        <v>440</v>
      </c>
      <c r="C22" s="239">
        <v>19</v>
      </c>
      <c r="D22" s="239">
        <v>9</v>
      </c>
      <c r="E22" s="239">
        <f t="shared" si="0"/>
        <v>-10</v>
      </c>
      <c r="F22" s="238">
        <f t="shared" si="1"/>
        <v>-0.52631578947368418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1004566</v>
      </c>
      <c r="D23" s="243">
        <f>+D14+D16</f>
        <v>552605</v>
      </c>
      <c r="E23" s="243">
        <f t="shared" si="0"/>
        <v>-451961</v>
      </c>
      <c r="F23" s="244">
        <f t="shared" si="1"/>
        <v>-0.44990672588958813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489860</v>
      </c>
      <c r="D24" s="243">
        <f>+D15+D17</f>
        <v>225671</v>
      </c>
      <c r="E24" s="243">
        <f t="shared" si="0"/>
        <v>-264189</v>
      </c>
      <c r="F24" s="244">
        <f t="shared" si="1"/>
        <v>-0.53931531457967585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1806333</v>
      </c>
      <c r="D40" s="237">
        <v>2746167</v>
      </c>
      <c r="E40" s="237">
        <f t="shared" ref="E40:E50" si="4">D40-C40</f>
        <v>939834</v>
      </c>
      <c r="F40" s="238">
        <f t="shared" ref="F40:F50" si="5">IF(C40=0,0,E40/C40)</f>
        <v>0.52029941323111517</v>
      </c>
    </row>
    <row r="41" spans="1:6" ht="20.25" customHeight="1" x14ac:dyDescent="0.3">
      <c r="A41" s="235">
        <v>2</v>
      </c>
      <c r="B41" s="236" t="s">
        <v>435</v>
      </c>
      <c r="C41" s="237">
        <v>883837</v>
      </c>
      <c r="D41" s="237">
        <v>1337758</v>
      </c>
      <c r="E41" s="237">
        <f t="shared" si="4"/>
        <v>453921</v>
      </c>
      <c r="F41" s="238">
        <f t="shared" si="5"/>
        <v>0.51357999269096</v>
      </c>
    </row>
    <row r="42" spans="1:6" ht="20.25" customHeight="1" x14ac:dyDescent="0.3">
      <c r="A42" s="235">
        <v>3</v>
      </c>
      <c r="B42" s="236" t="s">
        <v>436</v>
      </c>
      <c r="C42" s="237">
        <v>1263746</v>
      </c>
      <c r="D42" s="237">
        <v>1324800</v>
      </c>
      <c r="E42" s="237">
        <f t="shared" si="4"/>
        <v>61054</v>
      </c>
      <c r="F42" s="238">
        <f t="shared" si="5"/>
        <v>4.8311923440311579E-2</v>
      </c>
    </row>
    <row r="43" spans="1:6" ht="20.25" customHeight="1" x14ac:dyDescent="0.3">
      <c r="A43" s="235">
        <v>4</v>
      </c>
      <c r="B43" s="236" t="s">
        <v>437</v>
      </c>
      <c r="C43" s="237">
        <v>333501</v>
      </c>
      <c r="D43" s="237">
        <v>352592</v>
      </c>
      <c r="E43" s="237">
        <f t="shared" si="4"/>
        <v>19091</v>
      </c>
      <c r="F43" s="238">
        <f t="shared" si="5"/>
        <v>5.7244206164299358E-2</v>
      </c>
    </row>
    <row r="44" spans="1:6" ht="20.25" customHeight="1" x14ac:dyDescent="0.3">
      <c r="A44" s="235">
        <v>5</v>
      </c>
      <c r="B44" s="236" t="s">
        <v>373</v>
      </c>
      <c r="C44" s="239">
        <v>71</v>
      </c>
      <c r="D44" s="239">
        <v>83</v>
      </c>
      <c r="E44" s="239">
        <f t="shared" si="4"/>
        <v>12</v>
      </c>
      <c r="F44" s="238">
        <f t="shared" si="5"/>
        <v>0.16901408450704225</v>
      </c>
    </row>
    <row r="45" spans="1:6" ht="20.25" customHeight="1" x14ac:dyDescent="0.3">
      <c r="A45" s="235">
        <v>6</v>
      </c>
      <c r="B45" s="236" t="s">
        <v>372</v>
      </c>
      <c r="C45" s="239">
        <v>334</v>
      </c>
      <c r="D45" s="239">
        <v>430</v>
      </c>
      <c r="E45" s="239">
        <f t="shared" si="4"/>
        <v>96</v>
      </c>
      <c r="F45" s="238">
        <f t="shared" si="5"/>
        <v>0.28742514970059879</v>
      </c>
    </row>
    <row r="46" spans="1:6" ht="20.25" customHeight="1" x14ac:dyDescent="0.3">
      <c r="A46" s="235">
        <v>7</v>
      </c>
      <c r="B46" s="236" t="s">
        <v>438</v>
      </c>
      <c r="C46" s="239">
        <v>1340</v>
      </c>
      <c r="D46" s="239">
        <v>1640</v>
      </c>
      <c r="E46" s="239">
        <f t="shared" si="4"/>
        <v>300</v>
      </c>
      <c r="F46" s="238">
        <f t="shared" si="5"/>
        <v>0.22388059701492538</v>
      </c>
    </row>
    <row r="47" spans="1:6" ht="20.25" customHeight="1" x14ac:dyDescent="0.3">
      <c r="A47" s="235">
        <v>8</v>
      </c>
      <c r="B47" s="236" t="s">
        <v>439</v>
      </c>
      <c r="C47" s="239">
        <v>93</v>
      </c>
      <c r="D47" s="239">
        <v>93</v>
      </c>
      <c r="E47" s="239">
        <f t="shared" si="4"/>
        <v>0</v>
      </c>
      <c r="F47" s="238">
        <f t="shared" si="5"/>
        <v>0</v>
      </c>
    </row>
    <row r="48" spans="1:6" ht="20.25" customHeight="1" x14ac:dyDescent="0.3">
      <c r="A48" s="235">
        <v>9</v>
      </c>
      <c r="B48" s="236" t="s">
        <v>440</v>
      </c>
      <c r="C48" s="239">
        <v>51</v>
      </c>
      <c r="D48" s="239">
        <v>63</v>
      </c>
      <c r="E48" s="239">
        <f t="shared" si="4"/>
        <v>12</v>
      </c>
      <c r="F48" s="238">
        <f t="shared" si="5"/>
        <v>0.23529411764705882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3070079</v>
      </c>
      <c r="D49" s="243">
        <f>+D40+D42</f>
        <v>4070967</v>
      </c>
      <c r="E49" s="243">
        <f t="shared" si="4"/>
        <v>1000888</v>
      </c>
      <c r="F49" s="244">
        <f t="shared" si="5"/>
        <v>0.32601376055795306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1217338</v>
      </c>
      <c r="D50" s="243">
        <f>+D41+D43</f>
        <v>1690350</v>
      </c>
      <c r="E50" s="243">
        <f t="shared" si="4"/>
        <v>473012</v>
      </c>
      <c r="F50" s="244">
        <f t="shared" si="5"/>
        <v>0.38856258491889678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8810469</v>
      </c>
      <c r="D53" s="237">
        <v>9852781</v>
      </c>
      <c r="E53" s="237">
        <f t="shared" ref="E53:E63" si="6">D53-C53</f>
        <v>1042312</v>
      </c>
      <c r="F53" s="238">
        <f t="shared" ref="F53:F63" si="7">IF(C53=0,0,E53/C53)</f>
        <v>0.11830380425832042</v>
      </c>
    </row>
    <row r="54" spans="1:6" ht="20.25" customHeight="1" x14ac:dyDescent="0.3">
      <c r="A54" s="235">
        <v>2</v>
      </c>
      <c r="B54" s="236" t="s">
        <v>435</v>
      </c>
      <c r="C54" s="237">
        <v>4534515</v>
      </c>
      <c r="D54" s="237">
        <v>5179057</v>
      </c>
      <c r="E54" s="237">
        <f t="shared" si="6"/>
        <v>644542</v>
      </c>
      <c r="F54" s="238">
        <f t="shared" si="7"/>
        <v>0.14214133154262362</v>
      </c>
    </row>
    <row r="55" spans="1:6" ht="20.25" customHeight="1" x14ac:dyDescent="0.3">
      <c r="A55" s="235">
        <v>3</v>
      </c>
      <c r="B55" s="236" t="s">
        <v>436</v>
      </c>
      <c r="C55" s="237">
        <v>4561981</v>
      </c>
      <c r="D55" s="237">
        <v>5270677</v>
      </c>
      <c r="E55" s="237">
        <f t="shared" si="6"/>
        <v>708696</v>
      </c>
      <c r="F55" s="238">
        <f t="shared" si="7"/>
        <v>0.15534830153830101</v>
      </c>
    </row>
    <row r="56" spans="1:6" ht="20.25" customHeight="1" x14ac:dyDescent="0.3">
      <c r="A56" s="235">
        <v>4</v>
      </c>
      <c r="B56" s="236" t="s">
        <v>437</v>
      </c>
      <c r="C56" s="237">
        <v>1147021</v>
      </c>
      <c r="D56" s="237">
        <v>1271394</v>
      </c>
      <c r="E56" s="237">
        <f t="shared" si="6"/>
        <v>124373</v>
      </c>
      <c r="F56" s="238">
        <f t="shared" si="7"/>
        <v>0.10843131904298178</v>
      </c>
    </row>
    <row r="57" spans="1:6" ht="20.25" customHeight="1" x14ac:dyDescent="0.3">
      <c r="A57" s="235">
        <v>5</v>
      </c>
      <c r="B57" s="236" t="s">
        <v>373</v>
      </c>
      <c r="C57" s="239">
        <v>335</v>
      </c>
      <c r="D57" s="239">
        <v>368</v>
      </c>
      <c r="E57" s="239">
        <f t="shared" si="6"/>
        <v>33</v>
      </c>
      <c r="F57" s="238">
        <f t="shared" si="7"/>
        <v>9.8507462686567168E-2</v>
      </c>
    </row>
    <row r="58" spans="1:6" ht="20.25" customHeight="1" x14ac:dyDescent="0.3">
      <c r="A58" s="235">
        <v>6</v>
      </c>
      <c r="B58" s="236" t="s">
        <v>372</v>
      </c>
      <c r="C58" s="239">
        <v>1735</v>
      </c>
      <c r="D58" s="239">
        <v>1935</v>
      </c>
      <c r="E58" s="239">
        <f t="shared" si="6"/>
        <v>200</v>
      </c>
      <c r="F58" s="238">
        <f t="shared" si="7"/>
        <v>0.11527377521613832</v>
      </c>
    </row>
    <row r="59" spans="1:6" ht="20.25" customHeight="1" x14ac:dyDescent="0.3">
      <c r="A59" s="235">
        <v>7</v>
      </c>
      <c r="B59" s="236" t="s">
        <v>438</v>
      </c>
      <c r="C59" s="239">
        <v>4111</v>
      </c>
      <c r="D59" s="239">
        <v>4363</v>
      </c>
      <c r="E59" s="239">
        <f t="shared" si="6"/>
        <v>252</v>
      </c>
      <c r="F59" s="238">
        <f t="shared" si="7"/>
        <v>6.1298954025784481E-2</v>
      </c>
    </row>
    <row r="60" spans="1:6" ht="20.25" customHeight="1" x14ac:dyDescent="0.3">
      <c r="A60" s="235">
        <v>8</v>
      </c>
      <c r="B60" s="236" t="s">
        <v>439</v>
      </c>
      <c r="C60" s="239">
        <v>406</v>
      </c>
      <c r="D60" s="239">
        <v>401</v>
      </c>
      <c r="E60" s="239">
        <f t="shared" si="6"/>
        <v>-5</v>
      </c>
      <c r="F60" s="238">
        <f t="shared" si="7"/>
        <v>-1.2315270935960592E-2</v>
      </c>
    </row>
    <row r="61" spans="1:6" ht="20.25" customHeight="1" x14ac:dyDescent="0.3">
      <c r="A61" s="235">
        <v>9</v>
      </c>
      <c r="B61" s="236" t="s">
        <v>440</v>
      </c>
      <c r="C61" s="239">
        <v>276</v>
      </c>
      <c r="D61" s="239">
        <v>299</v>
      </c>
      <c r="E61" s="239">
        <f t="shared" si="6"/>
        <v>23</v>
      </c>
      <c r="F61" s="238">
        <f t="shared" si="7"/>
        <v>8.3333333333333329E-2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13372450</v>
      </c>
      <c r="D62" s="243">
        <f>+D53+D55</f>
        <v>15123458</v>
      </c>
      <c r="E62" s="243">
        <f t="shared" si="6"/>
        <v>1751008</v>
      </c>
      <c r="F62" s="244">
        <f t="shared" si="7"/>
        <v>0.13094145051953832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5681536</v>
      </c>
      <c r="D63" s="243">
        <f>+D54+D56</f>
        <v>6450451</v>
      </c>
      <c r="E63" s="243">
        <f t="shared" si="6"/>
        <v>768915</v>
      </c>
      <c r="F63" s="244">
        <f t="shared" si="7"/>
        <v>0.13533576131524996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834840</v>
      </c>
      <c r="D66" s="237">
        <v>846001</v>
      </c>
      <c r="E66" s="237">
        <f t="shared" ref="E66:E76" si="8">D66-C66</f>
        <v>11161</v>
      </c>
      <c r="F66" s="238">
        <f t="shared" ref="F66:F76" si="9">IF(C66=0,0,E66/C66)</f>
        <v>1.3369028795936946E-2</v>
      </c>
    </row>
    <row r="67" spans="1:6" ht="20.25" customHeight="1" x14ac:dyDescent="0.3">
      <c r="A67" s="235">
        <v>2</v>
      </c>
      <c r="B67" s="236" t="s">
        <v>435</v>
      </c>
      <c r="C67" s="237">
        <v>432200</v>
      </c>
      <c r="D67" s="237">
        <v>389147</v>
      </c>
      <c r="E67" s="237">
        <f t="shared" si="8"/>
        <v>-43053</v>
      </c>
      <c r="F67" s="238">
        <f t="shared" si="9"/>
        <v>-9.961360481258677E-2</v>
      </c>
    </row>
    <row r="68" spans="1:6" ht="20.25" customHeight="1" x14ac:dyDescent="0.3">
      <c r="A68" s="235">
        <v>3</v>
      </c>
      <c r="B68" s="236" t="s">
        <v>436</v>
      </c>
      <c r="C68" s="237">
        <v>368572</v>
      </c>
      <c r="D68" s="237">
        <v>477328</v>
      </c>
      <c r="E68" s="237">
        <f t="shared" si="8"/>
        <v>108756</v>
      </c>
      <c r="F68" s="238">
        <f t="shared" si="9"/>
        <v>0.29507396112564166</v>
      </c>
    </row>
    <row r="69" spans="1:6" ht="20.25" customHeight="1" x14ac:dyDescent="0.3">
      <c r="A69" s="235">
        <v>4</v>
      </c>
      <c r="B69" s="236" t="s">
        <v>437</v>
      </c>
      <c r="C69" s="237">
        <v>85063</v>
      </c>
      <c r="D69" s="237">
        <v>117533</v>
      </c>
      <c r="E69" s="237">
        <f t="shared" si="8"/>
        <v>32470</v>
      </c>
      <c r="F69" s="238">
        <f t="shared" si="9"/>
        <v>0.38171708028167356</v>
      </c>
    </row>
    <row r="70" spans="1:6" ht="20.25" customHeight="1" x14ac:dyDescent="0.3">
      <c r="A70" s="235">
        <v>5</v>
      </c>
      <c r="B70" s="236" t="s">
        <v>373</v>
      </c>
      <c r="C70" s="239">
        <v>32</v>
      </c>
      <c r="D70" s="239">
        <v>40</v>
      </c>
      <c r="E70" s="239">
        <f t="shared" si="8"/>
        <v>8</v>
      </c>
      <c r="F70" s="238">
        <f t="shared" si="9"/>
        <v>0.25</v>
      </c>
    </row>
    <row r="71" spans="1:6" ht="20.25" customHeight="1" x14ac:dyDescent="0.3">
      <c r="A71" s="235">
        <v>6</v>
      </c>
      <c r="B71" s="236" t="s">
        <v>372</v>
      </c>
      <c r="C71" s="239">
        <v>226</v>
      </c>
      <c r="D71" s="239">
        <v>291</v>
      </c>
      <c r="E71" s="239">
        <f t="shared" si="8"/>
        <v>65</v>
      </c>
      <c r="F71" s="238">
        <f t="shared" si="9"/>
        <v>0.28761061946902655</v>
      </c>
    </row>
    <row r="72" spans="1:6" ht="20.25" customHeight="1" x14ac:dyDescent="0.3">
      <c r="A72" s="235">
        <v>7</v>
      </c>
      <c r="B72" s="236" t="s">
        <v>438</v>
      </c>
      <c r="C72" s="239">
        <v>258</v>
      </c>
      <c r="D72" s="239">
        <v>355</v>
      </c>
      <c r="E72" s="239">
        <f t="shared" si="8"/>
        <v>97</v>
      </c>
      <c r="F72" s="238">
        <f t="shared" si="9"/>
        <v>0.37596899224806202</v>
      </c>
    </row>
    <row r="73" spans="1:6" ht="20.25" customHeight="1" x14ac:dyDescent="0.3">
      <c r="A73" s="235">
        <v>8</v>
      </c>
      <c r="B73" s="236" t="s">
        <v>439</v>
      </c>
      <c r="C73" s="239">
        <v>71</v>
      </c>
      <c r="D73" s="239">
        <v>55</v>
      </c>
      <c r="E73" s="239">
        <f t="shared" si="8"/>
        <v>-16</v>
      </c>
      <c r="F73" s="238">
        <f t="shared" si="9"/>
        <v>-0.22535211267605634</v>
      </c>
    </row>
    <row r="74" spans="1:6" ht="20.25" customHeight="1" x14ac:dyDescent="0.3">
      <c r="A74" s="235">
        <v>9</v>
      </c>
      <c r="B74" s="236" t="s">
        <v>440</v>
      </c>
      <c r="C74" s="239">
        <v>28</v>
      </c>
      <c r="D74" s="239">
        <v>29</v>
      </c>
      <c r="E74" s="239">
        <f t="shared" si="8"/>
        <v>1</v>
      </c>
      <c r="F74" s="238">
        <f t="shared" si="9"/>
        <v>3.5714285714285712E-2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1203412</v>
      </c>
      <c r="D75" s="243">
        <f>+D66+D68</f>
        <v>1323329</v>
      </c>
      <c r="E75" s="243">
        <f t="shared" si="8"/>
        <v>119917</v>
      </c>
      <c r="F75" s="244">
        <f t="shared" si="9"/>
        <v>9.9647502268549751E-2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517263</v>
      </c>
      <c r="D76" s="243">
        <f>+D67+D69</f>
        <v>506680</v>
      </c>
      <c r="E76" s="243">
        <f t="shared" si="8"/>
        <v>-10583</v>
      </c>
      <c r="F76" s="244">
        <f t="shared" si="9"/>
        <v>-2.045961145490785E-2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963799</v>
      </c>
      <c r="D79" s="237">
        <v>1438175</v>
      </c>
      <c r="E79" s="237">
        <f t="shared" ref="E79:E89" si="10">D79-C79</f>
        <v>474376</v>
      </c>
      <c r="F79" s="238">
        <f t="shared" ref="F79:F89" si="11">IF(C79=0,0,E79/C79)</f>
        <v>0.49219391180111205</v>
      </c>
    </row>
    <row r="80" spans="1:6" ht="20.25" customHeight="1" x14ac:dyDescent="0.3">
      <c r="A80" s="235">
        <v>2</v>
      </c>
      <c r="B80" s="236" t="s">
        <v>435</v>
      </c>
      <c r="C80" s="237">
        <v>577234</v>
      </c>
      <c r="D80" s="237">
        <v>662913</v>
      </c>
      <c r="E80" s="237">
        <f t="shared" si="10"/>
        <v>85679</v>
      </c>
      <c r="F80" s="238">
        <f t="shared" si="11"/>
        <v>0.14843027264506248</v>
      </c>
    </row>
    <row r="81" spans="1:6" ht="20.25" customHeight="1" x14ac:dyDescent="0.3">
      <c r="A81" s="235">
        <v>3</v>
      </c>
      <c r="B81" s="236" t="s">
        <v>436</v>
      </c>
      <c r="C81" s="237">
        <v>441972</v>
      </c>
      <c r="D81" s="237">
        <v>1100681</v>
      </c>
      <c r="E81" s="237">
        <f t="shared" si="10"/>
        <v>658709</v>
      </c>
      <c r="F81" s="238">
        <f t="shared" si="11"/>
        <v>1.4903862688134091</v>
      </c>
    </row>
    <row r="82" spans="1:6" ht="20.25" customHeight="1" x14ac:dyDescent="0.3">
      <c r="A82" s="235">
        <v>4</v>
      </c>
      <c r="B82" s="236" t="s">
        <v>437</v>
      </c>
      <c r="C82" s="237">
        <v>85412</v>
      </c>
      <c r="D82" s="237">
        <v>185886</v>
      </c>
      <c r="E82" s="237">
        <f t="shared" si="10"/>
        <v>100474</v>
      </c>
      <c r="F82" s="238">
        <f t="shared" si="11"/>
        <v>1.1763452442279774</v>
      </c>
    </row>
    <row r="83" spans="1:6" ht="20.25" customHeight="1" x14ac:dyDescent="0.3">
      <c r="A83" s="235">
        <v>5</v>
      </c>
      <c r="B83" s="236" t="s">
        <v>373</v>
      </c>
      <c r="C83" s="239">
        <v>31</v>
      </c>
      <c r="D83" s="239">
        <v>55</v>
      </c>
      <c r="E83" s="239">
        <f t="shared" si="10"/>
        <v>24</v>
      </c>
      <c r="F83" s="238">
        <f t="shared" si="11"/>
        <v>0.77419354838709675</v>
      </c>
    </row>
    <row r="84" spans="1:6" ht="20.25" customHeight="1" x14ac:dyDescent="0.3">
      <c r="A84" s="235">
        <v>6</v>
      </c>
      <c r="B84" s="236" t="s">
        <v>372</v>
      </c>
      <c r="C84" s="239">
        <v>200</v>
      </c>
      <c r="D84" s="239">
        <v>288</v>
      </c>
      <c r="E84" s="239">
        <f t="shared" si="10"/>
        <v>88</v>
      </c>
      <c r="F84" s="238">
        <f t="shared" si="11"/>
        <v>0.44</v>
      </c>
    </row>
    <row r="85" spans="1:6" ht="20.25" customHeight="1" x14ac:dyDescent="0.3">
      <c r="A85" s="235">
        <v>7</v>
      </c>
      <c r="B85" s="236" t="s">
        <v>438</v>
      </c>
      <c r="C85" s="239">
        <v>456</v>
      </c>
      <c r="D85" s="239">
        <v>1145</v>
      </c>
      <c r="E85" s="239">
        <f t="shared" si="10"/>
        <v>689</v>
      </c>
      <c r="F85" s="238">
        <f t="shared" si="11"/>
        <v>1.5109649122807018</v>
      </c>
    </row>
    <row r="86" spans="1:6" ht="20.25" customHeight="1" x14ac:dyDescent="0.3">
      <c r="A86" s="235">
        <v>8</v>
      </c>
      <c r="B86" s="236" t="s">
        <v>439</v>
      </c>
      <c r="C86" s="239">
        <v>53</v>
      </c>
      <c r="D86" s="239">
        <v>116</v>
      </c>
      <c r="E86" s="239">
        <f t="shared" si="10"/>
        <v>63</v>
      </c>
      <c r="F86" s="238">
        <f t="shared" si="11"/>
        <v>1.1886792452830188</v>
      </c>
    </row>
    <row r="87" spans="1:6" ht="20.25" customHeight="1" x14ac:dyDescent="0.3">
      <c r="A87" s="235">
        <v>9</v>
      </c>
      <c r="B87" s="236" t="s">
        <v>440</v>
      </c>
      <c r="C87" s="239">
        <v>24</v>
      </c>
      <c r="D87" s="239">
        <v>41</v>
      </c>
      <c r="E87" s="239">
        <f t="shared" si="10"/>
        <v>17</v>
      </c>
      <c r="F87" s="238">
        <f t="shared" si="11"/>
        <v>0.70833333333333337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1405771</v>
      </c>
      <c r="D88" s="243">
        <f>+D79+D81</f>
        <v>2538856</v>
      </c>
      <c r="E88" s="243">
        <f t="shared" si="10"/>
        <v>1133085</v>
      </c>
      <c r="F88" s="244">
        <f t="shared" si="11"/>
        <v>0.80602388297951799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662646</v>
      </c>
      <c r="D89" s="243">
        <f>+D80+D82</f>
        <v>848799</v>
      </c>
      <c r="E89" s="243">
        <f t="shared" si="10"/>
        <v>186153</v>
      </c>
      <c r="F89" s="244">
        <f t="shared" si="11"/>
        <v>0.28092375114314433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1508383</v>
      </c>
      <c r="D92" s="237">
        <v>1395713</v>
      </c>
      <c r="E92" s="237">
        <f t="shared" ref="E92:E102" si="12">D92-C92</f>
        <v>-112670</v>
      </c>
      <c r="F92" s="238">
        <f t="shared" ref="F92:F102" si="13">IF(C92=0,0,E92/C92)</f>
        <v>-7.4695882942197048E-2</v>
      </c>
    </row>
    <row r="93" spans="1:6" ht="20.25" customHeight="1" x14ac:dyDescent="0.3">
      <c r="A93" s="235">
        <v>2</v>
      </c>
      <c r="B93" s="236" t="s">
        <v>435</v>
      </c>
      <c r="C93" s="237">
        <v>749747</v>
      </c>
      <c r="D93" s="237">
        <v>796354</v>
      </c>
      <c r="E93" s="237">
        <f t="shared" si="12"/>
        <v>46607</v>
      </c>
      <c r="F93" s="238">
        <f t="shared" si="13"/>
        <v>6.2163636533390597E-2</v>
      </c>
    </row>
    <row r="94" spans="1:6" ht="20.25" customHeight="1" x14ac:dyDescent="0.3">
      <c r="A94" s="235">
        <v>3</v>
      </c>
      <c r="B94" s="236" t="s">
        <v>436</v>
      </c>
      <c r="C94" s="237">
        <v>681511</v>
      </c>
      <c r="D94" s="237">
        <v>1431630</v>
      </c>
      <c r="E94" s="237">
        <f t="shared" si="12"/>
        <v>750119</v>
      </c>
      <c r="F94" s="238">
        <f t="shared" si="13"/>
        <v>1.1006704220474799</v>
      </c>
    </row>
    <row r="95" spans="1:6" ht="20.25" customHeight="1" x14ac:dyDescent="0.3">
      <c r="A95" s="235">
        <v>4</v>
      </c>
      <c r="B95" s="236" t="s">
        <v>437</v>
      </c>
      <c r="C95" s="237">
        <v>161360</v>
      </c>
      <c r="D95" s="237">
        <v>333456</v>
      </c>
      <c r="E95" s="237">
        <f t="shared" si="12"/>
        <v>172096</v>
      </c>
      <c r="F95" s="238">
        <f t="shared" si="13"/>
        <v>1.0665344571145265</v>
      </c>
    </row>
    <row r="96" spans="1:6" ht="20.25" customHeight="1" x14ac:dyDescent="0.3">
      <c r="A96" s="235">
        <v>5</v>
      </c>
      <c r="B96" s="236" t="s">
        <v>373</v>
      </c>
      <c r="C96" s="239">
        <v>64</v>
      </c>
      <c r="D96" s="239">
        <v>76</v>
      </c>
      <c r="E96" s="239">
        <f t="shared" si="12"/>
        <v>12</v>
      </c>
      <c r="F96" s="238">
        <f t="shared" si="13"/>
        <v>0.1875</v>
      </c>
    </row>
    <row r="97" spans="1:6" ht="20.25" customHeight="1" x14ac:dyDescent="0.3">
      <c r="A97" s="235">
        <v>6</v>
      </c>
      <c r="B97" s="236" t="s">
        <v>372</v>
      </c>
      <c r="C97" s="239">
        <v>334</v>
      </c>
      <c r="D97" s="239">
        <v>327</v>
      </c>
      <c r="E97" s="239">
        <f t="shared" si="12"/>
        <v>-7</v>
      </c>
      <c r="F97" s="238">
        <f t="shared" si="13"/>
        <v>-2.0958083832335328E-2</v>
      </c>
    </row>
    <row r="98" spans="1:6" ht="20.25" customHeight="1" x14ac:dyDescent="0.3">
      <c r="A98" s="235">
        <v>7</v>
      </c>
      <c r="B98" s="236" t="s">
        <v>438</v>
      </c>
      <c r="C98" s="239">
        <v>490</v>
      </c>
      <c r="D98" s="239">
        <v>943</v>
      </c>
      <c r="E98" s="239">
        <f t="shared" si="12"/>
        <v>453</v>
      </c>
      <c r="F98" s="238">
        <f t="shared" si="13"/>
        <v>0.92448979591836733</v>
      </c>
    </row>
    <row r="99" spans="1:6" ht="20.25" customHeight="1" x14ac:dyDescent="0.3">
      <c r="A99" s="235">
        <v>8</v>
      </c>
      <c r="B99" s="236" t="s">
        <v>439</v>
      </c>
      <c r="C99" s="239">
        <v>151</v>
      </c>
      <c r="D99" s="239">
        <v>249</v>
      </c>
      <c r="E99" s="239">
        <f t="shared" si="12"/>
        <v>98</v>
      </c>
      <c r="F99" s="238">
        <f t="shared" si="13"/>
        <v>0.64900662251655628</v>
      </c>
    </row>
    <row r="100" spans="1:6" ht="20.25" customHeight="1" x14ac:dyDescent="0.3">
      <c r="A100" s="235">
        <v>9</v>
      </c>
      <c r="B100" s="236" t="s">
        <v>440</v>
      </c>
      <c r="C100" s="239">
        <v>55</v>
      </c>
      <c r="D100" s="239">
        <v>70</v>
      </c>
      <c r="E100" s="239">
        <f t="shared" si="12"/>
        <v>15</v>
      </c>
      <c r="F100" s="238">
        <f t="shared" si="13"/>
        <v>0.27272727272727271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2189894</v>
      </c>
      <c r="D101" s="243">
        <f>+D92+D94</f>
        <v>2827343</v>
      </c>
      <c r="E101" s="243">
        <f t="shared" si="12"/>
        <v>637449</v>
      </c>
      <c r="F101" s="244">
        <f t="shared" si="13"/>
        <v>0.29108669186727759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911107</v>
      </c>
      <c r="D102" s="243">
        <f>+D93+D95</f>
        <v>1129810</v>
      </c>
      <c r="E102" s="243">
        <f t="shared" si="12"/>
        <v>218703</v>
      </c>
      <c r="F102" s="244">
        <f t="shared" si="13"/>
        <v>0.2400409611604345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2292442</v>
      </c>
      <c r="D105" s="237">
        <v>1808108</v>
      </c>
      <c r="E105" s="237">
        <f t="shared" ref="E105:E115" si="14">D105-C105</f>
        <v>-484334</v>
      </c>
      <c r="F105" s="238">
        <f t="shared" ref="F105:F115" si="15">IF(C105=0,0,E105/C105)</f>
        <v>-0.21127426560846468</v>
      </c>
    </row>
    <row r="106" spans="1:6" ht="20.25" customHeight="1" x14ac:dyDescent="0.3">
      <c r="A106" s="235">
        <v>2</v>
      </c>
      <c r="B106" s="236" t="s">
        <v>435</v>
      </c>
      <c r="C106" s="237">
        <v>1206757</v>
      </c>
      <c r="D106" s="237">
        <v>888399</v>
      </c>
      <c r="E106" s="237">
        <f t="shared" si="14"/>
        <v>-318358</v>
      </c>
      <c r="F106" s="238">
        <f t="shared" si="15"/>
        <v>-0.26381284715978442</v>
      </c>
    </row>
    <row r="107" spans="1:6" ht="20.25" customHeight="1" x14ac:dyDescent="0.3">
      <c r="A107" s="235">
        <v>3</v>
      </c>
      <c r="B107" s="236" t="s">
        <v>436</v>
      </c>
      <c r="C107" s="237">
        <v>1698303</v>
      </c>
      <c r="D107" s="237">
        <v>1261416</v>
      </c>
      <c r="E107" s="237">
        <f t="shared" si="14"/>
        <v>-436887</v>
      </c>
      <c r="F107" s="238">
        <f t="shared" si="15"/>
        <v>-0.25724914812021177</v>
      </c>
    </row>
    <row r="108" spans="1:6" ht="20.25" customHeight="1" x14ac:dyDescent="0.3">
      <c r="A108" s="235">
        <v>4</v>
      </c>
      <c r="B108" s="236" t="s">
        <v>437</v>
      </c>
      <c r="C108" s="237">
        <v>387726</v>
      </c>
      <c r="D108" s="237">
        <v>283575</v>
      </c>
      <c r="E108" s="237">
        <f t="shared" si="14"/>
        <v>-104151</v>
      </c>
      <c r="F108" s="238">
        <f t="shared" si="15"/>
        <v>-0.26862010801442254</v>
      </c>
    </row>
    <row r="109" spans="1:6" ht="20.25" customHeight="1" x14ac:dyDescent="0.3">
      <c r="A109" s="235">
        <v>5</v>
      </c>
      <c r="B109" s="236" t="s">
        <v>373</v>
      </c>
      <c r="C109" s="239">
        <v>88</v>
      </c>
      <c r="D109" s="239">
        <v>65</v>
      </c>
      <c r="E109" s="239">
        <f t="shared" si="14"/>
        <v>-23</v>
      </c>
      <c r="F109" s="238">
        <f t="shared" si="15"/>
        <v>-0.26136363636363635</v>
      </c>
    </row>
    <row r="110" spans="1:6" ht="20.25" customHeight="1" x14ac:dyDescent="0.3">
      <c r="A110" s="235">
        <v>6</v>
      </c>
      <c r="B110" s="236" t="s">
        <v>372</v>
      </c>
      <c r="C110" s="239">
        <v>392</v>
      </c>
      <c r="D110" s="239">
        <v>369</v>
      </c>
      <c r="E110" s="239">
        <f t="shared" si="14"/>
        <v>-23</v>
      </c>
      <c r="F110" s="238">
        <f t="shared" si="15"/>
        <v>-5.8673469387755105E-2</v>
      </c>
    </row>
    <row r="111" spans="1:6" ht="20.25" customHeight="1" x14ac:dyDescent="0.3">
      <c r="A111" s="235">
        <v>7</v>
      </c>
      <c r="B111" s="236" t="s">
        <v>438</v>
      </c>
      <c r="C111" s="239">
        <v>1128</v>
      </c>
      <c r="D111" s="239">
        <v>969</v>
      </c>
      <c r="E111" s="239">
        <f t="shared" si="14"/>
        <v>-159</v>
      </c>
      <c r="F111" s="238">
        <f t="shared" si="15"/>
        <v>-0.14095744680851063</v>
      </c>
    </row>
    <row r="112" spans="1:6" ht="20.25" customHeight="1" x14ac:dyDescent="0.3">
      <c r="A112" s="235">
        <v>8</v>
      </c>
      <c r="B112" s="236" t="s">
        <v>439</v>
      </c>
      <c r="C112" s="239">
        <v>443</v>
      </c>
      <c r="D112" s="239">
        <v>287</v>
      </c>
      <c r="E112" s="239">
        <f t="shared" si="14"/>
        <v>-156</v>
      </c>
      <c r="F112" s="238">
        <f t="shared" si="15"/>
        <v>-0.35214446952595935</v>
      </c>
    </row>
    <row r="113" spans="1:6" ht="20.25" customHeight="1" x14ac:dyDescent="0.3">
      <c r="A113" s="235">
        <v>9</v>
      </c>
      <c r="B113" s="236" t="s">
        <v>440</v>
      </c>
      <c r="C113" s="239">
        <v>74</v>
      </c>
      <c r="D113" s="239">
        <v>57</v>
      </c>
      <c r="E113" s="239">
        <f t="shared" si="14"/>
        <v>-17</v>
      </c>
      <c r="F113" s="238">
        <f t="shared" si="15"/>
        <v>-0.22972972972972974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3990745</v>
      </c>
      <c r="D114" s="243">
        <f>+D105+D107</f>
        <v>3069524</v>
      </c>
      <c r="E114" s="243">
        <f t="shared" si="14"/>
        <v>-921221</v>
      </c>
      <c r="F114" s="244">
        <f t="shared" si="15"/>
        <v>-0.23083935455660534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1594483</v>
      </c>
      <c r="D115" s="243">
        <f>+D106+D108</f>
        <v>1171974</v>
      </c>
      <c r="E115" s="243">
        <f t="shared" si="14"/>
        <v>-422509</v>
      </c>
      <c r="F115" s="244">
        <f t="shared" si="15"/>
        <v>-0.26498181542230304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879697</v>
      </c>
      <c r="D118" s="237">
        <v>1043090</v>
      </c>
      <c r="E118" s="237">
        <f t="shared" ref="E118:E128" si="16">D118-C118</f>
        <v>163393</v>
      </c>
      <c r="F118" s="238">
        <f t="shared" ref="F118:F128" si="17">IF(C118=0,0,E118/C118)</f>
        <v>0.18573781654365082</v>
      </c>
    </row>
    <row r="119" spans="1:6" ht="20.25" customHeight="1" x14ac:dyDescent="0.3">
      <c r="A119" s="235">
        <v>2</v>
      </c>
      <c r="B119" s="236" t="s">
        <v>435</v>
      </c>
      <c r="C119" s="237">
        <v>430639</v>
      </c>
      <c r="D119" s="237">
        <v>738011</v>
      </c>
      <c r="E119" s="237">
        <f t="shared" si="16"/>
        <v>307372</v>
      </c>
      <c r="F119" s="238">
        <f t="shared" si="17"/>
        <v>0.71375792717334008</v>
      </c>
    </row>
    <row r="120" spans="1:6" ht="20.25" customHeight="1" x14ac:dyDescent="0.3">
      <c r="A120" s="235">
        <v>3</v>
      </c>
      <c r="B120" s="236" t="s">
        <v>436</v>
      </c>
      <c r="C120" s="237">
        <v>332862</v>
      </c>
      <c r="D120" s="237">
        <v>835986</v>
      </c>
      <c r="E120" s="237">
        <f t="shared" si="16"/>
        <v>503124</v>
      </c>
      <c r="F120" s="238">
        <f t="shared" si="17"/>
        <v>1.5115092741135967</v>
      </c>
    </row>
    <row r="121" spans="1:6" ht="20.25" customHeight="1" x14ac:dyDescent="0.3">
      <c r="A121" s="235">
        <v>4</v>
      </c>
      <c r="B121" s="236" t="s">
        <v>437</v>
      </c>
      <c r="C121" s="237">
        <v>92217</v>
      </c>
      <c r="D121" s="237">
        <v>220686</v>
      </c>
      <c r="E121" s="237">
        <f t="shared" si="16"/>
        <v>128469</v>
      </c>
      <c r="F121" s="238">
        <f t="shared" si="17"/>
        <v>1.3931162367025602</v>
      </c>
    </row>
    <row r="122" spans="1:6" ht="20.25" customHeight="1" x14ac:dyDescent="0.3">
      <c r="A122" s="235">
        <v>5</v>
      </c>
      <c r="B122" s="236" t="s">
        <v>373</v>
      </c>
      <c r="C122" s="239">
        <v>27</v>
      </c>
      <c r="D122" s="239">
        <v>49</v>
      </c>
      <c r="E122" s="239">
        <f t="shared" si="16"/>
        <v>22</v>
      </c>
      <c r="F122" s="238">
        <f t="shared" si="17"/>
        <v>0.81481481481481477</v>
      </c>
    </row>
    <row r="123" spans="1:6" ht="20.25" customHeight="1" x14ac:dyDescent="0.3">
      <c r="A123" s="235">
        <v>6</v>
      </c>
      <c r="B123" s="236" t="s">
        <v>372</v>
      </c>
      <c r="C123" s="239">
        <v>190</v>
      </c>
      <c r="D123" s="239">
        <v>85</v>
      </c>
      <c r="E123" s="239">
        <f t="shared" si="16"/>
        <v>-105</v>
      </c>
      <c r="F123" s="238">
        <f t="shared" si="17"/>
        <v>-0.55263157894736847</v>
      </c>
    </row>
    <row r="124" spans="1:6" ht="20.25" customHeight="1" x14ac:dyDescent="0.3">
      <c r="A124" s="235">
        <v>7</v>
      </c>
      <c r="B124" s="236" t="s">
        <v>438</v>
      </c>
      <c r="C124" s="239">
        <v>377</v>
      </c>
      <c r="D124" s="239">
        <v>742</v>
      </c>
      <c r="E124" s="239">
        <f t="shared" si="16"/>
        <v>365</v>
      </c>
      <c r="F124" s="238">
        <f t="shared" si="17"/>
        <v>0.96816976127320953</v>
      </c>
    </row>
    <row r="125" spans="1:6" ht="20.25" customHeight="1" x14ac:dyDescent="0.3">
      <c r="A125" s="235">
        <v>8</v>
      </c>
      <c r="B125" s="236" t="s">
        <v>439</v>
      </c>
      <c r="C125" s="239">
        <v>28</v>
      </c>
      <c r="D125" s="239">
        <v>81</v>
      </c>
      <c r="E125" s="239">
        <f t="shared" si="16"/>
        <v>53</v>
      </c>
      <c r="F125" s="238">
        <f t="shared" si="17"/>
        <v>1.8928571428571428</v>
      </c>
    </row>
    <row r="126" spans="1:6" ht="20.25" customHeight="1" x14ac:dyDescent="0.3">
      <c r="A126" s="235">
        <v>9</v>
      </c>
      <c r="B126" s="236" t="s">
        <v>440</v>
      </c>
      <c r="C126" s="239">
        <v>16</v>
      </c>
      <c r="D126" s="239">
        <v>36</v>
      </c>
      <c r="E126" s="239">
        <f t="shared" si="16"/>
        <v>20</v>
      </c>
      <c r="F126" s="238">
        <f t="shared" si="17"/>
        <v>1.25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1212559</v>
      </c>
      <c r="D127" s="243">
        <f>+D118+D120</f>
        <v>1879076</v>
      </c>
      <c r="E127" s="243">
        <f t="shared" si="16"/>
        <v>666517</v>
      </c>
      <c r="F127" s="244">
        <f t="shared" si="17"/>
        <v>0.54967799505013781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522856</v>
      </c>
      <c r="D128" s="243">
        <f>+D119+D121</f>
        <v>958697</v>
      </c>
      <c r="E128" s="243">
        <f t="shared" si="16"/>
        <v>435841</v>
      </c>
      <c r="F128" s="244">
        <f t="shared" si="17"/>
        <v>0.83357750508744277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17849715</v>
      </c>
      <c r="D198" s="243">
        <f t="shared" si="28"/>
        <v>19410167</v>
      </c>
      <c r="E198" s="243">
        <f t="shared" ref="E198:E208" si="29">D198-C198</f>
        <v>1560452</v>
      </c>
      <c r="F198" s="251">
        <f t="shared" ref="F198:F208" si="30">IF(C198=0,0,E198/C198)</f>
        <v>8.7421675920315814E-2</v>
      </c>
    </row>
    <row r="199" spans="1:9" ht="20.25" customHeight="1" x14ac:dyDescent="0.3">
      <c r="A199" s="249"/>
      <c r="B199" s="250" t="s">
        <v>461</v>
      </c>
      <c r="C199" s="243">
        <f t="shared" si="28"/>
        <v>9219155</v>
      </c>
      <c r="D199" s="243">
        <f t="shared" si="28"/>
        <v>10107225</v>
      </c>
      <c r="E199" s="243">
        <f t="shared" si="29"/>
        <v>888070</v>
      </c>
      <c r="F199" s="251">
        <f t="shared" si="30"/>
        <v>9.6328785013377036E-2</v>
      </c>
    </row>
    <row r="200" spans="1:9" ht="20.25" customHeight="1" x14ac:dyDescent="0.3">
      <c r="A200" s="249"/>
      <c r="B200" s="250" t="s">
        <v>462</v>
      </c>
      <c r="C200" s="243">
        <f t="shared" si="28"/>
        <v>9599761</v>
      </c>
      <c r="D200" s="243">
        <f t="shared" si="28"/>
        <v>11974991</v>
      </c>
      <c r="E200" s="243">
        <f t="shared" si="29"/>
        <v>2375230</v>
      </c>
      <c r="F200" s="251">
        <f t="shared" si="30"/>
        <v>0.2474259515419186</v>
      </c>
    </row>
    <row r="201" spans="1:9" ht="20.25" customHeight="1" x14ac:dyDescent="0.3">
      <c r="A201" s="249"/>
      <c r="B201" s="250" t="s">
        <v>463</v>
      </c>
      <c r="C201" s="243">
        <f t="shared" si="28"/>
        <v>2377934</v>
      </c>
      <c r="D201" s="243">
        <f t="shared" si="28"/>
        <v>2875207</v>
      </c>
      <c r="E201" s="243">
        <f t="shared" si="29"/>
        <v>497273</v>
      </c>
      <c r="F201" s="251">
        <f t="shared" si="30"/>
        <v>0.20911976530887738</v>
      </c>
    </row>
    <row r="202" spans="1:9" ht="20.25" customHeight="1" x14ac:dyDescent="0.3">
      <c r="A202" s="249"/>
      <c r="B202" s="250" t="s">
        <v>464</v>
      </c>
      <c r="C202" s="252">
        <f t="shared" si="28"/>
        <v>674</v>
      </c>
      <c r="D202" s="252">
        <f t="shared" si="28"/>
        <v>746</v>
      </c>
      <c r="E202" s="252">
        <f t="shared" si="29"/>
        <v>72</v>
      </c>
      <c r="F202" s="251">
        <f t="shared" si="30"/>
        <v>0.10682492581602374</v>
      </c>
    </row>
    <row r="203" spans="1:9" ht="20.25" customHeight="1" x14ac:dyDescent="0.3">
      <c r="A203" s="249"/>
      <c r="B203" s="250" t="s">
        <v>465</v>
      </c>
      <c r="C203" s="252">
        <f t="shared" si="28"/>
        <v>3520</v>
      </c>
      <c r="D203" s="252">
        <f t="shared" si="28"/>
        <v>3777</v>
      </c>
      <c r="E203" s="252">
        <f t="shared" si="29"/>
        <v>257</v>
      </c>
      <c r="F203" s="251">
        <f t="shared" si="30"/>
        <v>7.3011363636363638E-2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8453</v>
      </c>
      <c r="D204" s="252">
        <f t="shared" si="28"/>
        <v>10441</v>
      </c>
      <c r="E204" s="252">
        <f t="shared" si="29"/>
        <v>1988</v>
      </c>
      <c r="F204" s="251">
        <f t="shared" si="30"/>
        <v>0.23518277534603099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1267</v>
      </c>
      <c r="D205" s="252">
        <f t="shared" si="28"/>
        <v>1308</v>
      </c>
      <c r="E205" s="252">
        <f t="shared" si="29"/>
        <v>41</v>
      </c>
      <c r="F205" s="251">
        <f t="shared" si="30"/>
        <v>3.235990528808208E-2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543</v>
      </c>
      <c r="D206" s="252">
        <f t="shared" si="28"/>
        <v>604</v>
      </c>
      <c r="E206" s="252">
        <f t="shared" si="29"/>
        <v>61</v>
      </c>
      <c r="F206" s="251">
        <f t="shared" si="30"/>
        <v>0.11233885819521179</v>
      </c>
    </row>
    <row r="207" spans="1:9" ht="20.25" customHeight="1" x14ac:dyDescent="0.3">
      <c r="A207" s="249"/>
      <c r="B207" s="242" t="s">
        <v>469</v>
      </c>
      <c r="C207" s="243">
        <f>+C198+C200</f>
        <v>27449476</v>
      </c>
      <c r="D207" s="243">
        <f>+D198+D200</f>
        <v>31385158</v>
      </c>
      <c r="E207" s="243">
        <f t="shared" si="29"/>
        <v>3935682</v>
      </c>
      <c r="F207" s="251">
        <f t="shared" si="30"/>
        <v>0.14337913044314579</v>
      </c>
    </row>
    <row r="208" spans="1:9" ht="20.25" customHeight="1" x14ac:dyDescent="0.3">
      <c r="A208" s="249"/>
      <c r="B208" s="242" t="s">
        <v>470</v>
      </c>
      <c r="C208" s="243">
        <f>+C199+C201</f>
        <v>11597089</v>
      </c>
      <c r="D208" s="243">
        <f>+D199+D201</f>
        <v>12982432</v>
      </c>
      <c r="E208" s="243">
        <f t="shared" si="29"/>
        <v>1385343</v>
      </c>
      <c r="F208" s="251">
        <f t="shared" si="30"/>
        <v>0.11945609799148735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FILING&amp;RSAINT MARY`S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opLeftCell="A2" zoomScale="70" zoomScaleNormal="70" workbookViewId="0">
      <selection sqref="A1:F1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1658579</v>
      </c>
      <c r="D14" s="237">
        <v>0</v>
      </c>
      <c r="E14" s="237">
        <f t="shared" ref="E14:E24" si="0">D14-C14</f>
        <v>-1658579</v>
      </c>
      <c r="F14" s="238">
        <f t="shared" ref="F14:F24" si="1">IF(C14=0,0,E14/C14)</f>
        <v>-1</v>
      </c>
    </row>
    <row r="15" spans="1:7" ht="33" customHeight="1" x14ac:dyDescent="0.3">
      <c r="A15" s="235">
        <v>2</v>
      </c>
      <c r="B15" s="236" t="s">
        <v>435</v>
      </c>
      <c r="C15" s="237">
        <v>750070</v>
      </c>
      <c r="D15" s="237">
        <v>0</v>
      </c>
      <c r="E15" s="237">
        <f t="shared" si="0"/>
        <v>-750070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4986697</v>
      </c>
      <c r="D16" s="237">
        <v>0</v>
      </c>
      <c r="E16" s="237">
        <f t="shared" si="0"/>
        <v>-4986697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1124045</v>
      </c>
      <c r="D17" s="237">
        <v>0</v>
      </c>
      <c r="E17" s="237">
        <f t="shared" si="0"/>
        <v>-1124045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239</v>
      </c>
      <c r="D18" s="239">
        <v>0</v>
      </c>
      <c r="E18" s="239">
        <f t="shared" si="0"/>
        <v>-239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682</v>
      </c>
      <c r="D19" s="239">
        <v>0</v>
      </c>
      <c r="E19" s="239">
        <f t="shared" si="0"/>
        <v>-682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2152</v>
      </c>
      <c r="D20" s="239">
        <v>0</v>
      </c>
      <c r="E20" s="239">
        <f t="shared" si="0"/>
        <v>-2152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2925</v>
      </c>
      <c r="D21" s="239">
        <v>0</v>
      </c>
      <c r="E21" s="239">
        <f t="shared" si="0"/>
        <v>-2925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86</v>
      </c>
      <c r="D22" s="239">
        <v>0</v>
      </c>
      <c r="E22" s="239">
        <f t="shared" si="0"/>
        <v>-86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6645276</v>
      </c>
      <c r="D23" s="243">
        <f>+D14+D16</f>
        <v>0</v>
      </c>
      <c r="E23" s="243">
        <f t="shared" si="0"/>
        <v>-6645276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1874115</v>
      </c>
      <c r="D24" s="243">
        <f>+D15+D17</f>
        <v>0</v>
      </c>
      <c r="E24" s="243">
        <f t="shared" si="0"/>
        <v>-1874115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5573184</v>
      </c>
      <c r="D26" s="237">
        <v>6001969</v>
      </c>
      <c r="E26" s="237">
        <f t="shared" ref="E26:E36" si="2">D26-C26</f>
        <v>428785</v>
      </c>
      <c r="F26" s="238">
        <f t="shared" ref="F26:F36" si="3">IF(C26=0,0,E26/C26)</f>
        <v>7.6937169129890556E-2</v>
      </c>
    </row>
    <row r="27" spans="1:6" ht="20.25" customHeight="1" x14ac:dyDescent="0.3">
      <c r="A27" s="235">
        <v>2</v>
      </c>
      <c r="B27" s="236" t="s">
        <v>435</v>
      </c>
      <c r="C27" s="237">
        <v>2619892</v>
      </c>
      <c r="D27" s="237">
        <v>2789723</v>
      </c>
      <c r="E27" s="237">
        <f t="shared" si="2"/>
        <v>169831</v>
      </c>
      <c r="F27" s="238">
        <f t="shared" si="3"/>
        <v>6.4823664486933052E-2</v>
      </c>
    </row>
    <row r="28" spans="1:6" ht="20.25" customHeight="1" x14ac:dyDescent="0.3">
      <c r="A28" s="235">
        <v>3</v>
      </c>
      <c r="B28" s="236" t="s">
        <v>436</v>
      </c>
      <c r="C28" s="237">
        <v>18793658</v>
      </c>
      <c r="D28" s="237">
        <v>24026208</v>
      </c>
      <c r="E28" s="237">
        <f t="shared" si="2"/>
        <v>5232550</v>
      </c>
      <c r="F28" s="238">
        <f t="shared" si="3"/>
        <v>0.27842105033517156</v>
      </c>
    </row>
    <row r="29" spans="1:6" ht="20.25" customHeight="1" x14ac:dyDescent="0.3">
      <c r="A29" s="235">
        <v>4</v>
      </c>
      <c r="B29" s="236" t="s">
        <v>437</v>
      </c>
      <c r="C29" s="237">
        <v>4574474</v>
      </c>
      <c r="D29" s="237">
        <v>5140461</v>
      </c>
      <c r="E29" s="237">
        <f t="shared" si="2"/>
        <v>565987</v>
      </c>
      <c r="F29" s="238">
        <f t="shared" si="3"/>
        <v>0.12372723071548773</v>
      </c>
    </row>
    <row r="30" spans="1:6" ht="20.25" customHeight="1" x14ac:dyDescent="0.3">
      <c r="A30" s="235">
        <v>5</v>
      </c>
      <c r="B30" s="236" t="s">
        <v>373</v>
      </c>
      <c r="C30" s="239">
        <v>745</v>
      </c>
      <c r="D30" s="239">
        <v>750</v>
      </c>
      <c r="E30" s="239">
        <f t="shared" si="2"/>
        <v>5</v>
      </c>
      <c r="F30" s="238">
        <f t="shared" si="3"/>
        <v>6.7114093959731542E-3</v>
      </c>
    </row>
    <row r="31" spans="1:6" ht="20.25" customHeight="1" x14ac:dyDescent="0.3">
      <c r="A31" s="235">
        <v>6</v>
      </c>
      <c r="B31" s="236" t="s">
        <v>372</v>
      </c>
      <c r="C31" s="239">
        <v>2172</v>
      </c>
      <c r="D31" s="239">
        <v>2274</v>
      </c>
      <c r="E31" s="239">
        <f t="shared" si="2"/>
        <v>102</v>
      </c>
      <c r="F31" s="238">
        <f t="shared" si="3"/>
        <v>4.6961325966850827E-2</v>
      </c>
    </row>
    <row r="32" spans="1:6" ht="20.25" customHeight="1" x14ac:dyDescent="0.3">
      <c r="A32" s="235">
        <v>7</v>
      </c>
      <c r="B32" s="236" t="s">
        <v>438</v>
      </c>
      <c r="C32" s="239">
        <v>8426</v>
      </c>
      <c r="D32" s="239">
        <v>10382</v>
      </c>
      <c r="E32" s="239">
        <f t="shared" si="2"/>
        <v>1956</v>
      </c>
      <c r="F32" s="238">
        <f t="shared" si="3"/>
        <v>0.23213861856159507</v>
      </c>
    </row>
    <row r="33" spans="1:6" ht="20.25" customHeight="1" x14ac:dyDescent="0.3">
      <c r="A33" s="235">
        <v>8</v>
      </c>
      <c r="B33" s="236" t="s">
        <v>439</v>
      </c>
      <c r="C33" s="239">
        <v>11478</v>
      </c>
      <c r="D33" s="239">
        <v>13161</v>
      </c>
      <c r="E33" s="239">
        <f t="shared" si="2"/>
        <v>1683</v>
      </c>
      <c r="F33" s="238">
        <f t="shared" si="3"/>
        <v>0.14662833246210141</v>
      </c>
    </row>
    <row r="34" spans="1:6" ht="20.25" customHeight="1" x14ac:dyDescent="0.3">
      <c r="A34" s="235">
        <v>9</v>
      </c>
      <c r="B34" s="236" t="s">
        <v>440</v>
      </c>
      <c r="C34" s="239">
        <v>172</v>
      </c>
      <c r="D34" s="239">
        <v>146</v>
      </c>
      <c r="E34" s="239">
        <f t="shared" si="2"/>
        <v>-26</v>
      </c>
      <c r="F34" s="238">
        <f t="shared" si="3"/>
        <v>-0.15116279069767441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24366842</v>
      </c>
      <c r="D35" s="243">
        <f>+D26+D28</f>
        <v>30028177</v>
      </c>
      <c r="E35" s="243">
        <f t="shared" si="2"/>
        <v>5661335</v>
      </c>
      <c r="F35" s="244">
        <f t="shared" si="3"/>
        <v>0.23233765787129904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7194366</v>
      </c>
      <c r="D36" s="243">
        <f>+D27+D29</f>
        <v>7930184</v>
      </c>
      <c r="E36" s="243">
        <f t="shared" si="2"/>
        <v>735818</v>
      </c>
      <c r="F36" s="244">
        <f t="shared" si="3"/>
        <v>0.10227697617830396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1620350</v>
      </c>
      <c r="D50" s="237">
        <v>2661253</v>
      </c>
      <c r="E50" s="237">
        <f t="shared" ref="E50:E60" si="6">D50-C50</f>
        <v>1040903</v>
      </c>
      <c r="F50" s="238">
        <f t="shared" ref="F50:F60" si="7">IF(C50=0,0,E50/C50)</f>
        <v>0.64239392723794242</v>
      </c>
    </row>
    <row r="51" spans="1:6" ht="20.25" customHeight="1" x14ac:dyDescent="0.3">
      <c r="A51" s="235">
        <v>2</v>
      </c>
      <c r="B51" s="236" t="s">
        <v>435</v>
      </c>
      <c r="C51" s="237">
        <v>675490</v>
      </c>
      <c r="D51" s="237">
        <v>1231528</v>
      </c>
      <c r="E51" s="237">
        <f t="shared" si="6"/>
        <v>556038</v>
      </c>
      <c r="F51" s="238">
        <f t="shared" si="7"/>
        <v>0.82316244503989699</v>
      </c>
    </row>
    <row r="52" spans="1:6" ht="20.25" customHeight="1" x14ac:dyDescent="0.3">
      <c r="A52" s="235">
        <v>3</v>
      </c>
      <c r="B52" s="236" t="s">
        <v>436</v>
      </c>
      <c r="C52" s="237">
        <v>3122450</v>
      </c>
      <c r="D52" s="237">
        <v>4622334</v>
      </c>
      <c r="E52" s="237">
        <f t="shared" si="6"/>
        <v>1499884</v>
      </c>
      <c r="F52" s="238">
        <f t="shared" si="7"/>
        <v>0.48035484955723873</v>
      </c>
    </row>
    <row r="53" spans="1:6" ht="20.25" customHeight="1" x14ac:dyDescent="0.3">
      <c r="A53" s="235">
        <v>4</v>
      </c>
      <c r="B53" s="236" t="s">
        <v>437</v>
      </c>
      <c r="C53" s="237">
        <v>819965</v>
      </c>
      <c r="D53" s="237">
        <v>1221516</v>
      </c>
      <c r="E53" s="237">
        <f t="shared" si="6"/>
        <v>401551</v>
      </c>
      <c r="F53" s="238">
        <f t="shared" si="7"/>
        <v>0.48971724402870853</v>
      </c>
    </row>
    <row r="54" spans="1:6" ht="20.25" customHeight="1" x14ac:dyDescent="0.3">
      <c r="A54" s="235">
        <v>5</v>
      </c>
      <c r="B54" s="236" t="s">
        <v>373</v>
      </c>
      <c r="C54" s="239">
        <v>213</v>
      </c>
      <c r="D54" s="239">
        <v>291</v>
      </c>
      <c r="E54" s="239">
        <f t="shared" si="6"/>
        <v>78</v>
      </c>
      <c r="F54" s="238">
        <f t="shared" si="7"/>
        <v>0.36619718309859156</v>
      </c>
    </row>
    <row r="55" spans="1:6" ht="20.25" customHeight="1" x14ac:dyDescent="0.3">
      <c r="A55" s="235">
        <v>6</v>
      </c>
      <c r="B55" s="236" t="s">
        <v>372</v>
      </c>
      <c r="C55" s="239">
        <v>759</v>
      </c>
      <c r="D55" s="239">
        <v>1163</v>
      </c>
      <c r="E55" s="239">
        <f t="shared" si="6"/>
        <v>404</v>
      </c>
      <c r="F55" s="238">
        <f t="shared" si="7"/>
        <v>0.5322793148880105</v>
      </c>
    </row>
    <row r="56" spans="1:6" ht="20.25" customHeight="1" x14ac:dyDescent="0.3">
      <c r="A56" s="235">
        <v>7</v>
      </c>
      <c r="B56" s="236" t="s">
        <v>438</v>
      </c>
      <c r="C56" s="239">
        <v>1435</v>
      </c>
      <c r="D56" s="239">
        <v>2118</v>
      </c>
      <c r="E56" s="239">
        <f t="shared" si="6"/>
        <v>683</v>
      </c>
      <c r="F56" s="238">
        <f t="shared" si="7"/>
        <v>0.47595818815331009</v>
      </c>
    </row>
    <row r="57" spans="1:6" ht="20.25" customHeight="1" x14ac:dyDescent="0.3">
      <c r="A57" s="235">
        <v>8</v>
      </c>
      <c r="B57" s="236" t="s">
        <v>439</v>
      </c>
      <c r="C57" s="239">
        <v>1731</v>
      </c>
      <c r="D57" s="239">
        <v>2329</v>
      </c>
      <c r="E57" s="239">
        <f t="shared" si="6"/>
        <v>598</v>
      </c>
      <c r="F57" s="238">
        <f t="shared" si="7"/>
        <v>0.34546504910456383</v>
      </c>
    </row>
    <row r="58" spans="1:6" ht="20.25" customHeight="1" x14ac:dyDescent="0.3">
      <c r="A58" s="235">
        <v>9</v>
      </c>
      <c r="B58" s="236" t="s">
        <v>440</v>
      </c>
      <c r="C58" s="239">
        <v>98</v>
      </c>
      <c r="D58" s="239">
        <v>101</v>
      </c>
      <c r="E58" s="239">
        <f t="shared" si="6"/>
        <v>3</v>
      </c>
      <c r="F58" s="238">
        <f t="shared" si="7"/>
        <v>3.0612244897959183E-2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4742800</v>
      </c>
      <c r="D59" s="243">
        <f>+D50+D52</f>
        <v>7283587</v>
      </c>
      <c r="E59" s="243">
        <f t="shared" si="6"/>
        <v>2540787</v>
      </c>
      <c r="F59" s="244">
        <f t="shared" si="7"/>
        <v>0.53571455680188917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1495455</v>
      </c>
      <c r="D60" s="243">
        <f>+D51+D53</f>
        <v>2453044</v>
      </c>
      <c r="E60" s="243">
        <f t="shared" si="6"/>
        <v>957589</v>
      </c>
      <c r="F60" s="244">
        <f t="shared" si="7"/>
        <v>0.64033287527876126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0</v>
      </c>
      <c r="D86" s="237">
        <v>0</v>
      </c>
      <c r="E86" s="237">
        <f t="shared" ref="E86:E96" si="12">D86-C86</f>
        <v>0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435</v>
      </c>
      <c r="C87" s="237">
        <v>0</v>
      </c>
      <c r="D87" s="237">
        <v>0</v>
      </c>
      <c r="E87" s="237">
        <f t="shared" si="12"/>
        <v>0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436</v>
      </c>
      <c r="C88" s="237">
        <v>0</v>
      </c>
      <c r="D88" s="237">
        <v>0</v>
      </c>
      <c r="E88" s="237">
        <f t="shared" si="12"/>
        <v>0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437</v>
      </c>
      <c r="C89" s="237">
        <v>0</v>
      </c>
      <c r="D89" s="237">
        <v>0</v>
      </c>
      <c r="E89" s="237">
        <f t="shared" si="12"/>
        <v>0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373</v>
      </c>
      <c r="C90" s="239">
        <v>0</v>
      </c>
      <c r="D90" s="239">
        <v>0</v>
      </c>
      <c r="E90" s="239">
        <f t="shared" si="12"/>
        <v>0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372</v>
      </c>
      <c r="C91" s="239">
        <v>0</v>
      </c>
      <c r="D91" s="239">
        <v>0</v>
      </c>
      <c r="E91" s="239">
        <f t="shared" si="12"/>
        <v>0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438</v>
      </c>
      <c r="C92" s="239">
        <v>0</v>
      </c>
      <c r="D92" s="239">
        <v>0</v>
      </c>
      <c r="E92" s="239">
        <f t="shared" si="12"/>
        <v>0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439</v>
      </c>
      <c r="C93" s="239">
        <v>0</v>
      </c>
      <c r="D93" s="239">
        <v>0</v>
      </c>
      <c r="E93" s="239">
        <f t="shared" si="12"/>
        <v>0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0</v>
      </c>
      <c r="D95" s="243">
        <f>+D86+D88</f>
        <v>0</v>
      </c>
      <c r="E95" s="243">
        <f t="shared" si="12"/>
        <v>0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0</v>
      </c>
      <c r="D96" s="243">
        <f>+D87+D89</f>
        <v>0</v>
      </c>
      <c r="E96" s="243">
        <f t="shared" si="12"/>
        <v>0</v>
      </c>
      <c r="F96" s="244">
        <f t="shared" si="13"/>
        <v>0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2747122</v>
      </c>
      <c r="D98" s="237">
        <v>4401622</v>
      </c>
      <c r="E98" s="237">
        <f t="shared" ref="E98:E108" si="14">D98-C98</f>
        <v>1654500</v>
      </c>
      <c r="F98" s="238">
        <f t="shared" ref="F98:F108" si="15">IF(C98=0,0,E98/C98)</f>
        <v>0.60226666307502907</v>
      </c>
    </row>
    <row r="99" spans="1:7" ht="20.25" customHeight="1" x14ac:dyDescent="0.3">
      <c r="A99" s="235">
        <v>2</v>
      </c>
      <c r="B99" s="236" t="s">
        <v>435</v>
      </c>
      <c r="C99" s="237">
        <v>1071696</v>
      </c>
      <c r="D99" s="237">
        <v>1394952</v>
      </c>
      <c r="E99" s="237">
        <f t="shared" si="14"/>
        <v>323256</v>
      </c>
      <c r="F99" s="238">
        <f t="shared" si="15"/>
        <v>0.30163031307385679</v>
      </c>
    </row>
    <row r="100" spans="1:7" ht="20.25" customHeight="1" x14ac:dyDescent="0.3">
      <c r="A100" s="235">
        <v>3</v>
      </c>
      <c r="B100" s="236" t="s">
        <v>436</v>
      </c>
      <c r="C100" s="237">
        <v>7889290</v>
      </c>
      <c r="D100" s="237">
        <v>10918469</v>
      </c>
      <c r="E100" s="237">
        <f t="shared" si="14"/>
        <v>3029179</v>
      </c>
      <c r="F100" s="238">
        <f t="shared" si="15"/>
        <v>0.38396091410000138</v>
      </c>
    </row>
    <row r="101" spans="1:7" ht="20.25" customHeight="1" x14ac:dyDescent="0.3">
      <c r="A101" s="235">
        <v>4</v>
      </c>
      <c r="B101" s="236" t="s">
        <v>437</v>
      </c>
      <c r="C101" s="237">
        <v>1646848</v>
      </c>
      <c r="D101" s="237">
        <v>2300245</v>
      </c>
      <c r="E101" s="237">
        <f t="shared" si="14"/>
        <v>653397</v>
      </c>
      <c r="F101" s="238">
        <f t="shared" si="15"/>
        <v>0.39675610621016633</v>
      </c>
    </row>
    <row r="102" spans="1:7" ht="20.25" customHeight="1" x14ac:dyDescent="0.3">
      <c r="A102" s="235">
        <v>5</v>
      </c>
      <c r="B102" s="236" t="s">
        <v>373</v>
      </c>
      <c r="C102" s="239">
        <v>349</v>
      </c>
      <c r="D102" s="239">
        <v>377</v>
      </c>
      <c r="E102" s="239">
        <f t="shared" si="14"/>
        <v>28</v>
      </c>
      <c r="F102" s="238">
        <f t="shared" si="15"/>
        <v>8.0229226361031525E-2</v>
      </c>
    </row>
    <row r="103" spans="1:7" ht="20.25" customHeight="1" x14ac:dyDescent="0.3">
      <c r="A103" s="235">
        <v>6</v>
      </c>
      <c r="B103" s="236" t="s">
        <v>372</v>
      </c>
      <c r="C103" s="239">
        <v>905</v>
      </c>
      <c r="D103" s="239">
        <v>1174</v>
      </c>
      <c r="E103" s="239">
        <f t="shared" si="14"/>
        <v>269</v>
      </c>
      <c r="F103" s="238">
        <f t="shared" si="15"/>
        <v>0.29723756906077348</v>
      </c>
    </row>
    <row r="104" spans="1:7" ht="20.25" customHeight="1" x14ac:dyDescent="0.3">
      <c r="A104" s="235">
        <v>7</v>
      </c>
      <c r="B104" s="236" t="s">
        <v>438</v>
      </c>
      <c r="C104" s="239">
        <v>3887</v>
      </c>
      <c r="D104" s="239">
        <v>5155</v>
      </c>
      <c r="E104" s="239">
        <f t="shared" si="14"/>
        <v>1268</v>
      </c>
      <c r="F104" s="238">
        <f t="shared" si="15"/>
        <v>0.32621559042963727</v>
      </c>
    </row>
    <row r="105" spans="1:7" ht="20.25" customHeight="1" x14ac:dyDescent="0.3">
      <c r="A105" s="235">
        <v>8</v>
      </c>
      <c r="B105" s="236" t="s">
        <v>439</v>
      </c>
      <c r="C105" s="239">
        <v>4330</v>
      </c>
      <c r="D105" s="239">
        <v>5143</v>
      </c>
      <c r="E105" s="239">
        <f t="shared" si="14"/>
        <v>813</v>
      </c>
      <c r="F105" s="238">
        <f t="shared" si="15"/>
        <v>0.18775981524249422</v>
      </c>
    </row>
    <row r="106" spans="1:7" ht="20.25" customHeight="1" x14ac:dyDescent="0.3">
      <c r="A106" s="235">
        <v>9</v>
      </c>
      <c r="B106" s="236" t="s">
        <v>440</v>
      </c>
      <c r="C106" s="239">
        <v>78</v>
      </c>
      <c r="D106" s="239">
        <v>92</v>
      </c>
      <c r="E106" s="239">
        <f t="shared" si="14"/>
        <v>14</v>
      </c>
      <c r="F106" s="238">
        <f t="shared" si="15"/>
        <v>0.17948717948717949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10636412</v>
      </c>
      <c r="D107" s="243">
        <f>+D98+D100</f>
        <v>15320091</v>
      </c>
      <c r="E107" s="243">
        <f t="shared" si="14"/>
        <v>4683679</v>
      </c>
      <c r="F107" s="244">
        <f t="shared" si="15"/>
        <v>0.44034388664147273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2718544</v>
      </c>
      <c r="D108" s="243">
        <f>+D99+D101</f>
        <v>3695197</v>
      </c>
      <c r="E108" s="243">
        <f t="shared" si="14"/>
        <v>976653</v>
      </c>
      <c r="F108" s="244">
        <f t="shared" si="15"/>
        <v>0.35925591051680605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11599235</v>
      </c>
      <c r="D112" s="243">
        <f t="shared" si="16"/>
        <v>13064844</v>
      </c>
      <c r="E112" s="243">
        <f t="shared" ref="E112:E122" si="17">D112-C112</f>
        <v>1465609</v>
      </c>
      <c r="F112" s="244">
        <f t="shared" ref="F112:F122" si="18">IF(C112=0,0,E112/C112)</f>
        <v>0.12635393627252142</v>
      </c>
    </row>
    <row r="113" spans="1:6" ht="20.25" customHeight="1" x14ac:dyDescent="0.3">
      <c r="A113" s="249"/>
      <c r="B113" s="250" t="s">
        <v>461</v>
      </c>
      <c r="C113" s="243">
        <f t="shared" si="16"/>
        <v>5117148</v>
      </c>
      <c r="D113" s="243">
        <f t="shared" si="16"/>
        <v>5416203</v>
      </c>
      <c r="E113" s="243">
        <f t="shared" si="17"/>
        <v>299055</v>
      </c>
      <c r="F113" s="244">
        <f t="shared" si="18"/>
        <v>5.8441733559396761E-2</v>
      </c>
    </row>
    <row r="114" spans="1:6" ht="20.25" customHeight="1" x14ac:dyDescent="0.3">
      <c r="A114" s="249"/>
      <c r="B114" s="250" t="s">
        <v>462</v>
      </c>
      <c r="C114" s="243">
        <f t="shared" si="16"/>
        <v>34792095</v>
      </c>
      <c r="D114" s="243">
        <f t="shared" si="16"/>
        <v>39567011</v>
      </c>
      <c r="E114" s="243">
        <f t="shared" si="17"/>
        <v>4774916</v>
      </c>
      <c r="F114" s="244">
        <f t="shared" si="18"/>
        <v>0.13724140498006804</v>
      </c>
    </row>
    <row r="115" spans="1:6" ht="20.25" customHeight="1" x14ac:dyDescent="0.3">
      <c r="A115" s="249"/>
      <c r="B115" s="250" t="s">
        <v>463</v>
      </c>
      <c r="C115" s="243">
        <f t="shared" si="16"/>
        <v>8165332</v>
      </c>
      <c r="D115" s="243">
        <f t="shared" si="16"/>
        <v>8662222</v>
      </c>
      <c r="E115" s="243">
        <f t="shared" si="17"/>
        <v>496890</v>
      </c>
      <c r="F115" s="244">
        <f t="shared" si="18"/>
        <v>6.0853618689356417E-2</v>
      </c>
    </row>
    <row r="116" spans="1:6" ht="20.25" customHeight="1" x14ac:dyDescent="0.3">
      <c r="A116" s="249"/>
      <c r="B116" s="250" t="s">
        <v>464</v>
      </c>
      <c r="C116" s="252">
        <f t="shared" si="16"/>
        <v>1546</v>
      </c>
      <c r="D116" s="252">
        <f t="shared" si="16"/>
        <v>1418</v>
      </c>
      <c r="E116" s="252">
        <f t="shared" si="17"/>
        <v>-128</v>
      </c>
      <c r="F116" s="244">
        <f t="shared" si="18"/>
        <v>-8.2794307891332478E-2</v>
      </c>
    </row>
    <row r="117" spans="1:6" ht="20.25" customHeight="1" x14ac:dyDescent="0.3">
      <c r="A117" s="249"/>
      <c r="B117" s="250" t="s">
        <v>465</v>
      </c>
      <c r="C117" s="252">
        <f t="shared" si="16"/>
        <v>4518</v>
      </c>
      <c r="D117" s="252">
        <f t="shared" si="16"/>
        <v>4611</v>
      </c>
      <c r="E117" s="252">
        <f t="shared" si="17"/>
        <v>93</v>
      </c>
      <c r="F117" s="244">
        <f t="shared" si="18"/>
        <v>2.0584329349269587E-2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15900</v>
      </c>
      <c r="D118" s="252">
        <f t="shared" si="16"/>
        <v>17655</v>
      </c>
      <c r="E118" s="252">
        <f t="shared" si="17"/>
        <v>1755</v>
      </c>
      <c r="F118" s="244">
        <f t="shared" si="18"/>
        <v>0.11037735849056604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20464</v>
      </c>
      <c r="D119" s="252">
        <f t="shared" si="16"/>
        <v>20633</v>
      </c>
      <c r="E119" s="252">
        <f t="shared" si="17"/>
        <v>169</v>
      </c>
      <c r="F119" s="244">
        <f t="shared" si="18"/>
        <v>8.2584050039093033E-3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434</v>
      </c>
      <c r="D120" s="252">
        <f t="shared" si="16"/>
        <v>339</v>
      </c>
      <c r="E120" s="252">
        <f t="shared" si="17"/>
        <v>-95</v>
      </c>
      <c r="F120" s="244">
        <f t="shared" si="18"/>
        <v>-0.21889400921658986</v>
      </c>
    </row>
    <row r="121" spans="1:6" ht="39.950000000000003" customHeight="1" x14ac:dyDescent="0.3">
      <c r="A121" s="249"/>
      <c r="B121" s="242" t="s">
        <v>441</v>
      </c>
      <c r="C121" s="243">
        <f>+C112+C114</f>
        <v>46391330</v>
      </c>
      <c r="D121" s="243">
        <f>+D112+D114</f>
        <v>52631855</v>
      </c>
      <c r="E121" s="243">
        <f t="shared" si="17"/>
        <v>6240525</v>
      </c>
      <c r="F121" s="244">
        <f t="shared" si="18"/>
        <v>0.13451920865385839</v>
      </c>
    </row>
    <row r="122" spans="1:6" ht="39.950000000000003" customHeight="1" x14ac:dyDescent="0.3">
      <c r="A122" s="249"/>
      <c r="B122" s="242" t="s">
        <v>470</v>
      </c>
      <c r="C122" s="243">
        <f>+C113+C115</f>
        <v>13282480</v>
      </c>
      <c r="D122" s="243">
        <f>+D113+D115</f>
        <v>14078425</v>
      </c>
      <c r="E122" s="243">
        <f t="shared" si="17"/>
        <v>795945</v>
      </c>
      <c r="F122" s="244">
        <f t="shared" si="18"/>
        <v>5.9924426763676659E-2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9" fitToHeight="2" orientation="portrait" r:id="rId1"/>
  <headerFooter>
    <oddHeader>&amp;LOFFICE OF HEALTH CARE ACCESS&amp;CTWELVE MONTHS ACTUAL FILING&amp;RSAINT MARY`S HOSPITAL</oddHeader>
    <oddFooter>&amp;LREPORT 250&amp;C&amp;P of &amp;N&amp;R&amp;D,&amp;T</oddFooter>
  </headerFooter>
  <rowBreaks count="2" manualBreakCount="2">
    <brk id="48" max="3" man="1"/>
    <brk id="8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23213000</v>
      </c>
      <c r="D13" s="23">
        <v>26358000</v>
      </c>
      <c r="E13" s="23">
        <f t="shared" ref="E13:E22" si="0">D13-C13</f>
        <v>3145000</v>
      </c>
      <c r="F13" s="24">
        <f t="shared" ref="F13:F22" si="1">IF(C13=0,0,E13/C13)</f>
        <v>0.13548442682979364</v>
      </c>
    </row>
    <row r="14" spans="1:8" ht="24" customHeight="1" x14ac:dyDescent="0.2">
      <c r="A14" s="21">
        <v>2</v>
      </c>
      <c r="B14" s="22" t="s">
        <v>17</v>
      </c>
      <c r="C14" s="23">
        <v>1082000</v>
      </c>
      <c r="D14" s="23">
        <v>1182000</v>
      </c>
      <c r="E14" s="23">
        <f t="shared" si="0"/>
        <v>100000</v>
      </c>
      <c r="F14" s="24">
        <f t="shared" si="1"/>
        <v>9.2421441774491686E-2</v>
      </c>
    </row>
    <row r="15" spans="1:8" ht="33" customHeight="1" x14ac:dyDescent="0.2">
      <c r="A15" s="21">
        <v>3</v>
      </c>
      <c r="B15" s="22" t="s">
        <v>18</v>
      </c>
      <c r="C15" s="23">
        <v>25784000</v>
      </c>
      <c r="D15" s="23">
        <v>26752000</v>
      </c>
      <c r="E15" s="23">
        <f t="shared" si="0"/>
        <v>968000</v>
      </c>
      <c r="F15" s="24">
        <f t="shared" si="1"/>
        <v>3.7542662116040959E-2</v>
      </c>
    </row>
    <row r="16" spans="1:8" ht="35.1" customHeight="1" x14ac:dyDescent="0.2">
      <c r="A16" s="21">
        <v>4</v>
      </c>
      <c r="B16" s="22" t="s">
        <v>19</v>
      </c>
      <c r="C16" s="23">
        <v>4739000</v>
      </c>
      <c r="D16" s="23">
        <v>4714000</v>
      </c>
      <c r="E16" s="23">
        <f t="shared" si="0"/>
        <v>-25000</v>
      </c>
      <c r="F16" s="24">
        <f t="shared" si="1"/>
        <v>-5.2753745515931628E-3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0</v>
      </c>
      <c r="D19" s="23">
        <v>0</v>
      </c>
      <c r="E19" s="23">
        <f t="shared" si="0"/>
        <v>0</v>
      </c>
      <c r="F19" s="24">
        <f t="shared" si="1"/>
        <v>0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0</v>
      </c>
      <c r="E20" s="23">
        <f t="shared" si="0"/>
        <v>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3966000</v>
      </c>
      <c r="D21" s="23">
        <v>4560000</v>
      </c>
      <c r="E21" s="23">
        <f t="shared" si="0"/>
        <v>594000</v>
      </c>
      <c r="F21" s="24">
        <f t="shared" si="1"/>
        <v>0.14977307110438728</v>
      </c>
    </row>
    <row r="22" spans="1:11" ht="24" customHeight="1" x14ac:dyDescent="0.25">
      <c r="A22" s="25"/>
      <c r="B22" s="26" t="s">
        <v>25</v>
      </c>
      <c r="C22" s="27">
        <f>SUM(C13:C21)</f>
        <v>58784000</v>
      </c>
      <c r="D22" s="27">
        <f>SUM(D13:D21)</f>
        <v>63566000</v>
      </c>
      <c r="E22" s="27">
        <f t="shared" si="0"/>
        <v>4782000</v>
      </c>
      <c r="F22" s="28">
        <f t="shared" si="1"/>
        <v>8.1348666303756118E-2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12785000</v>
      </c>
      <c r="D25" s="23">
        <v>13375000</v>
      </c>
      <c r="E25" s="23">
        <f>D25-C25</f>
        <v>590000</v>
      </c>
      <c r="F25" s="24">
        <f>IF(C25=0,0,E25/C25)</f>
        <v>4.6147829487680876E-2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26933000</v>
      </c>
      <c r="D28" s="23">
        <v>27918000</v>
      </c>
      <c r="E28" s="23">
        <f>D28-C28</f>
        <v>985000</v>
      </c>
      <c r="F28" s="24">
        <f>IF(C28=0,0,E28/C28)</f>
        <v>3.6572234804886201E-2</v>
      </c>
    </row>
    <row r="29" spans="1:11" ht="35.1" customHeight="1" x14ac:dyDescent="0.25">
      <c r="A29" s="25"/>
      <c r="B29" s="26" t="s">
        <v>32</v>
      </c>
      <c r="C29" s="27">
        <f>SUM(C25:C28)</f>
        <v>39718000</v>
      </c>
      <c r="D29" s="27">
        <f>SUM(D25:D28)</f>
        <v>41293000</v>
      </c>
      <c r="E29" s="27">
        <f>D29-C29</f>
        <v>1575000</v>
      </c>
      <c r="F29" s="28">
        <f>IF(C29=0,0,E29/C29)</f>
        <v>3.9654564681001057E-2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14032000</v>
      </c>
      <c r="D32" s="23">
        <v>15804000</v>
      </c>
      <c r="E32" s="23">
        <f>D32-C32</f>
        <v>1772000</v>
      </c>
      <c r="F32" s="24">
        <f>IF(C32=0,0,E32/C32)</f>
        <v>0.12628278221208666</v>
      </c>
    </row>
    <row r="33" spans="1:8" ht="24" customHeight="1" x14ac:dyDescent="0.2">
      <c r="A33" s="21">
        <v>7</v>
      </c>
      <c r="B33" s="22" t="s">
        <v>35</v>
      </c>
      <c r="C33" s="23">
        <v>9546000</v>
      </c>
      <c r="D33" s="23">
        <v>10087000</v>
      </c>
      <c r="E33" s="23">
        <f>D33-C33</f>
        <v>541000</v>
      </c>
      <c r="F33" s="24">
        <f>IF(C33=0,0,E33/C33)</f>
        <v>5.6672952021789229E-2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171618000</v>
      </c>
      <c r="D36" s="23">
        <v>175254000</v>
      </c>
      <c r="E36" s="23">
        <f>D36-C36</f>
        <v>3636000</v>
      </c>
      <c r="F36" s="24">
        <f>IF(C36=0,0,E36/C36)</f>
        <v>2.1186588819354615E-2</v>
      </c>
    </row>
    <row r="37" spans="1:8" ht="24" customHeight="1" x14ac:dyDescent="0.2">
      <c r="A37" s="21">
        <v>2</v>
      </c>
      <c r="B37" s="22" t="s">
        <v>39</v>
      </c>
      <c r="C37" s="23">
        <v>115865000</v>
      </c>
      <c r="D37" s="23">
        <v>119376000</v>
      </c>
      <c r="E37" s="23">
        <f>D37-C37</f>
        <v>3511000</v>
      </c>
      <c r="F37" s="23">
        <f>IF(C37=0,0,E37/C37)</f>
        <v>3.0302507228239763E-2</v>
      </c>
    </row>
    <row r="38" spans="1:8" ht="24" customHeight="1" x14ac:dyDescent="0.25">
      <c r="A38" s="25"/>
      <c r="B38" s="26" t="s">
        <v>40</v>
      </c>
      <c r="C38" s="27">
        <f>C36-C37</f>
        <v>55753000</v>
      </c>
      <c r="D38" s="27">
        <f>D36-D37</f>
        <v>55878000</v>
      </c>
      <c r="E38" s="27">
        <f>D38-C38</f>
        <v>125000</v>
      </c>
      <c r="F38" s="28">
        <f>IF(C38=0,0,E38/C38)</f>
        <v>2.242031818915574E-3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0</v>
      </c>
      <c r="D40" s="23">
        <v>0</v>
      </c>
      <c r="E40" s="23">
        <f>D40-C40</f>
        <v>0</v>
      </c>
      <c r="F40" s="24">
        <f>IF(C40=0,0,E40/C40)</f>
        <v>0</v>
      </c>
    </row>
    <row r="41" spans="1:8" ht="24" customHeight="1" x14ac:dyDescent="0.25">
      <c r="A41" s="25"/>
      <c r="B41" s="26" t="s">
        <v>42</v>
      </c>
      <c r="C41" s="27">
        <f>+C38+C40</f>
        <v>55753000</v>
      </c>
      <c r="D41" s="27">
        <f>+D38+D40</f>
        <v>55878000</v>
      </c>
      <c r="E41" s="27">
        <f>D41-C41</f>
        <v>125000</v>
      </c>
      <c r="F41" s="28">
        <f>IF(C41=0,0,E41/C41)</f>
        <v>2.242031818915574E-3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177833000</v>
      </c>
      <c r="D43" s="27">
        <f>D22+D29+D31+D32+D33+D41</f>
        <v>186628000</v>
      </c>
      <c r="E43" s="27">
        <f>D43-C43</f>
        <v>8795000</v>
      </c>
      <c r="F43" s="28">
        <f>IF(C43=0,0,E43/C43)</f>
        <v>4.94565125707827E-2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20037000</v>
      </c>
      <c r="D49" s="23">
        <v>22790000</v>
      </c>
      <c r="E49" s="23">
        <f t="shared" ref="E49:E56" si="2">D49-C49</f>
        <v>2753000</v>
      </c>
      <c r="F49" s="24">
        <f t="shared" ref="F49:F56" si="3">IF(C49=0,0,E49/C49)</f>
        <v>0.1373958177371862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7104000</v>
      </c>
      <c r="D50" s="23">
        <v>6499000</v>
      </c>
      <c r="E50" s="23">
        <f t="shared" si="2"/>
        <v>-605000</v>
      </c>
      <c r="F50" s="24">
        <f t="shared" si="3"/>
        <v>-8.5163288288288286E-2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6847000</v>
      </c>
      <c r="D51" s="23">
        <v>5935000</v>
      </c>
      <c r="E51" s="23">
        <f t="shared" si="2"/>
        <v>-912000</v>
      </c>
      <c r="F51" s="24">
        <f t="shared" si="3"/>
        <v>-0.13319702059296043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2736000</v>
      </c>
      <c r="D53" s="23">
        <v>3124000</v>
      </c>
      <c r="E53" s="23">
        <f t="shared" si="2"/>
        <v>388000</v>
      </c>
      <c r="F53" s="24">
        <f t="shared" si="3"/>
        <v>0.14181286549707603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36724000</v>
      </c>
      <c r="D56" s="27">
        <f>SUM(D49:D55)</f>
        <v>38348000</v>
      </c>
      <c r="E56" s="27">
        <f t="shared" si="2"/>
        <v>1624000</v>
      </c>
      <c r="F56" s="28">
        <f t="shared" si="3"/>
        <v>4.4221762335257597E-2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28263000</v>
      </c>
      <c r="D59" s="23">
        <v>26789000</v>
      </c>
      <c r="E59" s="23">
        <f>D59-C59</f>
        <v>-1474000</v>
      </c>
      <c r="F59" s="24">
        <f>IF(C59=0,0,E59/C59)</f>
        <v>-5.2152991543714396E-2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28263000</v>
      </c>
      <c r="D61" s="27">
        <f>SUM(D59:D60)</f>
        <v>26789000</v>
      </c>
      <c r="E61" s="27">
        <f>D61-C61</f>
        <v>-1474000</v>
      </c>
      <c r="F61" s="28">
        <f>IF(C61=0,0,E61/C61)</f>
        <v>-5.2152991543714396E-2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71557000</v>
      </c>
      <c r="D63" s="23">
        <v>67434000</v>
      </c>
      <c r="E63" s="23">
        <f>D63-C63</f>
        <v>-4123000</v>
      </c>
      <c r="F63" s="24">
        <f>IF(C63=0,0,E63/C63)</f>
        <v>-5.7618402113000823E-2</v>
      </c>
    </row>
    <row r="64" spans="1:6" ht="24" customHeight="1" x14ac:dyDescent="0.2">
      <c r="A64" s="21">
        <v>4</v>
      </c>
      <c r="B64" s="22" t="s">
        <v>60</v>
      </c>
      <c r="C64" s="23">
        <v>26291000</v>
      </c>
      <c r="D64" s="23">
        <v>27697000</v>
      </c>
      <c r="E64" s="23">
        <f>D64-C64</f>
        <v>1406000</v>
      </c>
      <c r="F64" s="24">
        <f>IF(C64=0,0,E64/C64)</f>
        <v>5.3478376630786202E-2</v>
      </c>
    </row>
    <row r="65" spans="1:6" ht="24" customHeight="1" x14ac:dyDescent="0.25">
      <c r="A65" s="25"/>
      <c r="B65" s="26" t="s">
        <v>61</v>
      </c>
      <c r="C65" s="27">
        <f>SUM(C61:C64)</f>
        <v>126111000</v>
      </c>
      <c r="D65" s="27">
        <f>SUM(D61:D64)</f>
        <v>121920000</v>
      </c>
      <c r="E65" s="27">
        <f>D65-C65</f>
        <v>-4191000</v>
      </c>
      <c r="F65" s="28">
        <f>IF(C65=0,0,E65/C65)</f>
        <v>-3.3232628398791542E-2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1855000</v>
      </c>
      <c r="D67" s="23">
        <v>1663000</v>
      </c>
      <c r="E67" s="23">
        <f>D67-C67</f>
        <v>-192000</v>
      </c>
      <c r="F67" s="46">
        <f>IF(C67=0,0,E67/C67)</f>
        <v>-0.10350404312668464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-3025000</v>
      </c>
      <c r="D70" s="23">
        <v>7737000</v>
      </c>
      <c r="E70" s="23">
        <f>D70-C70</f>
        <v>10762000</v>
      </c>
      <c r="F70" s="24">
        <f>IF(C70=0,0,E70/C70)</f>
        <v>-3.557685950413223</v>
      </c>
    </row>
    <row r="71" spans="1:6" ht="24" customHeight="1" x14ac:dyDescent="0.2">
      <c r="A71" s="21">
        <v>2</v>
      </c>
      <c r="B71" s="22" t="s">
        <v>65</v>
      </c>
      <c r="C71" s="23">
        <v>2387000</v>
      </c>
      <c r="D71" s="23">
        <v>2582000</v>
      </c>
      <c r="E71" s="23">
        <f>D71-C71</f>
        <v>195000</v>
      </c>
      <c r="F71" s="24">
        <f>IF(C71=0,0,E71/C71)</f>
        <v>8.1692501047339758E-2</v>
      </c>
    </row>
    <row r="72" spans="1:6" ht="24" customHeight="1" x14ac:dyDescent="0.2">
      <c r="A72" s="21">
        <v>3</v>
      </c>
      <c r="B72" s="22" t="s">
        <v>66</v>
      </c>
      <c r="C72" s="23">
        <v>13781000</v>
      </c>
      <c r="D72" s="23">
        <v>14378000</v>
      </c>
      <c r="E72" s="23">
        <f>D72-C72</f>
        <v>597000</v>
      </c>
      <c r="F72" s="24">
        <f>IF(C72=0,0,E72/C72)</f>
        <v>4.3320513750816345E-2</v>
      </c>
    </row>
    <row r="73" spans="1:6" ht="24" customHeight="1" x14ac:dyDescent="0.25">
      <c r="A73" s="21"/>
      <c r="B73" s="26" t="s">
        <v>67</v>
      </c>
      <c r="C73" s="27">
        <f>SUM(C70:C72)</f>
        <v>13143000</v>
      </c>
      <c r="D73" s="27">
        <f>SUM(D70:D72)</f>
        <v>24697000</v>
      </c>
      <c r="E73" s="27">
        <f>D73-C73</f>
        <v>11554000</v>
      </c>
      <c r="F73" s="28">
        <f>IF(C73=0,0,E73/C73)</f>
        <v>0.87909914022673663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177833000</v>
      </c>
      <c r="D75" s="27">
        <f>D56+D65+D67+D73</f>
        <v>186628000</v>
      </c>
      <c r="E75" s="27">
        <f>D75-C75</f>
        <v>8795000</v>
      </c>
      <c r="F75" s="28">
        <f>IF(C75=0,0,E75/C75)</f>
        <v>4.94565125707827E-2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r:id="rId1"/>
  <headerFooter>
    <oddHeader>&amp;LOFFICE OF HEALTH CARE ACCESS&amp;CTWELVE MONTHS ACTUAL FILING&amp;RSAINT MARY`S HEALTH SYSTEM,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531794000</v>
      </c>
      <c r="D12" s="51">
        <v>562404000</v>
      </c>
      <c r="E12" s="51">
        <f t="shared" ref="E12:E19" si="0">D12-C12</f>
        <v>30610000</v>
      </c>
      <c r="F12" s="70">
        <f t="shared" ref="F12:F19" si="1">IF(C12=0,0,E12/C12)</f>
        <v>5.7559882210028696E-2</v>
      </c>
    </row>
    <row r="13" spans="1:8" ht="23.1" customHeight="1" x14ac:dyDescent="0.2">
      <c r="A13" s="25">
        <v>2</v>
      </c>
      <c r="B13" s="48" t="s">
        <v>72</v>
      </c>
      <c r="C13" s="51">
        <v>293158000</v>
      </c>
      <c r="D13" s="51">
        <v>317513000</v>
      </c>
      <c r="E13" s="51">
        <f t="shared" si="0"/>
        <v>24355000</v>
      </c>
      <c r="F13" s="70">
        <f t="shared" si="1"/>
        <v>8.3078067117390617E-2</v>
      </c>
    </row>
    <row r="14" spans="1:8" ht="23.1" customHeight="1" x14ac:dyDescent="0.2">
      <c r="A14" s="25">
        <v>3</v>
      </c>
      <c r="B14" s="48" t="s">
        <v>73</v>
      </c>
      <c r="C14" s="51">
        <v>493000</v>
      </c>
      <c r="D14" s="51">
        <v>1044000</v>
      </c>
      <c r="E14" s="51">
        <f t="shared" si="0"/>
        <v>551000</v>
      </c>
      <c r="F14" s="70">
        <f t="shared" si="1"/>
        <v>1.1176470588235294</v>
      </c>
    </row>
    <row r="15" spans="1:8" ht="33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238143000</v>
      </c>
      <c r="D16" s="27">
        <f>D12-D13-D14-D15</f>
        <v>243847000</v>
      </c>
      <c r="E16" s="27">
        <f t="shared" si="0"/>
        <v>5704000</v>
      </c>
      <c r="F16" s="28">
        <f t="shared" si="1"/>
        <v>2.3951995229756912E-2</v>
      </c>
    </row>
    <row r="17" spans="1:7" ht="23.1" customHeight="1" x14ac:dyDescent="0.2">
      <c r="A17" s="25">
        <v>5</v>
      </c>
      <c r="B17" s="48" t="s">
        <v>76</v>
      </c>
      <c r="C17" s="51">
        <v>7585000</v>
      </c>
      <c r="D17" s="51">
        <v>7572000</v>
      </c>
      <c r="E17" s="51">
        <f t="shared" si="0"/>
        <v>-13000</v>
      </c>
      <c r="F17" s="70">
        <f t="shared" si="1"/>
        <v>-1.7139090309822016E-3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245728000</v>
      </c>
      <c r="D19" s="27">
        <f>SUM(D16:D18)</f>
        <v>251419000</v>
      </c>
      <c r="E19" s="27">
        <f t="shared" si="0"/>
        <v>5691000</v>
      </c>
      <c r="F19" s="28">
        <f t="shared" si="1"/>
        <v>2.3159753874202368E-2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102507000</v>
      </c>
      <c r="D22" s="51">
        <v>105443000</v>
      </c>
      <c r="E22" s="51">
        <f t="shared" ref="E22:E31" si="2">D22-C22</f>
        <v>2936000</v>
      </c>
      <c r="F22" s="70">
        <f t="shared" ref="F22:F31" si="3">IF(C22=0,0,E22/C22)</f>
        <v>2.8641946403660239E-2</v>
      </c>
    </row>
    <row r="23" spans="1:7" ht="23.1" customHeight="1" x14ac:dyDescent="0.2">
      <c r="A23" s="25">
        <v>2</v>
      </c>
      <c r="B23" s="48" t="s">
        <v>81</v>
      </c>
      <c r="C23" s="51">
        <v>27782000</v>
      </c>
      <c r="D23" s="51">
        <v>28308000</v>
      </c>
      <c r="E23" s="51">
        <f t="shared" si="2"/>
        <v>526000</v>
      </c>
      <c r="F23" s="70">
        <f t="shared" si="3"/>
        <v>1.8933122165430853E-2</v>
      </c>
    </row>
    <row r="24" spans="1:7" ht="23.1" customHeight="1" x14ac:dyDescent="0.2">
      <c r="A24" s="25">
        <v>3</v>
      </c>
      <c r="B24" s="48" t="s">
        <v>82</v>
      </c>
      <c r="C24" s="51">
        <v>0</v>
      </c>
      <c r="D24" s="51">
        <v>0</v>
      </c>
      <c r="E24" s="51">
        <f t="shared" si="2"/>
        <v>0</v>
      </c>
      <c r="F24" s="70">
        <f t="shared" si="3"/>
        <v>0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0</v>
      </c>
      <c r="D25" s="51">
        <v>0</v>
      </c>
      <c r="E25" s="51">
        <f t="shared" si="2"/>
        <v>0</v>
      </c>
      <c r="F25" s="70">
        <f t="shared" si="3"/>
        <v>0</v>
      </c>
    </row>
    <row r="26" spans="1:7" ht="23.1" customHeight="1" x14ac:dyDescent="0.2">
      <c r="A26" s="25">
        <v>5</v>
      </c>
      <c r="B26" s="48" t="s">
        <v>84</v>
      </c>
      <c r="C26" s="51">
        <v>0</v>
      </c>
      <c r="D26" s="51">
        <v>0</v>
      </c>
      <c r="E26" s="51">
        <f t="shared" si="2"/>
        <v>0</v>
      </c>
      <c r="F26" s="70">
        <f t="shared" si="3"/>
        <v>0</v>
      </c>
    </row>
    <row r="27" spans="1:7" ht="23.1" customHeight="1" x14ac:dyDescent="0.2">
      <c r="A27" s="25">
        <v>6</v>
      </c>
      <c r="B27" s="48" t="s">
        <v>85</v>
      </c>
      <c r="C27" s="51">
        <v>13161000</v>
      </c>
      <c r="D27" s="51">
        <v>13281000</v>
      </c>
      <c r="E27" s="51">
        <f t="shared" si="2"/>
        <v>120000</v>
      </c>
      <c r="F27" s="70">
        <f t="shared" si="3"/>
        <v>9.1178481878276731E-3</v>
      </c>
    </row>
    <row r="28" spans="1:7" ht="23.1" customHeight="1" x14ac:dyDescent="0.2">
      <c r="A28" s="25">
        <v>7</v>
      </c>
      <c r="B28" s="48" t="s">
        <v>86</v>
      </c>
      <c r="C28" s="51">
        <v>0</v>
      </c>
      <c r="D28" s="51">
        <v>0</v>
      </c>
      <c r="E28" s="51">
        <f t="shared" si="2"/>
        <v>0</v>
      </c>
      <c r="F28" s="70">
        <f t="shared" si="3"/>
        <v>0</v>
      </c>
    </row>
    <row r="29" spans="1:7" ht="23.1" customHeight="1" x14ac:dyDescent="0.2">
      <c r="A29" s="25">
        <v>8</v>
      </c>
      <c r="B29" s="48" t="s">
        <v>87</v>
      </c>
      <c r="C29" s="51">
        <v>0</v>
      </c>
      <c r="D29" s="51">
        <v>0</v>
      </c>
      <c r="E29" s="51">
        <f t="shared" si="2"/>
        <v>0</v>
      </c>
      <c r="F29" s="70">
        <f t="shared" si="3"/>
        <v>0</v>
      </c>
    </row>
    <row r="30" spans="1:7" ht="23.1" customHeight="1" x14ac:dyDescent="0.2">
      <c r="A30" s="25">
        <v>9</v>
      </c>
      <c r="B30" s="48" t="s">
        <v>88</v>
      </c>
      <c r="C30" s="51">
        <v>94110000</v>
      </c>
      <c r="D30" s="51">
        <v>100285000</v>
      </c>
      <c r="E30" s="51">
        <f t="shared" si="2"/>
        <v>6175000</v>
      </c>
      <c r="F30" s="70">
        <f t="shared" si="3"/>
        <v>6.5614706194878331E-2</v>
      </c>
    </row>
    <row r="31" spans="1:7" ht="23.1" customHeight="1" x14ac:dyDescent="0.25">
      <c r="A31" s="29"/>
      <c r="B31" s="71" t="s">
        <v>89</v>
      </c>
      <c r="C31" s="27">
        <f>SUM(C22:C30)</f>
        <v>237560000</v>
      </c>
      <c r="D31" s="27">
        <f>SUM(D22:D30)</f>
        <v>247317000</v>
      </c>
      <c r="E31" s="27">
        <f t="shared" si="2"/>
        <v>9757000</v>
      </c>
      <c r="F31" s="28">
        <f t="shared" si="3"/>
        <v>4.1071729247348039E-2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8168000</v>
      </c>
      <c r="D33" s="27">
        <f>+D19-D31</f>
        <v>4102000</v>
      </c>
      <c r="E33" s="27">
        <f>D33-C33</f>
        <v>-4066000</v>
      </c>
      <c r="F33" s="28">
        <f>IF(C33=0,0,E33/C33)</f>
        <v>-0.49779627815866795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-1271000</v>
      </c>
      <c r="D36" s="51">
        <v>1723000</v>
      </c>
      <c r="E36" s="51">
        <f>D36-C36</f>
        <v>2994000</v>
      </c>
      <c r="F36" s="70">
        <f>IF(C36=0,0,E36/C36)</f>
        <v>-2.3556254917387882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1556000</v>
      </c>
      <c r="D38" s="51">
        <v>712000</v>
      </c>
      <c r="E38" s="51">
        <f>D38-C38</f>
        <v>-844000</v>
      </c>
      <c r="F38" s="70">
        <f>IF(C38=0,0,E38/C38)</f>
        <v>-0.54241645244215941</v>
      </c>
    </row>
    <row r="39" spans="1:6" ht="23.1" customHeight="1" x14ac:dyDescent="0.25">
      <c r="A39" s="20"/>
      <c r="B39" s="71" t="s">
        <v>95</v>
      </c>
      <c r="C39" s="27">
        <f>SUM(C36:C38)</f>
        <v>285000</v>
      </c>
      <c r="D39" s="27">
        <f>SUM(D36:D38)</f>
        <v>2435000</v>
      </c>
      <c r="E39" s="27">
        <f>D39-C39</f>
        <v>2150000</v>
      </c>
      <c r="F39" s="28">
        <f>IF(C39=0,0,E39/C39)</f>
        <v>7.5438596491228074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8453000</v>
      </c>
      <c r="D41" s="27">
        <f>D33+D39</f>
        <v>6537000</v>
      </c>
      <c r="E41" s="27">
        <f>D41-C41</f>
        <v>-1916000</v>
      </c>
      <c r="F41" s="28">
        <f>IF(C41=0,0,E41/C41)</f>
        <v>-0.22666508931740212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8453000</v>
      </c>
      <c r="D48" s="27">
        <f>D41+D46</f>
        <v>6537000</v>
      </c>
      <c r="E48" s="27">
        <f>D48-C48</f>
        <v>-1916000</v>
      </c>
      <c r="F48" s="28">
        <f>IF(C48=0,0,E48/C48)</f>
        <v>-0.22666508931740212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r:id="rId1"/>
  <headerFooter>
    <oddHeader>&amp;L&amp;8OFFICE OF HEALTH CARE ACCESS&amp;C&amp;8TWELVE MONTHS ACTUAL FILING&amp;R&amp;8SAINT MARY`S HEALTH SYSTEM,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197</vt:i4>
      </vt:variant>
    </vt:vector>
  </HeadingPairs>
  <TitlesOfParts>
    <vt:vector size="217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Sheet1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2011-08-08T15:34:53Z</cp:lastPrinted>
  <dcterms:created xsi:type="dcterms:W3CDTF">2006-08-03T13:49:12Z</dcterms:created>
  <dcterms:modified xsi:type="dcterms:W3CDTF">2011-08-08T18:04:58Z</dcterms:modified>
</cp:coreProperties>
</file>