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8800" windowHeight="142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C75" i="22"/>
  <c r="C77" i="22"/>
  <c r="C108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F21" i="21"/>
  <c r="C21" i="21"/>
  <c r="E21" i="21"/>
  <c r="D19" i="21"/>
  <c r="C19" i="21"/>
  <c r="E17" i="21"/>
  <c r="F17" i="21"/>
  <c r="E15" i="21"/>
  <c r="F15" i="21"/>
  <c r="D45" i="20"/>
  <c r="D46" i="20"/>
  <c r="C45" i="20"/>
  <c r="D44" i="20"/>
  <c r="C44" i="20"/>
  <c r="D43" i="20"/>
  <c r="C43" i="20"/>
  <c r="D36" i="20"/>
  <c r="D40" i="20"/>
  <c r="E40" i="20"/>
  <c r="F40" i="20"/>
  <c r="C36" i="20"/>
  <c r="E35" i="20"/>
  <c r="F35" i="20"/>
  <c r="E34" i="20"/>
  <c r="F34" i="20"/>
  <c r="E33" i="20"/>
  <c r="F33" i="20"/>
  <c r="E30" i="20"/>
  <c r="F30" i="20"/>
  <c r="E29" i="20"/>
  <c r="F29" i="20"/>
  <c r="E28" i="20"/>
  <c r="F28" i="20"/>
  <c r="E27" i="20"/>
  <c r="F27" i="20"/>
  <c r="D25" i="20"/>
  <c r="D39" i="20"/>
  <c r="E39" i="20"/>
  <c r="C25" i="20"/>
  <c r="E24" i="20"/>
  <c r="F24" i="20"/>
  <c r="E23" i="20"/>
  <c r="F23" i="20"/>
  <c r="E22" i="20"/>
  <c r="F22" i="20"/>
  <c r="D19" i="20"/>
  <c r="D20" i="20"/>
  <c r="C19" i="20"/>
  <c r="E18" i="20"/>
  <c r="F18" i="20"/>
  <c r="D16" i="20"/>
  <c r="E16" i="20"/>
  <c r="F16" i="20"/>
  <c r="C16" i="20"/>
  <c r="E15" i="20"/>
  <c r="F15" i="20"/>
  <c r="E13" i="20"/>
  <c r="F13" i="20"/>
  <c r="E12" i="20"/>
  <c r="F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3" i="19"/>
  <c r="C60" i="19"/>
  <c r="C59" i="19"/>
  <c r="C49" i="19"/>
  <c r="C48" i="19"/>
  <c r="C64" i="19"/>
  <c r="C36" i="19"/>
  <c r="C38" i="19"/>
  <c r="C127" i="19"/>
  <c r="C129" i="19"/>
  <c r="C133" i="19"/>
  <c r="C32" i="19"/>
  <c r="C33" i="19"/>
  <c r="C21" i="19"/>
  <c r="C37" i="19"/>
  <c r="E328" i="18"/>
  <c r="E325" i="18"/>
  <c r="D324" i="18"/>
  <c r="E324" i="18"/>
  <c r="C324" i="18"/>
  <c r="C326" i="18"/>
  <c r="C330" i="18"/>
  <c r="E318" i="18"/>
  <c r="E315" i="18"/>
  <c r="D314" i="18"/>
  <c r="C314" i="18"/>
  <c r="C316" i="18"/>
  <c r="C320" i="18"/>
  <c r="E308" i="18"/>
  <c r="E305" i="18"/>
  <c r="D301" i="18"/>
  <c r="E301" i="18"/>
  <c r="C301" i="18"/>
  <c r="D293" i="18"/>
  <c r="E293" i="18"/>
  <c r="C293" i="18"/>
  <c r="D292" i="18"/>
  <c r="C292" i="18"/>
  <c r="D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D281" i="18"/>
  <c r="E281" i="18"/>
  <c r="C281" i="18"/>
  <c r="D280" i="18"/>
  <c r="C280" i="18"/>
  <c r="D279" i="18"/>
  <c r="E279" i="18"/>
  <c r="C279" i="18"/>
  <c r="D278" i="18"/>
  <c r="E278" i="18"/>
  <c r="C278" i="18"/>
  <c r="D277" i="18"/>
  <c r="E277" i="18"/>
  <c r="C277" i="18"/>
  <c r="D276" i="18"/>
  <c r="C276" i="18"/>
  <c r="E276" i="18"/>
  <c r="E270" i="18"/>
  <c r="D265" i="18"/>
  <c r="D302" i="18"/>
  <c r="C265" i="18"/>
  <c r="C302" i="18"/>
  <c r="E302" i="18"/>
  <c r="D262" i="18"/>
  <c r="C262" i="18"/>
  <c r="E262" i="18"/>
  <c r="D251" i="18"/>
  <c r="C251" i="18"/>
  <c r="D233" i="18"/>
  <c r="C233" i="18"/>
  <c r="D232" i="18"/>
  <c r="E232" i="18"/>
  <c r="C232" i="18"/>
  <c r="D231" i="18"/>
  <c r="D252" i="18"/>
  <c r="D254" i="18"/>
  <c r="C231" i="18"/>
  <c r="E231" i="18"/>
  <c r="D230" i="18"/>
  <c r="C230" i="18"/>
  <c r="E230" i="18"/>
  <c r="D228" i="18"/>
  <c r="C228" i="18"/>
  <c r="D227" i="18"/>
  <c r="C227" i="18"/>
  <c r="E227" i="18"/>
  <c r="D221" i="18"/>
  <c r="D245" i="18"/>
  <c r="C221" i="18"/>
  <c r="D220" i="18"/>
  <c r="D244" i="18"/>
  <c r="C220" i="18"/>
  <c r="C244" i="18"/>
  <c r="D219" i="18"/>
  <c r="D243" i="18"/>
  <c r="C219" i="18"/>
  <c r="C243" i="18"/>
  <c r="D218" i="18"/>
  <c r="C218" i="18"/>
  <c r="D216" i="18"/>
  <c r="D240" i="18"/>
  <c r="C216" i="18"/>
  <c r="D215" i="18"/>
  <c r="D239" i="18"/>
  <c r="E239" i="18"/>
  <c r="C215" i="18"/>
  <c r="C239" i="18"/>
  <c r="E209" i="18"/>
  <c r="E208" i="18"/>
  <c r="E207" i="18"/>
  <c r="E206" i="18"/>
  <c r="D205" i="18"/>
  <c r="D210" i="18"/>
  <c r="C205" i="18"/>
  <c r="E204" i="18"/>
  <c r="E203" i="18"/>
  <c r="E197" i="18"/>
  <c r="E196" i="18"/>
  <c r="D195" i="18"/>
  <c r="C195" i="18"/>
  <c r="C260" i="18"/>
  <c r="E260" i="18"/>
  <c r="E194" i="18"/>
  <c r="E193" i="18"/>
  <c r="E192" i="18"/>
  <c r="E191" i="18"/>
  <c r="E190" i="18"/>
  <c r="D188" i="18"/>
  <c r="E188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C176" i="18"/>
  <c r="E176" i="18"/>
  <c r="D174" i="18"/>
  <c r="E174" i="18"/>
  <c r="C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C72" i="18"/>
  <c r="E72" i="18"/>
  <c r="D70" i="18"/>
  <c r="C70" i="18"/>
  <c r="D69" i="18"/>
  <c r="C69" i="18"/>
  <c r="E69" i="18"/>
  <c r="E64" i="18"/>
  <c r="E63" i="18"/>
  <c r="E62" i="18"/>
  <c r="E61" i="18"/>
  <c r="D60" i="18"/>
  <c r="C60" i="18"/>
  <c r="E59" i="18"/>
  <c r="E58" i="18"/>
  <c r="C55" i="18"/>
  <c r="C284" i="18"/>
  <c r="D54" i="18"/>
  <c r="C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E40" i="18"/>
  <c r="C40" i="18"/>
  <c r="D39" i="18"/>
  <c r="E39" i="18"/>
  <c r="C39" i="18"/>
  <c r="D38" i="18"/>
  <c r="C38" i="18"/>
  <c r="D37" i="18"/>
  <c r="C37" i="18"/>
  <c r="C43" i="18"/>
  <c r="D36" i="18"/>
  <c r="C36" i="18"/>
  <c r="D33" i="18"/>
  <c r="E33" i="18"/>
  <c r="D32" i="18"/>
  <c r="C32" i="18"/>
  <c r="E31" i="18"/>
  <c r="E30" i="18"/>
  <c r="E29" i="18"/>
  <c r="E28" i="18"/>
  <c r="E27" i="18"/>
  <c r="E26" i="18"/>
  <c r="E25" i="18"/>
  <c r="D21" i="18"/>
  <c r="D283" i="18"/>
  <c r="C21" i="18"/>
  <c r="C22" i="18"/>
  <c r="C283" i="18"/>
  <c r="E20" i="18"/>
  <c r="E19" i="18"/>
  <c r="E18" i="18"/>
  <c r="E17" i="18"/>
  <c r="E16" i="18"/>
  <c r="E15" i="18"/>
  <c r="E14" i="18"/>
  <c r="F335" i="17"/>
  <c r="E335" i="17"/>
  <c r="E334" i="17"/>
  <c r="F334" i="17"/>
  <c r="E333" i="17"/>
  <c r="F333" i="17"/>
  <c r="E332" i="17"/>
  <c r="F332" i="17"/>
  <c r="F331" i="17"/>
  <c r="E331" i="17"/>
  <c r="E330" i="17"/>
  <c r="F330" i="17"/>
  <c r="E329" i="17"/>
  <c r="F329" i="17"/>
  <c r="F316" i="17"/>
  <c r="E316" i="17"/>
  <c r="D311" i="17"/>
  <c r="E311" i="17"/>
  <c r="C311" i="17"/>
  <c r="F311" i="17"/>
  <c r="E308" i="17"/>
  <c r="F308" i="17"/>
  <c r="D307" i="17"/>
  <c r="C307" i="17"/>
  <c r="D299" i="17"/>
  <c r="C299" i="17"/>
  <c r="D298" i="17"/>
  <c r="C298" i="17"/>
  <c r="D297" i="17"/>
  <c r="C297" i="17"/>
  <c r="D296" i="17"/>
  <c r="C296" i="17"/>
  <c r="D295" i="17"/>
  <c r="E295" i="17"/>
  <c r="C295" i="17"/>
  <c r="D294" i="17"/>
  <c r="C294" i="17"/>
  <c r="D250" i="17"/>
  <c r="D306" i="17"/>
  <c r="C250" i="17"/>
  <c r="E250" i="17"/>
  <c r="C306" i="17"/>
  <c r="F249" i="17"/>
  <c r="E249" i="17"/>
  <c r="F248" i="17"/>
  <c r="E248" i="17"/>
  <c r="F245" i="17"/>
  <c r="E245" i="17"/>
  <c r="E244" i="17"/>
  <c r="F244" i="17"/>
  <c r="F243" i="17"/>
  <c r="E243" i="17"/>
  <c r="D238" i="17"/>
  <c r="C238" i="17"/>
  <c r="D237" i="17"/>
  <c r="D239" i="17"/>
  <c r="C237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C285" i="17"/>
  <c r="D203" i="17"/>
  <c r="E203" i="17"/>
  <c r="F203" i="17"/>
  <c r="C203" i="17"/>
  <c r="C283" i="17"/>
  <c r="D198" i="17"/>
  <c r="C198" i="17"/>
  <c r="D191" i="17"/>
  <c r="D280" i="17"/>
  <c r="C191" i="17"/>
  <c r="C280" i="17"/>
  <c r="D189" i="17"/>
  <c r="D278" i="17"/>
  <c r="C189" i="17"/>
  <c r="C278" i="17"/>
  <c r="E278" i="17"/>
  <c r="D188" i="17"/>
  <c r="D277" i="17"/>
  <c r="D287" i="17"/>
  <c r="D291" i="17"/>
  <c r="C188" i="17"/>
  <c r="C277" i="17"/>
  <c r="F180" i="17"/>
  <c r="D180" i="17"/>
  <c r="C180" i="17"/>
  <c r="E180" i="17"/>
  <c r="F179" i="17"/>
  <c r="D179" i="17"/>
  <c r="E179" i="17"/>
  <c r="C179" i="17"/>
  <c r="C181" i="17"/>
  <c r="F181" i="17"/>
  <c r="F171" i="17"/>
  <c r="D171" i="17"/>
  <c r="E171" i="17"/>
  <c r="C171" i="17"/>
  <c r="C172" i="17"/>
  <c r="C173" i="17"/>
  <c r="F173" i="17"/>
  <c r="D170" i="17"/>
  <c r="C170" i="17"/>
  <c r="F170" i="17"/>
  <c r="F169" i="17"/>
  <c r="E169" i="17"/>
  <c r="F168" i="17"/>
  <c r="E168" i="17"/>
  <c r="D165" i="17"/>
  <c r="C165" i="17"/>
  <c r="F165" i="17"/>
  <c r="D164" i="17"/>
  <c r="C164" i="17"/>
  <c r="F164" i="17"/>
  <c r="F163" i="17"/>
  <c r="E163" i="17"/>
  <c r="D158" i="17"/>
  <c r="C158" i="17"/>
  <c r="F157" i="17"/>
  <c r="E157" i="17"/>
  <c r="F156" i="17"/>
  <c r="E156" i="17"/>
  <c r="D155" i="17"/>
  <c r="C155" i="17"/>
  <c r="F155" i="17"/>
  <c r="F154" i="17"/>
  <c r="E154" i="17"/>
  <c r="F153" i="17"/>
  <c r="E153" i="17"/>
  <c r="D145" i="17"/>
  <c r="C145" i="17"/>
  <c r="D144" i="17"/>
  <c r="E144" i="17"/>
  <c r="F144" i="17"/>
  <c r="C144" i="17"/>
  <c r="C146" i="17"/>
  <c r="D136" i="17"/>
  <c r="C136" i="17"/>
  <c r="C137" i="17"/>
  <c r="D135" i="17"/>
  <c r="E135" i="17"/>
  <c r="C135" i="17"/>
  <c r="E134" i="17"/>
  <c r="F134" i="17"/>
  <c r="E133" i="17"/>
  <c r="F133" i="17"/>
  <c r="D130" i="17"/>
  <c r="E130" i="17"/>
  <c r="C130" i="17"/>
  <c r="F130" i="17"/>
  <c r="D129" i="17"/>
  <c r="E129" i="17"/>
  <c r="F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E110" i="17"/>
  <c r="F110" i="17"/>
  <c r="C110" i="17"/>
  <c r="D109" i="17"/>
  <c r="C109" i="17"/>
  <c r="C111" i="17"/>
  <c r="D101" i="17"/>
  <c r="C101" i="17"/>
  <c r="C102" i="17"/>
  <c r="D100" i="17"/>
  <c r="E100" i="17"/>
  <c r="C100" i="17"/>
  <c r="E99" i="17"/>
  <c r="F99" i="17"/>
  <c r="E98" i="17"/>
  <c r="F98" i="17"/>
  <c r="D95" i="17"/>
  <c r="C95" i="17"/>
  <c r="D94" i="17"/>
  <c r="E94" i="17"/>
  <c r="C94" i="17"/>
  <c r="F94" i="17"/>
  <c r="E93" i="17"/>
  <c r="F93" i="17"/>
  <c r="D88" i="17"/>
  <c r="D89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E77" i="17"/>
  <c r="C76" i="17"/>
  <c r="C77" i="17"/>
  <c r="E74" i="17"/>
  <c r="F74" i="17"/>
  <c r="E73" i="17"/>
  <c r="F73" i="17"/>
  <c r="D67" i="17"/>
  <c r="C67" i="17"/>
  <c r="D66" i="17"/>
  <c r="D68" i="17"/>
  <c r="C66" i="17"/>
  <c r="D59" i="17"/>
  <c r="D60" i="17"/>
  <c r="D61" i="17"/>
  <c r="D62" i="17"/>
  <c r="C59" i="17"/>
  <c r="C60" i="17"/>
  <c r="D58" i="17"/>
  <c r="C58" i="17"/>
  <c r="E57" i="17"/>
  <c r="F57" i="17"/>
  <c r="E56" i="17"/>
  <c r="F56" i="17"/>
  <c r="D53" i="17"/>
  <c r="C53" i="17"/>
  <c r="D52" i="17"/>
  <c r="E52" i="17"/>
  <c r="F52" i="17"/>
  <c r="C52" i="17"/>
  <c r="E51" i="17"/>
  <c r="F51" i="17"/>
  <c r="D47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D32" i="17"/>
  <c r="C30" i="17"/>
  <c r="C31" i="17"/>
  <c r="D29" i="17"/>
  <c r="C29" i="17"/>
  <c r="E28" i="17"/>
  <c r="F28" i="17"/>
  <c r="E27" i="17"/>
  <c r="F27" i="17"/>
  <c r="D24" i="17"/>
  <c r="C24" i="17"/>
  <c r="E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2" i="16"/>
  <c r="E22" i="16"/>
  <c r="F22" i="16"/>
  <c r="C22" i="16"/>
  <c r="E21" i="16"/>
  <c r="F21" i="16"/>
  <c r="D18" i="16"/>
  <c r="E18" i="16"/>
  <c r="F18" i="16"/>
  <c r="C18" i="16"/>
  <c r="F17" i="16"/>
  <c r="E17" i="16"/>
  <c r="D14" i="16"/>
  <c r="E14" i="16"/>
  <c r="F14" i="16"/>
  <c r="C14" i="16"/>
  <c r="F13" i="16"/>
  <c r="E13" i="16"/>
  <c r="E12" i="16"/>
  <c r="F12" i="16"/>
  <c r="D107" i="15"/>
  <c r="C107" i="15"/>
  <c r="E106" i="15"/>
  <c r="F106" i="15"/>
  <c r="E105" i="15"/>
  <c r="F105" i="15"/>
  <c r="F104" i="15"/>
  <c r="E104" i="15"/>
  <c r="D100" i="15"/>
  <c r="E100" i="15"/>
  <c r="C100" i="15"/>
  <c r="E99" i="15"/>
  <c r="F99" i="15"/>
  <c r="E98" i="15"/>
  <c r="F98" i="15"/>
  <c r="E97" i="15"/>
  <c r="F97" i="15"/>
  <c r="E96" i="15"/>
  <c r="F96" i="15"/>
  <c r="E95" i="15"/>
  <c r="F95" i="15"/>
  <c r="D92" i="15"/>
  <c r="E92" i="15"/>
  <c r="C92" i="15"/>
  <c r="E91" i="15"/>
  <c r="F91" i="15"/>
  <c r="F90" i="15"/>
  <c r="E90" i="15"/>
  <c r="E89" i="15"/>
  <c r="F89" i="15"/>
  <c r="F88" i="15"/>
  <c r="E88" i="15"/>
  <c r="F87" i="15"/>
  <c r="E87" i="15"/>
  <c r="E86" i="15"/>
  <c r="F86" i="15"/>
  <c r="F85" i="15"/>
  <c r="E85" i="15"/>
  <c r="F84" i="15"/>
  <c r="E84" i="15"/>
  <c r="E83" i="15"/>
  <c r="F83" i="15"/>
  <c r="F82" i="15"/>
  <c r="E82" i="15"/>
  <c r="F81" i="15"/>
  <c r="E81" i="15"/>
  <c r="F80" i="15"/>
  <c r="E80" i="15"/>
  <c r="F79" i="15"/>
  <c r="E79" i="15"/>
  <c r="D75" i="15"/>
  <c r="C75" i="15"/>
  <c r="E74" i="15"/>
  <c r="F74" i="15"/>
  <c r="E73" i="15"/>
  <c r="D70" i="15"/>
  <c r="E70" i="15"/>
  <c r="F70" i="15"/>
  <c r="C70" i="15"/>
  <c r="F69" i="15"/>
  <c r="E69" i="15"/>
  <c r="E68" i="15"/>
  <c r="F68" i="15"/>
  <c r="D65" i="15"/>
  <c r="C65" i="15"/>
  <c r="E65" i="15"/>
  <c r="F64" i="15"/>
  <c r="E64" i="15"/>
  <c r="E63" i="15"/>
  <c r="F63" i="15"/>
  <c r="D60" i="15"/>
  <c r="C60" i="15"/>
  <c r="E59" i="15"/>
  <c r="F59" i="15"/>
  <c r="E58" i="15"/>
  <c r="D55" i="15"/>
  <c r="E55" i="15"/>
  <c r="F55" i="15"/>
  <c r="C55" i="15"/>
  <c r="F54" i="15"/>
  <c r="E54" i="15"/>
  <c r="E53" i="15"/>
  <c r="F53" i="15"/>
  <c r="D50" i="15"/>
  <c r="C50" i="15"/>
  <c r="E49" i="15"/>
  <c r="F49" i="15"/>
  <c r="E48" i="15"/>
  <c r="F48" i="15"/>
  <c r="D45" i="15"/>
  <c r="E45" i="15"/>
  <c r="C45" i="15"/>
  <c r="F44" i="15"/>
  <c r="E44" i="15"/>
  <c r="E43" i="15"/>
  <c r="F43" i="15"/>
  <c r="D37" i="15"/>
  <c r="E37" i="15"/>
  <c r="F37" i="15"/>
  <c r="C37" i="15"/>
  <c r="F36" i="15"/>
  <c r="E36" i="15"/>
  <c r="F35" i="15"/>
  <c r="E35" i="15"/>
  <c r="E34" i="15"/>
  <c r="F34" i="15"/>
  <c r="F33" i="15"/>
  <c r="E33" i="15"/>
  <c r="D30" i="15"/>
  <c r="C30" i="15"/>
  <c r="F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E21" i="15"/>
  <c r="F21" i="15"/>
  <c r="E20" i="15"/>
  <c r="F20" i="15"/>
  <c r="E19" i="15"/>
  <c r="F19" i="15"/>
  <c r="D16" i="15"/>
  <c r="C16" i="15"/>
  <c r="F15" i="15"/>
  <c r="E15" i="15"/>
  <c r="F14" i="15"/>
  <c r="E14" i="15"/>
  <c r="E13" i="15"/>
  <c r="F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E73" i="13"/>
  <c r="D73" i="13"/>
  <c r="D75" i="13"/>
  <c r="C73" i="13"/>
  <c r="C75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C59" i="13"/>
  <c r="C61" i="13"/>
  <c r="E58" i="13"/>
  <c r="D58" i="13"/>
  <c r="C58" i="13"/>
  <c r="E55" i="13"/>
  <c r="D55" i="13"/>
  <c r="D50" i="13"/>
  <c r="C55" i="13"/>
  <c r="C50" i="13"/>
  <c r="E54" i="13"/>
  <c r="D54" i="13"/>
  <c r="C54" i="13"/>
  <c r="C48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C25" i="13"/>
  <c r="E13" i="13"/>
  <c r="D13" i="13"/>
  <c r="D25" i="13"/>
  <c r="D27" i="13"/>
  <c r="C13" i="13"/>
  <c r="C15" i="13"/>
  <c r="C24" i="13"/>
  <c r="D47" i="12"/>
  <c r="E47" i="12"/>
  <c r="C47" i="12"/>
  <c r="F47" i="12"/>
  <c r="F46" i="12"/>
  <c r="E46" i="12"/>
  <c r="F45" i="12"/>
  <c r="E45" i="12"/>
  <c r="D40" i="12"/>
  <c r="C40" i="12"/>
  <c r="E39" i="12"/>
  <c r="F39" i="12"/>
  <c r="F38" i="12"/>
  <c r="E38" i="12"/>
  <c r="F37" i="12"/>
  <c r="E37" i="12"/>
  <c r="D32" i="12"/>
  <c r="E32" i="12"/>
  <c r="C32" i="12"/>
  <c r="F32" i="12"/>
  <c r="F31" i="12"/>
  <c r="E31" i="12"/>
  <c r="F30" i="12"/>
  <c r="E30" i="12"/>
  <c r="E29" i="12"/>
  <c r="F29" i="12"/>
  <c r="F28" i="12"/>
  <c r="E28" i="12"/>
  <c r="F27" i="12"/>
  <c r="E27" i="12"/>
  <c r="F26" i="12"/>
  <c r="E26" i="12"/>
  <c r="E25" i="12"/>
  <c r="F25" i="12"/>
  <c r="E24" i="12"/>
  <c r="F24" i="12"/>
  <c r="F23" i="12"/>
  <c r="E23" i="12"/>
  <c r="F19" i="12"/>
  <c r="E19" i="12"/>
  <c r="F18" i="12"/>
  <c r="E18" i="12"/>
  <c r="E16" i="12"/>
  <c r="F16" i="12"/>
  <c r="D15" i="12"/>
  <c r="D17" i="12"/>
  <c r="C15" i="12"/>
  <c r="C17" i="12"/>
  <c r="F14" i="12"/>
  <c r="E14" i="12"/>
  <c r="E13" i="12"/>
  <c r="F13" i="12"/>
  <c r="F12" i="12"/>
  <c r="E12" i="12"/>
  <c r="F11" i="12"/>
  <c r="E11" i="12"/>
  <c r="D73" i="11"/>
  <c r="C73" i="11"/>
  <c r="E72" i="11"/>
  <c r="F72" i="11"/>
  <c r="E71" i="11"/>
  <c r="F71" i="11"/>
  <c r="E70" i="11"/>
  <c r="F70" i="11"/>
  <c r="F67" i="11"/>
  <c r="E67" i="11"/>
  <c r="F64" i="11"/>
  <c r="E64" i="11"/>
  <c r="E63" i="11"/>
  <c r="F63" i="11"/>
  <c r="D61" i="11"/>
  <c r="D65" i="11"/>
  <c r="D75" i="11"/>
  <c r="C61" i="11"/>
  <c r="F60" i="11"/>
  <c r="E60" i="11"/>
  <c r="E59" i="11"/>
  <c r="F59" i="11"/>
  <c r="D56" i="11"/>
  <c r="C56" i="11"/>
  <c r="E55" i="11"/>
  <c r="F55" i="11"/>
  <c r="F54" i="11"/>
  <c r="E54" i="11"/>
  <c r="E53" i="11"/>
  <c r="F53" i="11"/>
  <c r="F52" i="11"/>
  <c r="E52" i="11"/>
  <c r="E51" i="11"/>
  <c r="F51" i="11"/>
  <c r="F50" i="11"/>
  <c r="E50" i="11"/>
  <c r="A50" i="11"/>
  <c r="A51" i="11"/>
  <c r="A52" i="11"/>
  <c r="A53" i="11"/>
  <c r="A54" i="11"/>
  <c r="A55" i="11"/>
  <c r="E49" i="11"/>
  <c r="F49" i="11"/>
  <c r="E40" i="11"/>
  <c r="F40" i="11"/>
  <c r="D38" i="11"/>
  <c r="D41" i="11"/>
  <c r="C38" i="11"/>
  <c r="E37" i="11"/>
  <c r="F37" i="11"/>
  <c r="E36" i="11"/>
  <c r="F36" i="11"/>
  <c r="E33" i="11"/>
  <c r="F33" i="11"/>
  <c r="E32" i="11"/>
  <c r="F32" i="11"/>
  <c r="F31" i="11"/>
  <c r="E31" i="11"/>
  <c r="D29" i="11"/>
  <c r="D43" i="11"/>
  <c r="C29" i="11"/>
  <c r="C43" i="11"/>
  <c r="F43" i="11"/>
  <c r="E28" i="11"/>
  <c r="F28" i="11"/>
  <c r="F27" i="11"/>
  <c r="E27" i="11"/>
  <c r="E26" i="11"/>
  <c r="F26" i="11"/>
  <c r="E25" i="11"/>
  <c r="F25" i="11"/>
  <c r="D22" i="11"/>
  <c r="C22" i="11"/>
  <c r="E21" i="11"/>
  <c r="F21" i="11"/>
  <c r="E20" i="11"/>
  <c r="F20" i="11"/>
  <c r="E19" i="11"/>
  <c r="F19" i="11"/>
  <c r="F18" i="11"/>
  <c r="E18" i="11"/>
  <c r="E17" i="11"/>
  <c r="F17" i="11"/>
  <c r="E16" i="11"/>
  <c r="F16" i="11"/>
  <c r="E15" i="11"/>
  <c r="F15" i="11"/>
  <c r="E14" i="11"/>
  <c r="F14" i="11"/>
  <c r="E13" i="11"/>
  <c r="F13" i="11"/>
  <c r="D120" i="10"/>
  <c r="C120" i="10"/>
  <c r="E120" i="10"/>
  <c r="D119" i="10"/>
  <c r="C119" i="10"/>
  <c r="F119" i="10"/>
  <c r="F118" i="10"/>
  <c r="D118" i="10"/>
  <c r="E118" i="10"/>
  <c r="C118" i="10"/>
  <c r="D117" i="10"/>
  <c r="C117" i="10"/>
  <c r="F117" i="10"/>
  <c r="F116" i="10"/>
  <c r="D116" i="10"/>
  <c r="E116" i="10"/>
  <c r="C116" i="10"/>
  <c r="D115" i="10"/>
  <c r="E115" i="10"/>
  <c r="C115" i="10"/>
  <c r="F115" i="10"/>
  <c r="D114" i="10"/>
  <c r="E114" i="10"/>
  <c r="C114" i="10"/>
  <c r="C121" i="10"/>
  <c r="D113" i="10"/>
  <c r="C113" i="10"/>
  <c r="F112" i="10"/>
  <c r="D112" i="10"/>
  <c r="D121" i="10"/>
  <c r="C112" i="10"/>
  <c r="F121" i="10"/>
  <c r="F108" i="10"/>
  <c r="D108" i="10"/>
  <c r="E108" i="10"/>
  <c r="C108" i="10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C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C36" i="10"/>
  <c r="E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C205" i="9"/>
  <c r="F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C201" i="9"/>
  <c r="F201" i="9"/>
  <c r="D200" i="9"/>
  <c r="E200" i="9"/>
  <c r="F200" i="9"/>
  <c r="C200" i="9"/>
  <c r="D199" i="9"/>
  <c r="C199" i="9"/>
  <c r="C208" i="9"/>
  <c r="D198" i="9"/>
  <c r="D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E190" i="9"/>
  <c r="F190" i="9"/>
  <c r="F189" i="9"/>
  <c r="E189" i="9"/>
  <c r="F188" i="9"/>
  <c r="E188" i="9"/>
  <c r="F187" i="9"/>
  <c r="E187" i="9"/>
  <c r="E186" i="9"/>
  <c r="F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F141" i="9"/>
  <c r="F140" i="9"/>
  <c r="D140" i="9"/>
  <c r="C140" i="9"/>
  <c r="E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E126" i="9"/>
  <c r="F126" i="9"/>
  <c r="F125" i="9"/>
  <c r="E125" i="9"/>
  <c r="E124" i="9"/>
  <c r="F124" i="9"/>
  <c r="F123" i="9"/>
  <c r="E123" i="9"/>
  <c r="E122" i="9"/>
  <c r="F122" i="9"/>
  <c r="F121" i="9"/>
  <c r="E121" i="9"/>
  <c r="E120" i="9"/>
  <c r="F120" i="9"/>
  <c r="F119" i="9"/>
  <c r="E119" i="9"/>
  <c r="F118" i="9"/>
  <c r="E118" i="9"/>
  <c r="D115" i="9"/>
  <c r="E115" i="9"/>
  <c r="F115" i="9"/>
  <c r="C115" i="9"/>
  <c r="D114" i="9"/>
  <c r="C114" i="9"/>
  <c r="F113" i="9"/>
  <c r="E113" i="9"/>
  <c r="F112" i="9"/>
  <c r="E112" i="9"/>
  <c r="E111" i="9"/>
  <c r="F111" i="9"/>
  <c r="E110" i="9"/>
  <c r="F110" i="9"/>
  <c r="F109" i="9"/>
  <c r="E109" i="9"/>
  <c r="F108" i="9"/>
  <c r="E108" i="9"/>
  <c r="E107" i="9"/>
  <c r="F107" i="9"/>
  <c r="E106" i="9"/>
  <c r="F106" i="9"/>
  <c r="F105" i="9"/>
  <c r="E105" i="9"/>
  <c r="D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C75" i="9"/>
  <c r="E74" i="9"/>
  <c r="F74" i="9"/>
  <c r="F73" i="9"/>
  <c r="E73" i="9"/>
  <c r="F72" i="9"/>
  <c r="E72" i="9"/>
  <c r="E71" i="9"/>
  <c r="F71" i="9"/>
  <c r="E70" i="9"/>
  <c r="F70" i="9"/>
  <c r="F69" i="9"/>
  <c r="E69" i="9"/>
  <c r="F68" i="9"/>
  <c r="E68" i="9"/>
  <c r="E67" i="9"/>
  <c r="F67" i="9"/>
  <c r="E66" i="9"/>
  <c r="F66" i="9"/>
  <c r="F63" i="9"/>
  <c r="D63" i="9"/>
  <c r="E63" i="9"/>
  <c r="C63" i="9"/>
  <c r="D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E49" i="9"/>
  <c r="F49" i="9"/>
  <c r="C49" i="9"/>
  <c r="F48" i="9"/>
  <c r="E48" i="9"/>
  <c r="E47" i="9"/>
  <c r="F47" i="9"/>
  <c r="E46" i="9"/>
  <c r="F46" i="9"/>
  <c r="F45" i="9"/>
  <c r="E45" i="9"/>
  <c r="F44" i="9"/>
  <c r="E44" i="9"/>
  <c r="E43" i="9"/>
  <c r="F43" i="9"/>
  <c r="E42" i="9"/>
  <c r="F42" i="9"/>
  <c r="F41" i="9"/>
  <c r="E41" i="9"/>
  <c r="F40" i="9"/>
  <c r="E40" i="9"/>
  <c r="D37" i="9"/>
  <c r="C37" i="9"/>
  <c r="F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C23" i="9"/>
  <c r="E22" i="9"/>
  <c r="F22" i="9"/>
  <c r="F21" i="9"/>
  <c r="E21" i="9"/>
  <c r="F20" i="9"/>
  <c r="E20" i="9"/>
  <c r="E19" i="9"/>
  <c r="F19" i="9"/>
  <c r="E18" i="9"/>
  <c r="F18" i="9"/>
  <c r="F17" i="9"/>
  <c r="E17" i="9"/>
  <c r="F16" i="9"/>
  <c r="E16" i="9"/>
  <c r="E15" i="9"/>
  <c r="F15" i="9"/>
  <c r="E14" i="9"/>
  <c r="F14" i="9"/>
  <c r="E191" i="8"/>
  <c r="D191" i="8"/>
  <c r="C191" i="8"/>
  <c r="E176" i="8"/>
  <c r="D176" i="8"/>
  <c r="C176" i="8"/>
  <c r="E164" i="8"/>
  <c r="E160" i="8"/>
  <c r="D164" i="8"/>
  <c r="D160" i="8"/>
  <c r="D166" i="8"/>
  <c r="C164" i="8"/>
  <c r="E162" i="8"/>
  <c r="E166" i="8"/>
  <c r="D162" i="8"/>
  <c r="C162" i="8"/>
  <c r="E161" i="8"/>
  <c r="D161" i="8"/>
  <c r="C161" i="8"/>
  <c r="C160" i="8"/>
  <c r="C166" i="8"/>
  <c r="E147" i="8"/>
  <c r="E143" i="8"/>
  <c r="D147" i="8"/>
  <c r="D143" i="8"/>
  <c r="C147" i="8"/>
  <c r="E145" i="8"/>
  <c r="D145" i="8"/>
  <c r="C145" i="8"/>
  <c r="E144" i="8"/>
  <c r="D144" i="8"/>
  <c r="C144" i="8"/>
  <c r="C143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E102" i="8"/>
  <c r="D102" i="8"/>
  <c r="D104" i="8"/>
  <c r="C102" i="8"/>
  <c r="C104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E75" i="8"/>
  <c r="D75" i="8"/>
  <c r="D88" i="8"/>
  <c r="D90" i="8"/>
  <c r="C75" i="8"/>
  <c r="E74" i="8"/>
  <c r="D74" i="8"/>
  <c r="C74" i="8"/>
  <c r="E67" i="8"/>
  <c r="D67" i="8"/>
  <c r="C67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C25" i="8"/>
  <c r="C27" i="8"/>
  <c r="E15" i="8"/>
  <c r="E24" i="8"/>
  <c r="C15" i="8"/>
  <c r="C24" i="8"/>
  <c r="E13" i="8"/>
  <c r="E25" i="8"/>
  <c r="E27" i="8"/>
  <c r="D13" i="8"/>
  <c r="D25" i="8"/>
  <c r="D27" i="8"/>
  <c r="C13" i="8"/>
  <c r="E186" i="7"/>
  <c r="F186" i="7"/>
  <c r="D183" i="7"/>
  <c r="C183" i="7"/>
  <c r="E182" i="7"/>
  <c r="F182" i="7"/>
  <c r="F181" i="7"/>
  <c r="E181" i="7"/>
  <c r="F180" i="7"/>
  <c r="E180" i="7"/>
  <c r="E179" i="7"/>
  <c r="F179" i="7"/>
  <c r="F178" i="7"/>
  <c r="E178" i="7"/>
  <c r="F177" i="7"/>
  <c r="E177" i="7"/>
  <c r="E176" i="7"/>
  <c r="F176" i="7"/>
  <c r="E175" i="7"/>
  <c r="F175" i="7"/>
  <c r="F174" i="7"/>
  <c r="E174" i="7"/>
  <c r="F173" i="7"/>
  <c r="E173" i="7"/>
  <c r="F172" i="7"/>
  <c r="E172" i="7"/>
  <c r="E171" i="7"/>
  <c r="F171" i="7"/>
  <c r="F170" i="7"/>
  <c r="E170" i="7"/>
  <c r="D167" i="7"/>
  <c r="E167" i="7"/>
  <c r="C167" i="7"/>
  <c r="F167" i="7"/>
  <c r="E166" i="7"/>
  <c r="F166" i="7"/>
  <c r="E165" i="7"/>
  <c r="F165" i="7"/>
  <c r="E164" i="7"/>
  <c r="F164" i="7"/>
  <c r="F163" i="7"/>
  <c r="E163" i="7"/>
  <c r="F162" i="7"/>
  <c r="E162" i="7"/>
  <c r="E161" i="7"/>
  <c r="F161" i="7"/>
  <c r="E160" i="7"/>
  <c r="F160" i="7"/>
  <c r="F159" i="7"/>
  <c r="E159" i="7"/>
  <c r="E158" i="7"/>
  <c r="F158" i="7"/>
  <c r="F157" i="7"/>
  <c r="E157" i="7"/>
  <c r="E156" i="7"/>
  <c r="F156" i="7"/>
  <c r="F155" i="7"/>
  <c r="E155" i="7"/>
  <c r="E154" i="7"/>
  <c r="F154" i="7"/>
  <c r="F153" i="7"/>
  <c r="E153" i="7"/>
  <c r="E152" i="7"/>
  <c r="F152" i="7"/>
  <c r="E151" i="7"/>
  <c r="F151" i="7"/>
  <c r="E150" i="7"/>
  <c r="F150" i="7"/>
  <c r="F149" i="7"/>
  <c r="E149" i="7"/>
  <c r="F148" i="7"/>
  <c r="E148" i="7"/>
  <c r="F147" i="7"/>
  <c r="E147" i="7"/>
  <c r="E146" i="7"/>
  <c r="F146" i="7"/>
  <c r="F145" i="7"/>
  <c r="E145" i="7"/>
  <c r="E144" i="7"/>
  <c r="F144" i="7"/>
  <c r="F143" i="7"/>
  <c r="E143" i="7"/>
  <c r="E142" i="7"/>
  <c r="F142" i="7"/>
  <c r="E141" i="7"/>
  <c r="F141" i="7"/>
  <c r="E140" i="7"/>
  <c r="F140" i="7"/>
  <c r="F139" i="7"/>
  <c r="E139" i="7"/>
  <c r="E138" i="7"/>
  <c r="F138" i="7"/>
  <c r="E137" i="7"/>
  <c r="F137" i="7"/>
  <c r="F136" i="7"/>
  <c r="E136" i="7"/>
  <c r="E135" i="7"/>
  <c r="F135" i="7"/>
  <c r="E134" i="7"/>
  <c r="F134" i="7"/>
  <c r="F133" i="7"/>
  <c r="E133" i="7"/>
  <c r="D130" i="7"/>
  <c r="C130" i="7"/>
  <c r="E129" i="7"/>
  <c r="F129" i="7"/>
  <c r="E128" i="7"/>
  <c r="F128" i="7"/>
  <c r="F127" i="7"/>
  <c r="E127" i="7"/>
  <c r="E126" i="7"/>
  <c r="F126" i="7"/>
  <c r="F125" i="7"/>
  <c r="E125" i="7"/>
  <c r="E124" i="7"/>
  <c r="F124" i="7"/>
  <c r="D121" i="7"/>
  <c r="E121" i="7"/>
  <c r="C121" i="7"/>
  <c r="E120" i="7"/>
  <c r="F120" i="7"/>
  <c r="E119" i="7"/>
  <c r="F119" i="7"/>
  <c r="F118" i="7"/>
  <c r="E118" i="7"/>
  <c r="E117" i="7"/>
  <c r="F117" i="7"/>
  <c r="E116" i="7"/>
  <c r="F116" i="7"/>
  <c r="F115" i="7"/>
  <c r="E115" i="7"/>
  <c r="F114" i="7"/>
  <c r="E114" i="7"/>
  <c r="E113" i="7"/>
  <c r="F113" i="7"/>
  <c r="E112" i="7"/>
  <c r="F112" i="7"/>
  <c r="E111" i="7"/>
  <c r="F111" i="7"/>
  <c r="F110" i="7"/>
  <c r="E110" i="7"/>
  <c r="E109" i="7"/>
  <c r="F109" i="7"/>
  <c r="E108" i="7"/>
  <c r="F108" i="7"/>
  <c r="F107" i="7"/>
  <c r="E107" i="7"/>
  <c r="F106" i="7"/>
  <c r="E106" i="7"/>
  <c r="E105" i="7"/>
  <c r="F105" i="7"/>
  <c r="E104" i="7"/>
  <c r="F104" i="7"/>
  <c r="E103" i="7"/>
  <c r="F103" i="7"/>
  <c r="F93" i="7"/>
  <c r="E93" i="7"/>
  <c r="D90" i="7"/>
  <c r="D95" i="7"/>
  <c r="E95" i="7"/>
  <c r="F95" i="7"/>
  <c r="C90" i="7"/>
  <c r="C95" i="7"/>
  <c r="E89" i="7"/>
  <c r="F89" i="7"/>
  <c r="F88" i="7"/>
  <c r="E88" i="7"/>
  <c r="E87" i="7"/>
  <c r="F87" i="7"/>
  <c r="E86" i="7"/>
  <c r="F86" i="7"/>
  <c r="F85" i="7"/>
  <c r="E85" i="7"/>
  <c r="F84" i="7"/>
  <c r="E84" i="7"/>
  <c r="E83" i="7"/>
  <c r="F83" i="7"/>
  <c r="E82" i="7"/>
  <c r="F82" i="7"/>
  <c r="E81" i="7"/>
  <c r="F81" i="7"/>
  <c r="F80" i="7"/>
  <c r="E80" i="7"/>
  <c r="E79" i="7"/>
  <c r="F79" i="7"/>
  <c r="E78" i="7"/>
  <c r="F78" i="7"/>
  <c r="F77" i="7"/>
  <c r="E77" i="7"/>
  <c r="F76" i="7"/>
  <c r="E76" i="7"/>
  <c r="E75" i="7"/>
  <c r="F75" i="7"/>
  <c r="E74" i="7"/>
  <c r="F74" i="7"/>
  <c r="E73" i="7"/>
  <c r="F73" i="7"/>
  <c r="F72" i="7"/>
  <c r="E72" i="7"/>
  <c r="E71" i="7"/>
  <c r="F71" i="7"/>
  <c r="E70" i="7"/>
  <c r="F70" i="7"/>
  <c r="E69" i="7"/>
  <c r="F69" i="7"/>
  <c r="F68" i="7"/>
  <c r="E68" i="7"/>
  <c r="E67" i="7"/>
  <c r="F67" i="7"/>
  <c r="E66" i="7"/>
  <c r="F66" i="7"/>
  <c r="E65" i="7"/>
  <c r="F65" i="7"/>
  <c r="F64" i="7"/>
  <c r="E64" i="7"/>
  <c r="E63" i="7"/>
  <c r="F63" i="7"/>
  <c r="E62" i="7"/>
  <c r="F62" i="7"/>
  <c r="D59" i="7"/>
  <c r="E59" i="7"/>
  <c r="F59" i="7"/>
  <c r="C59" i="7"/>
  <c r="F58" i="7"/>
  <c r="E58" i="7"/>
  <c r="E57" i="7"/>
  <c r="F57" i="7"/>
  <c r="E56" i="7"/>
  <c r="F56" i="7"/>
  <c r="F55" i="7"/>
  <c r="E55" i="7"/>
  <c r="E54" i="7"/>
  <c r="F54" i="7"/>
  <c r="E53" i="7"/>
  <c r="F53" i="7"/>
  <c r="F50" i="7"/>
  <c r="E50" i="7"/>
  <c r="F47" i="7"/>
  <c r="E47" i="7"/>
  <c r="F44" i="7"/>
  <c r="E44" i="7"/>
  <c r="D41" i="7"/>
  <c r="E41" i="7"/>
  <c r="F41" i="7"/>
  <c r="C41" i="7"/>
  <c r="F40" i="7"/>
  <c r="E40" i="7"/>
  <c r="E39" i="7"/>
  <c r="F39" i="7"/>
  <c r="E38" i="7"/>
  <c r="F38" i="7"/>
  <c r="D35" i="7"/>
  <c r="E35" i="7"/>
  <c r="F35" i="7"/>
  <c r="C35" i="7"/>
  <c r="E34" i="7"/>
  <c r="F34" i="7"/>
  <c r="E33" i="7"/>
  <c r="F33" i="7"/>
  <c r="D30" i="7"/>
  <c r="E30" i="7"/>
  <c r="F30" i="7"/>
  <c r="C30" i="7"/>
  <c r="E29" i="7"/>
  <c r="F29" i="7"/>
  <c r="E28" i="7"/>
  <c r="F28" i="7"/>
  <c r="E27" i="7"/>
  <c r="F27" i="7"/>
  <c r="D24" i="7"/>
  <c r="C24" i="7"/>
  <c r="E23" i="7"/>
  <c r="F23" i="7"/>
  <c r="E22" i="7"/>
  <c r="F22" i="7"/>
  <c r="F21" i="7"/>
  <c r="E21" i="7"/>
  <c r="D18" i="7"/>
  <c r="C18" i="7"/>
  <c r="E17" i="7"/>
  <c r="F17" i="7"/>
  <c r="F16" i="7"/>
  <c r="E16" i="7"/>
  <c r="E15" i="7"/>
  <c r="F15" i="7"/>
  <c r="D179" i="6"/>
  <c r="C179" i="6"/>
  <c r="F178" i="6"/>
  <c r="E178" i="6"/>
  <c r="F177" i="6"/>
  <c r="E177" i="6"/>
  <c r="E176" i="6"/>
  <c r="F176" i="6"/>
  <c r="E175" i="6"/>
  <c r="F175" i="6"/>
  <c r="F174" i="6"/>
  <c r="E174" i="6"/>
  <c r="E173" i="6"/>
  <c r="F173" i="6"/>
  <c r="E172" i="6"/>
  <c r="F172" i="6"/>
  <c r="F171" i="6"/>
  <c r="E171" i="6"/>
  <c r="F170" i="6"/>
  <c r="E170" i="6"/>
  <c r="E169" i="6"/>
  <c r="F169" i="6"/>
  <c r="E168" i="6"/>
  <c r="F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E161" i="6"/>
  <c r="F161" i="6"/>
  <c r="E160" i="6"/>
  <c r="F160" i="6"/>
  <c r="E159" i="6"/>
  <c r="F159" i="6"/>
  <c r="F158" i="6"/>
  <c r="E158" i="6"/>
  <c r="E157" i="6"/>
  <c r="F157" i="6"/>
  <c r="E156" i="6"/>
  <c r="F156" i="6"/>
  <c r="E155" i="6"/>
  <c r="F155" i="6"/>
  <c r="D153" i="6"/>
  <c r="C153" i="6"/>
  <c r="F152" i="6"/>
  <c r="E152" i="6"/>
  <c r="F151" i="6"/>
  <c r="E151" i="6"/>
  <c r="F150" i="6"/>
  <c r="E150" i="6"/>
  <c r="E149" i="6"/>
  <c r="F149" i="6"/>
  <c r="E148" i="6"/>
  <c r="F148" i="6"/>
  <c r="F147" i="6"/>
  <c r="E147" i="6"/>
  <c r="F146" i="6"/>
  <c r="E146" i="6"/>
  <c r="F145" i="6"/>
  <c r="E145" i="6"/>
  <c r="E144" i="6"/>
  <c r="F144" i="6"/>
  <c r="E143" i="6"/>
  <c r="F143" i="6"/>
  <c r="F142" i="6"/>
  <c r="E142" i="6"/>
  <c r="D137" i="6"/>
  <c r="C137" i="6"/>
  <c r="F136" i="6"/>
  <c r="E136" i="6"/>
  <c r="F135" i="6"/>
  <c r="E135" i="6"/>
  <c r="E134" i="6"/>
  <c r="F134" i="6"/>
  <c r="E133" i="6"/>
  <c r="F133" i="6"/>
  <c r="E132" i="6"/>
  <c r="F132" i="6"/>
  <c r="F131" i="6"/>
  <c r="E131" i="6"/>
  <c r="E130" i="6"/>
  <c r="F130" i="6"/>
  <c r="F129" i="6"/>
  <c r="E129" i="6"/>
  <c r="F128" i="6"/>
  <c r="E128" i="6"/>
  <c r="F127" i="6"/>
  <c r="E127" i="6"/>
  <c r="E126" i="6"/>
  <c r="F126" i="6"/>
  <c r="D124" i="6"/>
  <c r="C124" i="6"/>
  <c r="E124" i="6"/>
  <c r="F123" i="6"/>
  <c r="E123" i="6"/>
  <c r="F122" i="6"/>
  <c r="E122" i="6"/>
  <c r="E121" i="6"/>
  <c r="F121" i="6"/>
  <c r="E120" i="6"/>
  <c r="F120" i="6"/>
  <c r="F119" i="6"/>
  <c r="E119" i="6"/>
  <c r="E118" i="6"/>
  <c r="F118" i="6"/>
  <c r="E117" i="6"/>
  <c r="F117" i="6"/>
  <c r="F116" i="6"/>
  <c r="E116" i="6"/>
  <c r="F115" i="6"/>
  <c r="E115" i="6"/>
  <c r="E114" i="6"/>
  <c r="F114" i="6"/>
  <c r="E113" i="6"/>
  <c r="F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E106" i="6"/>
  <c r="F106" i="6"/>
  <c r="E105" i="6"/>
  <c r="F105" i="6"/>
  <c r="F104" i="6"/>
  <c r="E104" i="6"/>
  <c r="F103" i="6"/>
  <c r="E103" i="6"/>
  <c r="E102" i="6"/>
  <c r="F102" i="6"/>
  <c r="E101" i="6"/>
  <c r="F101" i="6"/>
  <c r="E100" i="6"/>
  <c r="F100" i="6"/>
  <c r="D94" i="6"/>
  <c r="C94" i="6"/>
  <c r="D93" i="6"/>
  <c r="E93" i="6"/>
  <c r="C93" i="6"/>
  <c r="F93" i="6"/>
  <c r="D92" i="6"/>
  <c r="C92" i="6"/>
  <c r="D91" i="6"/>
  <c r="F91" i="6"/>
  <c r="C91" i="6"/>
  <c r="E91" i="6"/>
  <c r="D90" i="6"/>
  <c r="C90" i="6"/>
  <c r="D89" i="6"/>
  <c r="E89" i="6"/>
  <c r="F89" i="6"/>
  <c r="C89" i="6"/>
  <c r="D88" i="6"/>
  <c r="E88" i="6"/>
  <c r="C88" i="6"/>
  <c r="D87" i="6"/>
  <c r="E87" i="6"/>
  <c r="C87" i="6"/>
  <c r="F87" i="6"/>
  <c r="D86" i="6"/>
  <c r="C86" i="6"/>
  <c r="D85" i="6"/>
  <c r="E85" i="6"/>
  <c r="C85" i="6"/>
  <c r="D84" i="6"/>
  <c r="C84" i="6"/>
  <c r="D81" i="6"/>
  <c r="C81" i="6"/>
  <c r="E81" i="6"/>
  <c r="F80" i="6"/>
  <c r="E80" i="6"/>
  <c r="F79" i="6"/>
  <c r="E79" i="6"/>
  <c r="E78" i="6"/>
  <c r="F78" i="6"/>
  <c r="E77" i="6"/>
  <c r="F77" i="6"/>
  <c r="F76" i="6"/>
  <c r="E76" i="6"/>
  <c r="E75" i="6"/>
  <c r="F75" i="6"/>
  <c r="E74" i="6"/>
  <c r="F74" i="6"/>
  <c r="F73" i="6"/>
  <c r="E73" i="6"/>
  <c r="F72" i="6"/>
  <c r="E72" i="6"/>
  <c r="E71" i="6"/>
  <c r="F71" i="6"/>
  <c r="E70" i="6"/>
  <c r="F70" i="6"/>
  <c r="D68" i="6"/>
  <c r="E68" i="6"/>
  <c r="F68" i="6"/>
  <c r="C68" i="6"/>
  <c r="F67" i="6"/>
  <c r="E67" i="6"/>
  <c r="F66" i="6"/>
  <c r="E66" i="6"/>
  <c r="F65" i="6"/>
  <c r="E65" i="6"/>
  <c r="F64" i="6"/>
  <c r="E64" i="6"/>
  <c r="E63" i="6"/>
  <c r="F63" i="6"/>
  <c r="E62" i="6"/>
  <c r="F62" i="6"/>
  <c r="E61" i="6"/>
  <c r="F61" i="6"/>
  <c r="F60" i="6"/>
  <c r="E60" i="6"/>
  <c r="E59" i="6"/>
  <c r="F59" i="6"/>
  <c r="E58" i="6"/>
  <c r="F58" i="6"/>
  <c r="E57" i="6"/>
  <c r="F57" i="6"/>
  <c r="F51" i="6"/>
  <c r="D51" i="6"/>
  <c r="C51" i="6"/>
  <c r="E51" i="6"/>
  <c r="D50" i="6"/>
  <c r="C50" i="6"/>
  <c r="F50" i="6"/>
  <c r="D49" i="6"/>
  <c r="C49" i="6"/>
  <c r="D48" i="6"/>
  <c r="E48" i="6"/>
  <c r="F48" i="6"/>
  <c r="C48" i="6"/>
  <c r="D47" i="6"/>
  <c r="C47" i="6"/>
  <c r="D46" i="6"/>
  <c r="C46" i="6"/>
  <c r="E46" i="6"/>
  <c r="D45" i="6"/>
  <c r="E45" i="6"/>
  <c r="C45" i="6"/>
  <c r="D44" i="6"/>
  <c r="E44" i="6"/>
  <c r="C44" i="6"/>
  <c r="F44" i="6"/>
  <c r="D43" i="6"/>
  <c r="C43" i="6"/>
  <c r="D42" i="6"/>
  <c r="E42" i="6"/>
  <c r="C42" i="6"/>
  <c r="F42" i="6"/>
  <c r="D41" i="6"/>
  <c r="C41" i="6"/>
  <c r="D38" i="6"/>
  <c r="E38" i="6"/>
  <c r="C38" i="6"/>
  <c r="F37" i="6"/>
  <c r="E37" i="6"/>
  <c r="F36" i="6"/>
  <c r="E36" i="6"/>
  <c r="F35" i="6"/>
  <c r="E35" i="6"/>
  <c r="E34" i="6"/>
  <c r="F34" i="6"/>
  <c r="E33" i="6"/>
  <c r="F33" i="6"/>
  <c r="F32" i="6"/>
  <c r="E32" i="6"/>
  <c r="E31" i="6"/>
  <c r="F31" i="6"/>
  <c r="F30" i="6"/>
  <c r="E30" i="6"/>
  <c r="E29" i="6"/>
  <c r="F29" i="6"/>
  <c r="F28" i="6"/>
  <c r="E28" i="6"/>
  <c r="F27" i="6"/>
  <c r="E27" i="6"/>
  <c r="D25" i="6"/>
  <c r="E25" i="6"/>
  <c r="C25" i="6"/>
  <c r="F24" i="6"/>
  <c r="E24" i="6"/>
  <c r="F23" i="6"/>
  <c r="E23" i="6"/>
  <c r="E22" i="6"/>
  <c r="F22" i="6"/>
  <c r="E21" i="6"/>
  <c r="F21" i="6"/>
  <c r="F20" i="6"/>
  <c r="E20" i="6"/>
  <c r="E19" i="6"/>
  <c r="F19" i="6"/>
  <c r="F18" i="6"/>
  <c r="E18" i="6"/>
  <c r="F17" i="6"/>
  <c r="E17" i="6"/>
  <c r="F16" i="6"/>
  <c r="E16" i="6"/>
  <c r="E15" i="6"/>
  <c r="F15" i="6"/>
  <c r="F14" i="6"/>
  <c r="E14" i="6"/>
  <c r="E51" i="5"/>
  <c r="F51" i="5"/>
  <c r="F48" i="5"/>
  <c r="D48" i="5"/>
  <c r="E48" i="5"/>
  <c r="C48" i="5"/>
  <c r="F47" i="5"/>
  <c r="E47" i="5"/>
  <c r="F46" i="5"/>
  <c r="E46" i="5"/>
  <c r="D41" i="5"/>
  <c r="C41" i="5"/>
  <c r="E40" i="5"/>
  <c r="F40" i="5"/>
  <c r="F39" i="5"/>
  <c r="E39" i="5"/>
  <c r="F38" i="5"/>
  <c r="E38" i="5"/>
  <c r="D33" i="5"/>
  <c r="E33" i="5"/>
  <c r="C33" i="5"/>
  <c r="F33" i="5"/>
  <c r="E32" i="5"/>
  <c r="F32" i="5"/>
  <c r="F31" i="5"/>
  <c r="E31" i="5"/>
  <c r="F30" i="5"/>
  <c r="E30" i="5"/>
  <c r="F29" i="5"/>
  <c r="E29" i="5"/>
  <c r="E28" i="5"/>
  <c r="F28" i="5"/>
  <c r="F27" i="5"/>
  <c r="E27" i="5"/>
  <c r="E26" i="5"/>
  <c r="F26" i="5"/>
  <c r="E25" i="5"/>
  <c r="F25" i="5"/>
  <c r="E24" i="5"/>
  <c r="F24" i="5"/>
  <c r="F20" i="5"/>
  <c r="E20" i="5"/>
  <c r="E19" i="5"/>
  <c r="F19" i="5"/>
  <c r="E17" i="5"/>
  <c r="F17" i="5"/>
  <c r="D16" i="5"/>
  <c r="D18" i="5"/>
  <c r="C16" i="5"/>
  <c r="C18" i="5"/>
  <c r="F15" i="5"/>
  <c r="E15" i="5"/>
  <c r="E14" i="5"/>
  <c r="F14" i="5"/>
  <c r="E13" i="5"/>
  <c r="F13" i="5"/>
  <c r="F12" i="5"/>
  <c r="E12" i="5"/>
  <c r="D73" i="4"/>
  <c r="C73" i="4"/>
  <c r="E72" i="4"/>
  <c r="F72" i="4"/>
  <c r="F71" i="4"/>
  <c r="E71" i="4"/>
  <c r="E70" i="4"/>
  <c r="F70" i="4"/>
  <c r="F67" i="4"/>
  <c r="E67" i="4"/>
  <c r="F64" i="4"/>
  <c r="E64" i="4"/>
  <c r="F63" i="4"/>
  <c r="E63" i="4"/>
  <c r="D61" i="4"/>
  <c r="E61" i="4"/>
  <c r="F61" i="4"/>
  <c r="C61" i="4"/>
  <c r="C65" i="4"/>
  <c r="F60" i="4"/>
  <c r="E60" i="4"/>
  <c r="E59" i="4"/>
  <c r="F59" i="4"/>
  <c r="D56" i="4"/>
  <c r="C56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E40" i="4"/>
  <c r="F40" i="4"/>
  <c r="D38" i="4"/>
  <c r="E38" i="4"/>
  <c r="F38" i="4"/>
  <c r="C38" i="4"/>
  <c r="C41" i="4"/>
  <c r="F37" i="4"/>
  <c r="E37" i="4"/>
  <c r="F36" i="4"/>
  <c r="E36" i="4"/>
  <c r="E33" i="4"/>
  <c r="F33" i="4"/>
  <c r="E32" i="4"/>
  <c r="F32" i="4"/>
  <c r="F31" i="4"/>
  <c r="E31" i="4"/>
  <c r="D29" i="4"/>
  <c r="C29" i="4"/>
  <c r="E28" i="4"/>
  <c r="F28" i="4"/>
  <c r="F27" i="4"/>
  <c r="E27" i="4"/>
  <c r="F26" i="4"/>
  <c r="E26" i="4"/>
  <c r="E25" i="4"/>
  <c r="F25" i="4"/>
  <c r="D22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E109" i="22"/>
  <c r="E108" i="22"/>
  <c r="D22" i="22"/>
  <c r="C23" i="22"/>
  <c r="C34" i="22"/>
  <c r="C102" i="22"/>
  <c r="C103" i="22"/>
  <c r="E102" i="22"/>
  <c r="E103" i="22"/>
  <c r="C22" i="22"/>
  <c r="D30" i="22"/>
  <c r="D38" i="22"/>
  <c r="D36" i="22"/>
  <c r="D40" i="22"/>
  <c r="D46" i="22"/>
  <c r="E19" i="20"/>
  <c r="F19" i="20"/>
  <c r="C20" i="20"/>
  <c r="E25" i="20"/>
  <c r="F25" i="20"/>
  <c r="E36" i="20"/>
  <c r="F36" i="20"/>
  <c r="C39" i="20"/>
  <c r="C40" i="20"/>
  <c r="E43" i="20"/>
  <c r="E44" i="20"/>
  <c r="E46" i="20"/>
  <c r="F44" i="20"/>
  <c r="E45" i="20"/>
  <c r="E23" i="17"/>
  <c r="E29" i="17"/>
  <c r="F29" i="17"/>
  <c r="E36" i="17"/>
  <c r="F36" i="17"/>
  <c r="E44" i="17"/>
  <c r="D192" i="17"/>
  <c r="E294" i="17"/>
  <c r="F295" i="17"/>
  <c r="E297" i="17"/>
  <c r="F297" i="17"/>
  <c r="E298" i="17"/>
  <c r="E299" i="17"/>
  <c r="C22" i="19"/>
  <c r="E17" i="17"/>
  <c r="E53" i="17"/>
  <c r="F53" i="17"/>
  <c r="E58" i="17"/>
  <c r="F58" i="17"/>
  <c r="E67" i="17"/>
  <c r="E21" i="18"/>
  <c r="D22" i="18"/>
  <c r="C33" i="18"/>
  <c r="E37" i="18"/>
  <c r="D55" i="18"/>
  <c r="E55" i="18"/>
  <c r="E54" i="18"/>
  <c r="D289" i="18"/>
  <c r="D71" i="18"/>
  <c r="D65" i="18"/>
  <c r="D66" i="18"/>
  <c r="E60" i="18"/>
  <c r="E139" i="18"/>
  <c r="D144" i="18"/>
  <c r="D180" i="18"/>
  <c r="C145" i="18"/>
  <c r="C156" i="18"/>
  <c r="C157" i="18"/>
  <c r="C169" i="18"/>
  <c r="E156" i="18"/>
  <c r="C163" i="18"/>
  <c r="E163" i="18"/>
  <c r="C229" i="18"/>
  <c r="C210" i="18"/>
  <c r="C180" i="18"/>
  <c r="E205" i="18"/>
  <c r="E243" i="18"/>
  <c r="E244" i="18"/>
  <c r="D253" i="18"/>
  <c r="C303" i="18"/>
  <c r="C306" i="18"/>
  <c r="C310" i="18"/>
  <c r="C261" i="18"/>
  <c r="C189" i="18"/>
  <c r="D260" i="18"/>
  <c r="E195" i="18"/>
  <c r="D234" i="18"/>
  <c r="E210" i="18"/>
  <c r="D211" i="18"/>
  <c r="E215" i="18"/>
  <c r="E219" i="18"/>
  <c r="D222" i="18"/>
  <c r="D223" i="18"/>
  <c r="E223" i="18"/>
  <c r="C252" i="18"/>
  <c r="E252" i="18"/>
  <c r="E265" i="18"/>
  <c r="D303" i="18"/>
  <c r="D326" i="18"/>
  <c r="E326" i="18"/>
  <c r="E220" i="18"/>
  <c r="C222" i="18"/>
  <c r="E251" i="18"/>
  <c r="C61" i="17"/>
  <c r="C104" i="17"/>
  <c r="C103" i="17"/>
  <c r="C207" i="17"/>
  <c r="C138" i="17"/>
  <c r="E60" i="17"/>
  <c r="F17" i="17"/>
  <c r="D21" i="17"/>
  <c r="F44" i="17"/>
  <c r="F67" i="17"/>
  <c r="E88" i="17"/>
  <c r="F88" i="17"/>
  <c r="E109" i="17"/>
  <c r="F109" i="17"/>
  <c r="C193" i="17"/>
  <c r="C192" i="17"/>
  <c r="E192" i="17"/>
  <c r="F192" i="17"/>
  <c r="E123" i="17"/>
  <c r="F123" i="17"/>
  <c r="C124" i="17"/>
  <c r="C125" i="17"/>
  <c r="F172" i="17"/>
  <c r="E227" i="17"/>
  <c r="C266" i="17"/>
  <c r="E20" i="17"/>
  <c r="F20" i="17"/>
  <c r="C21" i="17"/>
  <c r="E30" i="17"/>
  <c r="F30" i="17"/>
  <c r="E35" i="17"/>
  <c r="F35" i="17"/>
  <c r="C37" i="17"/>
  <c r="F37" i="17"/>
  <c r="E37" i="17"/>
  <c r="E59" i="17"/>
  <c r="F59" i="17"/>
  <c r="E66" i="17"/>
  <c r="F66" i="17"/>
  <c r="E76" i="17"/>
  <c r="F76" i="17"/>
  <c r="D124" i="17"/>
  <c r="D126" i="17"/>
  <c r="E124" i="17"/>
  <c r="F124" i="17"/>
  <c r="D146" i="17"/>
  <c r="D159" i="17"/>
  <c r="D172" i="17"/>
  <c r="D181" i="17"/>
  <c r="C287" i="17"/>
  <c r="C289" i="17"/>
  <c r="C284" i="17"/>
  <c r="C279" i="17"/>
  <c r="E188" i="17"/>
  <c r="F188" i="17"/>
  <c r="C288" i="17"/>
  <c r="C190" i="17"/>
  <c r="E191" i="17"/>
  <c r="F191" i="17"/>
  <c r="C290" i="17"/>
  <c r="C286" i="17"/>
  <c r="C205" i="17"/>
  <c r="C206" i="17"/>
  <c r="E206" i="17"/>
  <c r="C214" i="17"/>
  <c r="C215" i="17"/>
  <c r="F215" i="17"/>
  <c r="E226" i="17"/>
  <c r="F250" i="17"/>
  <c r="C254" i="17"/>
  <c r="C255" i="17"/>
  <c r="C261" i="17"/>
  <c r="C264" i="17"/>
  <c r="C267" i="17"/>
  <c r="C269" i="17"/>
  <c r="E277" i="17"/>
  <c r="F277" i="17"/>
  <c r="D190" i="17"/>
  <c r="E190" i="17"/>
  <c r="E280" i="17"/>
  <c r="F280" i="17"/>
  <c r="D193" i="17"/>
  <c r="D194" i="17"/>
  <c r="D290" i="17"/>
  <c r="D274" i="17"/>
  <c r="D199" i="17"/>
  <c r="D200" i="17"/>
  <c r="D283" i="17"/>
  <c r="D286" i="17"/>
  <c r="E286" i="17"/>
  <c r="D267" i="17"/>
  <c r="D285" i="17"/>
  <c r="D288" i="17"/>
  <c r="E288" i="17"/>
  <c r="D269" i="17"/>
  <c r="D270" i="17"/>
  <c r="E269" i="17"/>
  <c r="F269" i="17"/>
  <c r="D205" i="17"/>
  <c r="E205" i="17"/>
  <c r="D206" i="17"/>
  <c r="D214" i="17"/>
  <c r="D215" i="17"/>
  <c r="D255" i="17"/>
  <c r="E255" i="17"/>
  <c r="D261" i="17"/>
  <c r="D268" i="17"/>
  <c r="E268" i="17"/>
  <c r="D262" i="17"/>
  <c r="D264" i="17"/>
  <c r="E264" i="17"/>
  <c r="F294" i="17"/>
  <c r="F298" i="17"/>
  <c r="F36" i="14"/>
  <c r="F38" i="14"/>
  <c r="F40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D21" i="13"/>
  <c r="D15" i="13"/>
  <c r="D24" i="13"/>
  <c r="D20" i="13"/>
  <c r="C17" i="13"/>
  <c r="C28" i="13"/>
  <c r="C70" i="13"/>
  <c r="C72" i="13"/>
  <c r="C69" i="13"/>
  <c r="D48" i="13"/>
  <c r="D42" i="13"/>
  <c r="D20" i="12"/>
  <c r="D34" i="12"/>
  <c r="E34" i="12"/>
  <c r="E17" i="12"/>
  <c r="F17" i="12"/>
  <c r="C20" i="12"/>
  <c r="C34" i="12"/>
  <c r="F34" i="12"/>
  <c r="E15" i="12"/>
  <c r="F15" i="12"/>
  <c r="E22" i="11"/>
  <c r="F22" i="11"/>
  <c r="E29" i="11"/>
  <c r="E38" i="11"/>
  <c r="F38" i="11"/>
  <c r="C41" i="11"/>
  <c r="E56" i="11"/>
  <c r="F56" i="11"/>
  <c r="C65" i="11"/>
  <c r="C75" i="11"/>
  <c r="E73" i="11"/>
  <c r="F73" i="11"/>
  <c r="E121" i="10"/>
  <c r="E112" i="10"/>
  <c r="E113" i="10"/>
  <c r="E198" i="9"/>
  <c r="F198" i="9"/>
  <c r="E199" i="9"/>
  <c r="F199" i="9"/>
  <c r="E157" i="8"/>
  <c r="E155" i="8"/>
  <c r="E153" i="8"/>
  <c r="E156" i="8"/>
  <c r="E154" i="8"/>
  <c r="E152" i="8"/>
  <c r="D155" i="8"/>
  <c r="D153" i="8"/>
  <c r="E20" i="8"/>
  <c r="E21" i="8"/>
  <c r="C157" i="8"/>
  <c r="C155" i="8"/>
  <c r="C153" i="8"/>
  <c r="C156" i="8"/>
  <c r="D15" i="8"/>
  <c r="D24" i="8"/>
  <c r="D20" i="8"/>
  <c r="C17" i="8"/>
  <c r="E17" i="8"/>
  <c r="E28" i="8"/>
  <c r="C43" i="8"/>
  <c r="E43" i="8"/>
  <c r="C53" i="8"/>
  <c r="E53" i="8"/>
  <c r="D77" i="8"/>
  <c r="D71" i="8"/>
  <c r="C49" i="8"/>
  <c r="E49" i="8"/>
  <c r="E90" i="7"/>
  <c r="F90" i="7"/>
  <c r="E183" i="7"/>
  <c r="F183" i="7"/>
  <c r="C188" i="7"/>
  <c r="D21" i="5"/>
  <c r="E18" i="5"/>
  <c r="F18" i="5"/>
  <c r="C21" i="5"/>
  <c r="C35" i="5"/>
  <c r="E16" i="5"/>
  <c r="F16" i="5"/>
  <c r="D41" i="4"/>
  <c r="E41" i="4"/>
  <c r="F41" i="4"/>
  <c r="D65" i="4"/>
  <c r="E65" i="4"/>
  <c r="F65" i="4"/>
  <c r="C111" i="22"/>
  <c r="C54" i="22"/>
  <c r="C46" i="22"/>
  <c r="C40" i="22"/>
  <c r="C36" i="22"/>
  <c r="C30" i="22"/>
  <c r="D56" i="22"/>
  <c r="D48" i="22"/>
  <c r="C39" i="22"/>
  <c r="C29" i="22"/>
  <c r="C55" i="22"/>
  <c r="C110" i="22"/>
  <c r="D53" i="22"/>
  <c r="D45" i="22"/>
  <c r="D39" i="22"/>
  <c r="D35" i="22"/>
  <c r="D29" i="22"/>
  <c r="C41" i="20"/>
  <c r="E20" i="20"/>
  <c r="F43" i="20"/>
  <c r="C223" i="18"/>
  <c r="E180" i="18"/>
  <c r="D145" i="18"/>
  <c r="E144" i="18"/>
  <c r="D168" i="18"/>
  <c r="E168" i="18"/>
  <c r="C168" i="18"/>
  <c r="D284" i="18"/>
  <c r="E284" i="18"/>
  <c r="E22" i="18"/>
  <c r="D330" i="18"/>
  <c r="E330" i="18"/>
  <c r="E303" i="18"/>
  <c r="D306" i="18"/>
  <c r="D310" i="18"/>
  <c r="E222" i="18"/>
  <c r="D246" i="18"/>
  <c r="E234" i="18"/>
  <c r="C211" i="18"/>
  <c r="C181" i="18"/>
  <c r="C234" i="18"/>
  <c r="D300" i="17"/>
  <c r="E215" i="17"/>
  <c r="E267" i="17"/>
  <c r="F267" i="17"/>
  <c r="F264" i="17"/>
  <c r="C265" i="17"/>
  <c r="C268" i="17"/>
  <c r="F206" i="17"/>
  <c r="C291" i="17"/>
  <c r="C305" i="17"/>
  <c r="E172" i="17"/>
  <c r="D173" i="17"/>
  <c r="E173" i="17"/>
  <c r="D254" i="17"/>
  <c r="D216" i="17"/>
  <c r="E214" i="17"/>
  <c r="F214" i="17"/>
  <c r="C270" i="17"/>
  <c r="F205" i="17"/>
  <c r="C304" i="17"/>
  <c r="C49" i="17"/>
  <c r="C126" i="17"/>
  <c r="C91" i="17"/>
  <c r="D161" i="17"/>
  <c r="D91" i="17"/>
  <c r="E21" i="17"/>
  <c r="F21" i="17"/>
  <c r="D282" i="17"/>
  <c r="C208" i="17"/>
  <c r="H33" i="14"/>
  <c r="H36" i="14"/>
  <c r="H38" i="14"/>
  <c r="H40" i="14"/>
  <c r="E65" i="11"/>
  <c r="F65" i="11"/>
  <c r="E41" i="11"/>
  <c r="F41" i="11"/>
  <c r="D17" i="8"/>
  <c r="C112" i="8"/>
  <c r="C111" i="8"/>
  <c r="C28" i="8"/>
  <c r="E112" i="8"/>
  <c r="E111" i="8"/>
  <c r="D35" i="5"/>
  <c r="D43" i="5"/>
  <c r="E21" i="5"/>
  <c r="F21" i="5"/>
  <c r="D55" i="22"/>
  <c r="D47" i="22"/>
  <c r="D37" i="22"/>
  <c r="C113" i="22"/>
  <c r="C56" i="22"/>
  <c r="C48" i="22"/>
  <c r="C38" i="22"/>
  <c r="C47" i="22"/>
  <c r="C37" i="22"/>
  <c r="C112" i="22"/>
  <c r="E306" i="18"/>
  <c r="E310" i="18"/>
  <c r="E145" i="18"/>
  <c r="D162" i="17"/>
  <c r="C92" i="17"/>
  <c r="C50" i="17"/>
  <c r="E270" i="17"/>
  <c r="D127" i="17"/>
  <c r="E127" i="17"/>
  <c r="E126" i="17"/>
  <c r="F126" i="17"/>
  <c r="C127" i="17"/>
  <c r="F127" i="17"/>
  <c r="D42" i="12"/>
  <c r="D49" i="12"/>
  <c r="E43" i="11"/>
  <c r="C99" i="8"/>
  <c r="C101" i="8"/>
  <c r="C98" i="8"/>
  <c r="C22" i="8"/>
  <c r="D63" i="17"/>
  <c r="C309" i="17"/>
  <c r="E99" i="8"/>
  <c r="E101" i="8"/>
  <c r="E98" i="8"/>
  <c r="E22" i="8"/>
  <c r="D295" i="18"/>
  <c r="E41" i="20"/>
  <c r="F39" i="20"/>
  <c r="F43" i="4"/>
  <c r="F41" i="5"/>
  <c r="D196" i="17"/>
  <c r="E194" i="17"/>
  <c r="F40" i="12"/>
  <c r="F35" i="5"/>
  <c r="C43" i="5"/>
  <c r="E291" i="17"/>
  <c r="F291" i="17"/>
  <c r="D305" i="17"/>
  <c r="F38" i="6"/>
  <c r="D272" i="17"/>
  <c r="E262" i="17"/>
  <c r="E59" i="13"/>
  <c r="E61" i="13"/>
  <c r="E57" i="13"/>
  <c r="E48" i="13"/>
  <c r="E42" i="13"/>
  <c r="E296" i="17"/>
  <c r="F296" i="17"/>
  <c r="E290" i="17"/>
  <c r="F290" i="17"/>
  <c r="E75" i="11"/>
  <c r="F75" i="11"/>
  <c r="D175" i="17"/>
  <c r="F270" i="17"/>
  <c r="E261" i="17"/>
  <c r="C216" i="17"/>
  <c r="F190" i="17"/>
  <c r="F22" i="4"/>
  <c r="E41" i="5"/>
  <c r="E179" i="6"/>
  <c r="F179" i="6"/>
  <c r="D48" i="17"/>
  <c r="D266" i="17"/>
  <c r="E146" i="17"/>
  <c r="F146" i="17"/>
  <c r="F227" i="17"/>
  <c r="C253" i="18"/>
  <c r="E233" i="18"/>
  <c r="D28" i="8"/>
  <c r="D99" i="8"/>
  <c r="D101" i="8"/>
  <c r="D98" i="8"/>
  <c r="D112" i="8"/>
  <c r="D111" i="8"/>
  <c r="D263" i="17"/>
  <c r="E65" i="18"/>
  <c r="D169" i="18"/>
  <c r="E169" i="18"/>
  <c r="D181" i="18"/>
  <c r="E181" i="18"/>
  <c r="D49" i="8"/>
  <c r="F288" i="17"/>
  <c r="E22" i="4"/>
  <c r="F29" i="4"/>
  <c r="F121" i="7"/>
  <c r="C20" i="8"/>
  <c r="C21" i="8"/>
  <c r="F23" i="17"/>
  <c r="C32" i="17"/>
  <c r="C159" i="17"/>
  <c r="F158" i="17"/>
  <c r="E158" i="17"/>
  <c r="C242" i="18"/>
  <c r="C217" i="18"/>
  <c r="C241" i="18"/>
  <c r="E218" i="18"/>
  <c r="C245" i="18"/>
  <c r="E245" i="18"/>
  <c r="E221" i="18"/>
  <c r="F268" i="17"/>
  <c r="C174" i="17"/>
  <c r="C139" i="17"/>
  <c r="C209" i="17"/>
  <c r="D281" i="17"/>
  <c r="E73" i="4"/>
  <c r="F73" i="4"/>
  <c r="E287" i="17"/>
  <c r="F287" i="17"/>
  <c r="D289" i="17"/>
  <c r="E289" i="17"/>
  <c r="F289" i="17"/>
  <c r="E36" i="18"/>
  <c r="D174" i="17"/>
  <c r="F81" i="6"/>
  <c r="E35" i="5"/>
  <c r="F261" i="17"/>
  <c r="C271" i="17"/>
  <c r="E29" i="4"/>
  <c r="D43" i="4"/>
  <c r="E43" i="4"/>
  <c r="F90" i="6"/>
  <c r="D53" i="8"/>
  <c r="D43" i="8"/>
  <c r="C90" i="17"/>
  <c r="C42" i="12"/>
  <c r="D17" i="13"/>
  <c r="D28" i="13"/>
  <c r="E193" i="17"/>
  <c r="D271" i="17"/>
  <c r="E158" i="8"/>
  <c r="G36" i="14"/>
  <c r="G38" i="14"/>
  <c r="G40" i="14"/>
  <c r="I33" i="14"/>
  <c r="I36" i="14"/>
  <c r="I38" i="14"/>
  <c r="I40" i="14"/>
  <c r="F255" i="17"/>
  <c r="F286" i="17"/>
  <c r="C282" i="17"/>
  <c r="F193" i="17"/>
  <c r="C194" i="17"/>
  <c r="E211" i="18"/>
  <c r="D235" i="18"/>
  <c r="C53" i="22"/>
  <c r="C45" i="22"/>
  <c r="C35" i="22"/>
  <c r="F43" i="6"/>
  <c r="F46" i="6"/>
  <c r="C95" i="6"/>
  <c r="E90" i="6"/>
  <c r="C154" i="8"/>
  <c r="C152" i="8"/>
  <c r="C158" i="8"/>
  <c r="D156" i="8"/>
  <c r="D152" i="8"/>
  <c r="D154" i="8"/>
  <c r="D157" i="8"/>
  <c r="D43" i="18"/>
  <c r="E38" i="18"/>
  <c r="C71" i="18"/>
  <c r="C65" i="18"/>
  <c r="C289" i="18"/>
  <c r="E289" i="18"/>
  <c r="C199" i="17"/>
  <c r="C200" i="17"/>
  <c r="E84" i="10"/>
  <c r="F84" i="10"/>
  <c r="C42" i="13"/>
  <c r="E164" i="17"/>
  <c r="C239" i="17"/>
  <c r="E237" i="17"/>
  <c r="F237" i="17"/>
  <c r="E307" i="17"/>
  <c r="F307" i="17"/>
  <c r="D50" i="5"/>
  <c r="E43" i="5"/>
  <c r="E61" i="17"/>
  <c r="F61" i="17"/>
  <c r="E181" i="17"/>
  <c r="D247" i="18"/>
  <c r="D137" i="17"/>
  <c r="E136" i="17"/>
  <c r="F136" i="17"/>
  <c r="E170" i="17"/>
  <c r="D41" i="20"/>
  <c r="D92" i="17"/>
  <c r="E91" i="17"/>
  <c r="F91" i="17"/>
  <c r="D284" i="17"/>
  <c r="E284" i="17"/>
  <c r="F284" i="17"/>
  <c r="D95" i="6"/>
  <c r="E95" i="6"/>
  <c r="E84" i="6"/>
  <c r="F84" i="6"/>
  <c r="D22" i="8"/>
  <c r="D21" i="8"/>
  <c r="E42" i="12"/>
  <c r="E283" i="17"/>
  <c r="F283" i="17"/>
  <c r="C235" i="18"/>
  <c r="F41" i="20"/>
  <c r="F29" i="11"/>
  <c r="D279" i="17"/>
  <c r="E279" i="17"/>
  <c r="E254" i="17"/>
  <c r="F254" i="17"/>
  <c r="C274" i="17"/>
  <c r="F279" i="17"/>
  <c r="E47" i="17"/>
  <c r="F47" i="17"/>
  <c r="E157" i="18"/>
  <c r="F20" i="20"/>
  <c r="E56" i="4"/>
  <c r="F56" i="4"/>
  <c r="D75" i="4"/>
  <c r="E75" i="4"/>
  <c r="F25" i="6"/>
  <c r="E43" i="6"/>
  <c r="F49" i="6"/>
  <c r="F85" i="6"/>
  <c r="F88" i="6"/>
  <c r="E94" i="6"/>
  <c r="F94" i="6"/>
  <c r="E153" i="6"/>
  <c r="F153" i="6"/>
  <c r="E16" i="15"/>
  <c r="F16" i="15"/>
  <c r="E70" i="18"/>
  <c r="D76" i="18"/>
  <c r="F137" i="6"/>
  <c r="F18" i="7"/>
  <c r="F75" i="9"/>
  <c r="E72" i="10"/>
  <c r="F113" i="10"/>
  <c r="C122" i="10"/>
  <c r="F122" i="10"/>
  <c r="F60" i="17"/>
  <c r="E282" i="18"/>
  <c r="D316" i="18"/>
  <c r="E314" i="18"/>
  <c r="E19" i="21"/>
  <c r="F19" i="21"/>
  <c r="E23" i="22"/>
  <c r="E22" i="22"/>
  <c r="E61" i="11"/>
  <c r="F61" i="11"/>
  <c r="E285" i="17"/>
  <c r="F285" i="17"/>
  <c r="F24" i="17"/>
  <c r="E34" i="22"/>
  <c r="C109" i="22"/>
  <c r="C52" i="6"/>
  <c r="E49" i="6"/>
  <c r="E137" i="6"/>
  <c r="E18" i="7"/>
  <c r="E24" i="7"/>
  <c r="F24" i="7"/>
  <c r="F50" i="9"/>
  <c r="E75" i="9"/>
  <c r="E89" i="17"/>
  <c r="F89" i="17"/>
  <c r="F95" i="17"/>
  <c r="E95" i="17"/>
  <c r="F135" i="17"/>
  <c r="D261" i="18"/>
  <c r="E261" i="18"/>
  <c r="D229" i="18"/>
  <c r="E229" i="18"/>
  <c r="D77" i="22"/>
  <c r="D113" i="22"/>
  <c r="D101" i="22"/>
  <c r="D103" i="22"/>
  <c r="D52" i="6"/>
  <c r="D208" i="9"/>
  <c r="E208" i="9"/>
  <c r="F208" i="9"/>
  <c r="D102" i="17"/>
  <c r="E101" i="17"/>
  <c r="F101" i="17"/>
  <c r="E20" i="12"/>
  <c r="F20" i="12"/>
  <c r="F278" i="17"/>
  <c r="E47" i="6"/>
  <c r="E50" i="6"/>
  <c r="E86" i="6"/>
  <c r="F92" i="6"/>
  <c r="F124" i="6"/>
  <c r="E130" i="7"/>
  <c r="F130" i="7"/>
  <c r="D86" i="8"/>
  <c r="E149" i="8"/>
  <c r="E23" i="9"/>
  <c r="F23" i="9"/>
  <c r="E102" i="9"/>
  <c r="F102" i="9"/>
  <c r="F299" i="17"/>
  <c r="D189" i="18"/>
  <c r="E189" i="18"/>
  <c r="E280" i="18"/>
  <c r="F45" i="20"/>
  <c r="C46" i="20"/>
  <c r="F46" i="20"/>
  <c r="C75" i="4"/>
  <c r="F47" i="6"/>
  <c r="F86" i="6"/>
  <c r="D188" i="7"/>
  <c r="E188" i="7"/>
  <c r="F188" i="7"/>
  <c r="C149" i="8"/>
  <c r="C57" i="13"/>
  <c r="F145" i="17"/>
  <c r="E41" i="6"/>
  <c r="F41" i="6"/>
  <c r="C262" i="17"/>
  <c r="C263" i="17"/>
  <c r="F226" i="17"/>
  <c r="E189" i="17"/>
  <c r="F189" i="17"/>
  <c r="E31" i="17"/>
  <c r="F31" i="17"/>
  <c r="D175" i="18"/>
  <c r="E175" i="18"/>
  <c r="F45" i="6"/>
  <c r="E92" i="6"/>
  <c r="E166" i="9"/>
  <c r="E107" i="10"/>
  <c r="F107" i="10"/>
  <c r="F120" i="10"/>
  <c r="F23" i="15"/>
  <c r="D294" i="18"/>
  <c r="E32" i="18"/>
  <c r="C240" i="18"/>
  <c r="E240" i="18"/>
  <c r="E216" i="18"/>
  <c r="C88" i="8"/>
  <c r="C90" i="8"/>
  <c r="C86" i="8"/>
  <c r="C77" i="8"/>
  <c r="C71" i="8"/>
  <c r="E47" i="10"/>
  <c r="E119" i="10"/>
  <c r="E15" i="13"/>
  <c r="E25" i="13"/>
  <c r="E27" i="13"/>
  <c r="E50" i="15"/>
  <c r="F50" i="15"/>
  <c r="F92" i="15"/>
  <c r="E107" i="15"/>
  <c r="F107" i="15"/>
  <c r="E120" i="17"/>
  <c r="F120" i="17"/>
  <c r="E155" i="17"/>
  <c r="E165" i="17"/>
  <c r="E306" i="17"/>
  <c r="C44" i="18"/>
  <c r="E89" i="9"/>
  <c r="F114" i="9"/>
  <c r="E95" i="10"/>
  <c r="E117" i="10"/>
  <c r="E60" i="15"/>
  <c r="F60" i="15"/>
  <c r="E145" i="17"/>
  <c r="D242" i="18"/>
  <c r="D217" i="18"/>
  <c r="E88" i="8"/>
  <c r="E90" i="8"/>
  <c r="E86" i="8"/>
  <c r="E77" i="8"/>
  <c r="E71" i="8"/>
  <c r="D79" i="8"/>
  <c r="D149" i="8"/>
  <c r="E37" i="9"/>
  <c r="E62" i="9"/>
  <c r="E114" i="9"/>
  <c r="E24" i="10"/>
  <c r="F114" i="10"/>
  <c r="C27" i="13"/>
  <c r="F45" i="15"/>
  <c r="F58" i="15"/>
  <c r="F65" i="15"/>
  <c r="E283" i="18"/>
  <c r="C65" i="19"/>
  <c r="C114" i="19"/>
  <c r="C116" i="19"/>
  <c r="C119" i="19"/>
  <c r="C123" i="19"/>
  <c r="E40" i="12"/>
  <c r="E50" i="13"/>
  <c r="C68" i="17"/>
  <c r="E68" i="17"/>
  <c r="F100" i="17"/>
  <c r="E291" i="18"/>
  <c r="E207" i="9"/>
  <c r="F207" i="9"/>
  <c r="E30" i="15"/>
  <c r="E75" i="15"/>
  <c r="F75" i="15"/>
  <c r="F100" i="15"/>
  <c r="D111" i="17"/>
  <c r="E111" i="17"/>
  <c r="F111" i="17"/>
  <c r="E292" i="18"/>
  <c r="D33" i="22"/>
  <c r="D122" i="10"/>
  <c r="F73" i="15"/>
  <c r="E198" i="17"/>
  <c r="F198" i="17"/>
  <c r="E238" i="17"/>
  <c r="F238" i="17"/>
  <c r="E228" i="18"/>
  <c r="C88" i="22"/>
  <c r="C281" i="17"/>
  <c r="E76" i="18"/>
  <c r="D77" i="18"/>
  <c r="D138" i="17"/>
  <c r="D207" i="17"/>
  <c r="E137" i="17"/>
  <c r="F137" i="17"/>
  <c r="E102" i="17"/>
  <c r="F102" i="17"/>
  <c r="D103" i="17"/>
  <c r="E174" i="17"/>
  <c r="F174" i="17"/>
  <c r="C160" i="17"/>
  <c r="C161" i="17"/>
  <c r="E159" i="17"/>
  <c r="F159" i="17"/>
  <c r="C310" i="17"/>
  <c r="F75" i="4"/>
  <c r="E53" i="22"/>
  <c r="E45" i="22"/>
  <c r="E35" i="22"/>
  <c r="E39" i="22"/>
  <c r="E29" i="22"/>
  <c r="E110" i="22"/>
  <c r="E199" i="17"/>
  <c r="F199" i="17"/>
  <c r="E43" i="18"/>
  <c r="D259" i="18"/>
  <c r="F216" i="17"/>
  <c r="D197" i="17"/>
  <c r="C22" i="13"/>
  <c r="C21" i="13"/>
  <c r="C20" i="13"/>
  <c r="C294" i="18"/>
  <c r="E294" i="18"/>
  <c r="C66" i="18"/>
  <c r="C246" i="18"/>
  <c r="E246" i="18"/>
  <c r="C76" i="18"/>
  <c r="E71" i="18"/>
  <c r="E282" i="17"/>
  <c r="F282" i="17"/>
  <c r="E46" i="22"/>
  <c r="E40" i="22"/>
  <c r="E30" i="22"/>
  <c r="E111" i="22"/>
  <c r="E36" i="22"/>
  <c r="E54" i="22"/>
  <c r="E92" i="17"/>
  <c r="F92" i="17"/>
  <c r="F239" i="17"/>
  <c r="E239" i="17"/>
  <c r="E235" i="18"/>
  <c r="F42" i="12"/>
  <c r="C49" i="12"/>
  <c r="D44" i="18"/>
  <c r="C210" i="17"/>
  <c r="C175" i="17"/>
  <c r="E175" i="17"/>
  <c r="C140" i="17"/>
  <c r="C62" i="17"/>
  <c r="C105" i="17"/>
  <c r="E32" i="17"/>
  <c r="F32" i="17"/>
  <c r="E266" i="17"/>
  <c r="F266" i="17"/>
  <c r="D265" i="17"/>
  <c r="E265" i="17"/>
  <c r="F265" i="17"/>
  <c r="E305" i="17"/>
  <c r="F305" i="17"/>
  <c r="D309" i="17"/>
  <c r="E309" i="17"/>
  <c r="F309" i="17"/>
  <c r="E216" i="17"/>
  <c r="D320" i="18"/>
  <c r="E320" i="18"/>
  <c r="E316" i="18"/>
  <c r="D176" i="17"/>
  <c r="D158" i="8"/>
  <c r="E271" i="17"/>
  <c r="F271" i="17"/>
  <c r="D273" i="17"/>
  <c r="D304" i="17"/>
  <c r="E281" i="17"/>
  <c r="D22" i="13"/>
  <c r="D70" i="13"/>
  <c r="D72" i="13"/>
  <c r="D69" i="13"/>
  <c r="E122" i="10"/>
  <c r="D135" i="8"/>
  <c r="D138" i="8"/>
  <c r="D140" i="8"/>
  <c r="D136" i="8"/>
  <c r="D139" i="8"/>
  <c r="D137" i="8"/>
  <c r="E21" i="13"/>
  <c r="E20" i="13"/>
  <c r="E22" i="13"/>
  <c r="E52" i="6"/>
  <c r="F52" i="6"/>
  <c r="D125" i="17"/>
  <c r="E125" i="17"/>
  <c r="F125" i="17"/>
  <c r="D90" i="17"/>
  <c r="E90" i="17"/>
  <c r="F90" i="17"/>
  <c r="D195" i="17"/>
  <c r="E48" i="17"/>
  <c r="F48" i="17"/>
  <c r="D160" i="17"/>
  <c r="E160" i="17"/>
  <c r="D49" i="17"/>
  <c r="F68" i="17"/>
  <c r="C137" i="8"/>
  <c r="C135" i="8"/>
  <c r="C140" i="8"/>
  <c r="C138" i="8"/>
  <c r="C136" i="8"/>
  <c r="C139" i="8"/>
  <c r="D109" i="22"/>
  <c r="D111" i="22"/>
  <c r="D110" i="22"/>
  <c r="D112" i="22"/>
  <c r="D108" i="22"/>
  <c r="E253" i="18"/>
  <c r="C254" i="18"/>
  <c r="E254" i="18"/>
  <c r="E263" i="17"/>
  <c r="F263" i="17"/>
  <c r="D241" i="18"/>
  <c r="E241" i="18"/>
  <c r="E217" i="18"/>
  <c r="E242" i="18"/>
  <c r="F262" i="17"/>
  <c r="C272" i="17"/>
  <c r="C273" i="17"/>
  <c r="E274" i="17"/>
  <c r="F274" i="17"/>
  <c r="C300" i="17"/>
  <c r="C88" i="18"/>
  <c r="C85" i="18"/>
  <c r="C86" i="18"/>
  <c r="C83" i="18"/>
  <c r="C258" i="18"/>
  <c r="C100" i="18"/>
  <c r="C96" i="18"/>
  <c r="C101" i="18"/>
  <c r="C89" i="18"/>
  <c r="C87" i="18"/>
  <c r="C99" i="18"/>
  <c r="C95" i="18"/>
  <c r="C97" i="18"/>
  <c r="C84" i="18"/>
  <c r="C90" i="18"/>
  <c r="C98" i="18"/>
  <c r="E24" i="13"/>
  <c r="E17" i="13"/>
  <c r="E28" i="13"/>
  <c r="E70" i="13"/>
  <c r="E72" i="13"/>
  <c r="E69" i="13"/>
  <c r="E140" i="8"/>
  <c r="E138" i="8"/>
  <c r="E136" i="8"/>
  <c r="E139" i="8"/>
  <c r="E137" i="8"/>
  <c r="E135" i="8"/>
  <c r="F95" i="6"/>
  <c r="C196" i="17"/>
  <c r="F194" i="17"/>
  <c r="C195" i="17"/>
  <c r="F43" i="5"/>
  <c r="C50" i="5"/>
  <c r="E50" i="5"/>
  <c r="E200" i="17"/>
  <c r="F200" i="17"/>
  <c r="C91" i="18"/>
  <c r="E195" i="17"/>
  <c r="F195" i="17"/>
  <c r="F196" i="17"/>
  <c r="C141" i="8"/>
  <c r="F49" i="12"/>
  <c r="E49" i="12"/>
  <c r="C312" i="17"/>
  <c r="C141" i="17"/>
  <c r="D123" i="18"/>
  <c r="E77" i="18"/>
  <c r="D113" i="18"/>
  <c r="D126" i="18"/>
  <c r="D114" i="18"/>
  <c r="D124" i="18"/>
  <c r="D125" i="18"/>
  <c r="D122" i="18"/>
  <c r="D111" i="18"/>
  <c r="D109" i="18"/>
  <c r="D127" i="18"/>
  <c r="D121" i="18"/>
  <c r="D115" i="18"/>
  <c r="D112" i="18"/>
  <c r="D110" i="18"/>
  <c r="C176" i="17"/>
  <c r="F176" i="17"/>
  <c r="F175" i="17"/>
  <c r="E259" i="18"/>
  <c r="D263" i="18"/>
  <c r="E263" i="18"/>
  <c r="C106" i="17"/>
  <c r="C77" i="18"/>
  <c r="C259" i="18"/>
  <c r="C263" i="18"/>
  <c r="C264" i="18"/>
  <c r="C266" i="18"/>
  <c r="C267" i="18"/>
  <c r="F281" i="17"/>
  <c r="E273" i="17"/>
  <c r="F273" i="17"/>
  <c r="E161" i="17"/>
  <c r="F161" i="17"/>
  <c r="C162" i="17"/>
  <c r="D141" i="8"/>
  <c r="F160" i="17"/>
  <c r="E272" i="17"/>
  <c r="F272" i="17"/>
  <c r="D183" i="17"/>
  <c r="E176" i="17"/>
  <c r="D323" i="17"/>
  <c r="E196" i="17"/>
  <c r="E47" i="22"/>
  <c r="E37" i="22"/>
  <c r="E55" i="22"/>
  <c r="E112" i="22"/>
  <c r="E207" i="17"/>
  <c r="F207" i="17"/>
  <c r="D208" i="17"/>
  <c r="F50" i="5"/>
  <c r="D101" i="18"/>
  <c r="E101" i="18"/>
  <c r="D84" i="18"/>
  <c r="D98" i="18"/>
  <c r="E98" i="18"/>
  <c r="D99" i="18"/>
  <c r="E99" i="18"/>
  <c r="E44" i="18"/>
  <c r="D89" i="18"/>
  <c r="E89" i="18"/>
  <c r="D97" i="18"/>
  <c r="E97" i="18"/>
  <c r="D87" i="18"/>
  <c r="E87" i="18"/>
  <c r="D85" i="18"/>
  <c r="E85" i="18"/>
  <c r="D83" i="18"/>
  <c r="D258" i="18"/>
  <c r="D95" i="18"/>
  <c r="D88" i="18"/>
  <c r="E88" i="18"/>
  <c r="D96" i="18"/>
  <c r="D86" i="18"/>
  <c r="E86" i="18"/>
  <c r="D100" i="18"/>
  <c r="E100" i="18"/>
  <c r="E103" i="17"/>
  <c r="F103" i="17"/>
  <c r="D105" i="17"/>
  <c r="D104" i="17"/>
  <c r="E104" i="17"/>
  <c r="F104" i="17"/>
  <c r="E141" i="8"/>
  <c r="C102" i="18"/>
  <c r="C103" i="18"/>
  <c r="E300" i="17"/>
  <c r="F300" i="17"/>
  <c r="D50" i="17"/>
  <c r="E49" i="17"/>
  <c r="F49" i="17"/>
  <c r="D310" i="17"/>
  <c r="E304" i="17"/>
  <c r="F304" i="17"/>
  <c r="C63" i="17"/>
  <c r="E62" i="17"/>
  <c r="F62" i="17"/>
  <c r="E113" i="22"/>
  <c r="E48" i="22"/>
  <c r="E56" i="22"/>
  <c r="E38" i="22"/>
  <c r="C295" i="18"/>
  <c r="E295" i="18"/>
  <c r="C247" i="18"/>
  <c r="E247" i="18"/>
  <c r="E66" i="18"/>
  <c r="E138" i="17"/>
  <c r="F138" i="17"/>
  <c r="D140" i="17"/>
  <c r="D139" i="17"/>
  <c r="E139" i="17"/>
  <c r="F139" i="17"/>
  <c r="C269" i="18"/>
  <c r="C268" i="18"/>
  <c r="E208" i="17"/>
  <c r="F208" i="17"/>
  <c r="D209" i="17"/>
  <c r="E209" i="17"/>
  <c r="F209" i="17"/>
  <c r="D210" i="17"/>
  <c r="D91" i="18"/>
  <c r="E83" i="18"/>
  <c r="D128" i="18"/>
  <c r="E140" i="17"/>
  <c r="F140" i="17"/>
  <c r="D141" i="17"/>
  <c r="C111" i="18"/>
  <c r="E111" i="18"/>
  <c r="C114" i="18"/>
  <c r="C109" i="18"/>
  <c r="C112" i="18"/>
  <c r="C124" i="18"/>
  <c r="C127" i="18"/>
  <c r="C122" i="18"/>
  <c r="C115" i="18"/>
  <c r="C126" i="18"/>
  <c r="E126" i="18"/>
  <c r="C110" i="18"/>
  <c r="C125" i="18"/>
  <c r="C123" i="18"/>
  <c r="E123" i="18"/>
  <c r="C121" i="18"/>
  <c r="C113" i="18"/>
  <c r="E113" i="18"/>
  <c r="E110" i="18"/>
  <c r="D116" i="18"/>
  <c r="E125" i="18"/>
  <c r="C105" i="18"/>
  <c r="E127" i="18"/>
  <c r="D103" i="18"/>
  <c r="E103" i="18"/>
  <c r="E95" i="18"/>
  <c r="E105" i="17"/>
  <c r="F105" i="17"/>
  <c r="D106" i="17"/>
  <c r="C211" i="17"/>
  <c r="C322" i="17"/>
  <c r="C148" i="17"/>
  <c r="E50" i="17"/>
  <c r="F50" i="17"/>
  <c r="D70" i="17"/>
  <c r="E70" i="17"/>
  <c r="C324" i="17"/>
  <c r="C113" i="17"/>
  <c r="E112" i="18"/>
  <c r="E124" i="18"/>
  <c r="D90" i="18"/>
  <c r="E90" i="18"/>
  <c r="E84" i="18"/>
  <c r="E115" i="18"/>
  <c r="E114" i="18"/>
  <c r="C313" i="17"/>
  <c r="C70" i="17"/>
  <c r="E63" i="17"/>
  <c r="F63" i="17"/>
  <c r="E258" i="18"/>
  <c r="D264" i="18"/>
  <c r="D312" i="17"/>
  <c r="E310" i="17"/>
  <c r="F310" i="17"/>
  <c r="E96" i="18"/>
  <c r="D102" i="18"/>
  <c r="E102" i="18"/>
  <c r="F162" i="17"/>
  <c r="C197" i="17"/>
  <c r="C323" i="17"/>
  <c r="F323" i="17"/>
  <c r="C183" i="17"/>
  <c r="F183" i="17"/>
  <c r="E162" i="17"/>
  <c r="E121" i="18"/>
  <c r="D129" i="18"/>
  <c r="E312" i="17"/>
  <c r="F312" i="17"/>
  <c r="D313" i="17"/>
  <c r="D105" i="18"/>
  <c r="E105" i="18"/>
  <c r="E91" i="18"/>
  <c r="F197" i="17"/>
  <c r="E197" i="17"/>
  <c r="E264" i="18"/>
  <c r="D266" i="18"/>
  <c r="E106" i="17"/>
  <c r="F106" i="17"/>
  <c r="D324" i="17"/>
  <c r="D113" i="17"/>
  <c r="E113" i="17"/>
  <c r="F113" i="17"/>
  <c r="C116" i="18"/>
  <c r="C117" i="18"/>
  <c r="C131" i="18"/>
  <c r="C256" i="17"/>
  <c r="C251" i="17"/>
  <c r="C315" i="17"/>
  <c r="C314" i="17"/>
  <c r="E210" i="17"/>
  <c r="F210" i="17"/>
  <c r="D211" i="17"/>
  <c r="E211" i="17"/>
  <c r="F211" i="17"/>
  <c r="E183" i="17"/>
  <c r="E116" i="18"/>
  <c r="D117" i="18"/>
  <c r="C128" i="18"/>
  <c r="E128" i="18"/>
  <c r="C325" i="17"/>
  <c r="E141" i="17"/>
  <c r="F141" i="17"/>
  <c r="D322" i="17"/>
  <c r="E322" i="17"/>
  <c r="F322" i="17"/>
  <c r="D148" i="17"/>
  <c r="E148" i="17"/>
  <c r="F148" i="17"/>
  <c r="F70" i="17"/>
  <c r="E109" i="18"/>
  <c r="E122" i="18"/>
  <c r="C271" i="18"/>
  <c r="E323" i="17"/>
  <c r="C129" i="18"/>
  <c r="E129" i="18"/>
  <c r="E324" i="17"/>
  <c r="F324" i="17"/>
  <c r="D325" i="17"/>
  <c r="E325" i="17"/>
  <c r="C318" i="17"/>
  <c r="E266" i="18"/>
  <c r="D267" i="18"/>
  <c r="F325" i="17"/>
  <c r="E313" i="17"/>
  <c r="F313" i="17"/>
  <c r="D256" i="17"/>
  <c r="D314" i="17"/>
  <c r="D315" i="17"/>
  <c r="E315" i="17"/>
  <c r="F315" i="17"/>
  <c r="D251" i="17"/>
  <c r="E251" i="17"/>
  <c r="F251" i="17"/>
  <c r="E117" i="18"/>
  <c r="D131" i="18"/>
  <c r="E131" i="18"/>
  <c r="C257" i="17"/>
  <c r="E256" i="17"/>
  <c r="F256" i="17"/>
  <c r="D257" i="17"/>
  <c r="E257" i="17"/>
  <c r="F257" i="17"/>
  <c r="D269" i="18"/>
  <c r="E269" i="18"/>
  <c r="D268" i="18"/>
  <c r="E267" i="18"/>
  <c r="D318" i="17"/>
  <c r="E318" i="17"/>
  <c r="F318" i="17"/>
  <c r="E314" i="17"/>
  <c r="F314" i="17"/>
  <c r="E268" i="18"/>
  <c r="D271" i="18"/>
  <c r="E271" i="18"/>
</calcChain>
</file>

<file path=xl/sharedStrings.xml><?xml version="1.0" encoding="utf-8"?>
<sst xmlns="http://schemas.openxmlformats.org/spreadsheetml/2006/main" count="2334" uniqueCount="1009">
  <si>
    <t>SAINT FRANCIS HOSPITAL AND MEDICAL CENTER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</si>
  <si>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</si>
  <si>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</si>
  <si>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</si>
  <si>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</si>
  <si>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</si>
  <si>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</si>
  <si>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</si>
  <si>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</si>
  <si>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</si>
  <si>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</si>
  <si>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</si>
  <si>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</si>
  <si>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</si>
  <si>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</si>
  <si>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</si>
  <si>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</si>
  <si>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</si>
  <si>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</si>
  <si>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</si>
  <si>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</si>
  <si>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</si>
  <si>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</si>
  <si>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</si>
  <si>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</si>
  <si>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</si>
  <si>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</si>
  <si>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</si>
  <si>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</si>
  <si>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</si>
  <si>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</si>
  <si>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</si>
  <si>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</si>
  <si>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</si>
  <si>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</si>
  <si>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</si>
  <si>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</si>
  <si>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</si>
  <si>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</si>
  <si>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</si>
  <si>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</si>
  <si>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</si>
  <si>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</si>
  <si>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</si>
  <si>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</si>
  <si>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</si>
  <si>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</si>
  <si>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</si>
  <si>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</si>
  <si>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</si>
  <si>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</si>
  <si>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</si>
  <si>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</si>
  <si>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</si>
  <si>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</si>
  <si>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</si>
  <si>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</si>
  <si>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</si>
  <si>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</si>
  <si>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</si>
  <si>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</si>
  <si>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</si>
  <si>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</si>
  <si>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</si>
  <si>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</si>
  <si>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</si>
  <si>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</si>
  <si>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</si>
  <si>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</si>
  <si>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</si>
  <si>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</si>
  <si>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</si>
  <si>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</si>
  <si>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</si>
  <si>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</si>
  <si>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</si>
  <si>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</si>
  <si>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</si>
  <si>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</si>
  <si>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</si>
  <si>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</si>
  <si>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</si>
  <si>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</si>
  <si>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</si>
  <si>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</si>
  <si>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</si>
  <si>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</si>
  <si>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</si>
  <si>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</si>
  <si>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</si>
  <si>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</si>
  <si>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</si>
  <si>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</si>
  <si>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</si>
  <si>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</si>
  <si>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</si>
  <si>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</si>
  <si>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</si>
  <si>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</si>
  <si>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</si>
  <si>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</si>
  <si>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</si>
  <si>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</si>
  <si>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</si>
  <si>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</si>
  <si>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</si>
  <si>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</si>
  <si>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</si>
  <si>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</si>
  <si>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</si>
  <si>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</si>
  <si>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</si>
  <si>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</si>
  <si>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</si>
  <si>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</si>
  <si>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</si>
  <si>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</si>
  <si>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</si>
  <si>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</si>
  <si>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</si>
  <si>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</si>
  <si>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</si>
  <si>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</si>
  <si>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</si>
  <si>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</si>
  <si>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</si>
  <si>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</si>
  <si>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</si>
  <si>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</si>
  <si>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</si>
  <si>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</si>
  <si>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</si>
  <si>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</si>
  <si>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</si>
  <si>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</si>
  <si>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</si>
  <si>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</si>
  <si>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</si>
  <si>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</si>
  <si>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</si>
  <si>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</si>
  <si>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</si>
  <si>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</si>
  <si>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</si>
  <si>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</si>
  <si>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</si>
  <si>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</si>
  <si>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</si>
  <si>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</si>
  <si>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</si>
  <si>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</si>
  <si>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</si>
  <si>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</si>
  <si>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</si>
  <si>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</si>
  <si>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</si>
  <si>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</si>
  <si>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</si>
  <si>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</si>
  <si>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</si>
  <si>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</si>
  <si>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</si>
  <si>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</si>
  <si>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</si>
  <si>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</si>
  <si>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</si>
  <si>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</si>
  <si>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</si>
  <si>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</si>
  <si>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</si>
  <si>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</si>
  <si>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</si>
  <si>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</si>
  <si>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</si>
  <si>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</si>
  <si>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</si>
  <si>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</si>
  <si>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</si>
  <si>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</si>
  <si>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</si>
  <si>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</si>
  <si>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</si>
  <si>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</si>
  <si>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</si>
  <si>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</si>
  <si>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</si>
  <si>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</si>
  <si>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</si>
  <si>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</si>
  <si>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</si>
  <si>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</si>
  <si>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</si>
  <si>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</si>
  <si>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</si>
  <si>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</si>
  <si>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</si>
  <si>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</si>
  <si>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</si>
  <si>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</si>
  <si>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</si>
  <si>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</si>
  <si>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</si>
  <si>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</si>
  <si>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</si>
  <si>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</si>
  <si>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</si>
  <si>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</si>
  <si>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</si>
  <si>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</si>
  <si>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</si>
  <si>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</si>
  <si>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</si>
  <si>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</si>
  <si>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</si>
  <si>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</si>
  <si>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</si>
  <si>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</si>
  <si>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</si>
  <si>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</si>
  <si>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</si>
  <si>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</si>
  <si>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</si>
  <si>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</si>
  <si>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</si>
  <si>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</si>
  <si>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</si>
  <si>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</si>
  <si>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</si>
  <si>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</si>
  <si>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</si>
  <si>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</si>
  <si>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</si>
  <si>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</si>
  <si>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</si>
  <si>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</si>
  <si>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</si>
  <si>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</si>
  <si>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</si>
  <si>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</si>
  <si>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</si>
  <si>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</si>
  <si>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</si>
  <si>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</si>
  <si>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</si>
  <si>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</si>
  <si>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</si>
  <si>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</si>
  <si>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</si>
  <si>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</si>
  <si>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</si>
  <si>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</si>
  <si>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</si>
  <si>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</si>
  <si>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</si>
  <si>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</si>
  <si>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</si>
  <si>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</si>
  <si>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</si>
  <si>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</si>
  <si>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</si>
  <si>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</si>
  <si>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</si>
  <si>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</si>
  <si>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</si>
  <si>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</si>
  <si>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</si>
  <si>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</si>
  <si>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</si>
  <si>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</si>
  <si>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</si>
  <si>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</si>
  <si>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</si>
  <si>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</si>
  <si>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</si>
  <si>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</si>
  <si>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</si>
  <si>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</si>
  <si>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</si>
  <si>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</si>
  <si>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</si>
  <si>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</si>
  <si>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</si>
  <si>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</si>
  <si>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</si>
  <si>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</si>
  <si>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</si>
  <si>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</si>
  <si>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</si>
  <si>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</si>
  <si>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</si>
  <si>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</si>
  <si>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</si>
  <si>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</si>
  <si>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</si>
  <si>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</si>
  <si>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</si>
  <si>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</si>
  <si>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</si>
  <si>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</si>
  <si>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</si>
  <si>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</si>
  <si>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</si>
  <si>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</si>
  <si>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</si>
  <si>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</si>
  <si>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</si>
  <si>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</si>
  <si>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</si>
  <si>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</si>
  <si>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</si>
  <si>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</si>
  <si>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</si>
  <si>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</si>
  <si>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</si>
  <si>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</si>
  <si>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</si>
  <si>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</si>
  <si>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</si>
  <si>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</si>
  <si>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</si>
  <si>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</si>
  <si>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</si>
  <si>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</si>
  <si>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</si>
  <si>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</si>
  <si>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</si>
  <si>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</si>
  <si>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</si>
  <si>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</si>
  <si>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</si>
  <si>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</si>
  <si>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</si>
  <si>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</si>
  <si>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</si>
  <si>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</si>
  <si>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</si>
  <si>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</si>
  <si>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</si>
  <si>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</si>
  <si>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</si>
  <si>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</si>
  <si>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</si>
  <si>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</si>
  <si>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</si>
  <si>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</si>
  <si>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</si>
  <si>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</si>
  <si>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</si>
  <si>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</si>
  <si>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</si>
  <si>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</si>
  <si>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</si>
  <si>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</si>
  <si>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</si>
  <si>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</si>
  <si>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</si>
  <si>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</si>
  <si>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</si>
  <si>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</si>
  <si>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</si>
  <si>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</si>
  <si>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</si>
  <si>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</si>
  <si>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</si>
  <si>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</si>
  <si>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</si>
  <si>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</si>
  <si>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</si>
  <si>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</si>
  <si>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</si>
  <si>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</si>
  <si>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</si>
  <si>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</si>
  <si>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</si>
  <si>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</si>
  <si>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</si>
  <si>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</si>
  <si>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</si>
  <si>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</si>
  <si>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</si>
  <si>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</si>
  <si>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</si>
  <si>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</si>
  <si>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</si>
  <si>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</si>
  <si>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</si>
  <si>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</si>
  <si>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</si>
  <si>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</si>
  <si>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</si>
  <si>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</si>
  <si>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</si>
  <si>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</si>
  <si>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</si>
  <si>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</si>
  <si>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</si>
  <si>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</si>
  <si>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</si>
  <si>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</si>
  <si>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</si>
  <si>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</si>
  <si>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</si>
  <si>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</si>
  <si>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</si>
  <si>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</si>
  <si>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</si>
  <si>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</si>
  <si>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</si>
  <si>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</si>
  <si>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</si>
  <si>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</si>
  <si>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</si>
  <si>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</si>
  <si>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</si>
  <si>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</si>
  <si>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</si>
  <si>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</si>
  <si>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</si>
  <si>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</si>
  <si>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</si>
  <si>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</si>
  <si>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</si>
  <si>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</si>
  <si>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</si>
  <si>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</si>
  <si>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</si>
  <si>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</si>
  <si>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</si>
  <si>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</si>
  <si>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</si>
  <si>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</si>
  <si>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</si>
  <si>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</si>
  <si>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</si>
  <si>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</si>
  <si>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</si>
  <si>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</si>
  <si>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</si>
  <si>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</si>
  <si>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</si>
  <si>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</si>
  <si>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</si>
  <si>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</si>
  <si>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</si>
  <si>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</si>
  <si>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</si>
  <si>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</si>
  <si>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</si>
  <si>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</si>
  <si>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</si>
  <si>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</si>
  <si>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</si>
  <si>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</si>
  <si>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</si>
  <si>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</si>
  <si>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</si>
  <si>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</si>
  <si>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</si>
  <si>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</si>
  <si>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</si>
  <si>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</si>
  <si>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</si>
  <si>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</si>
  <si>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</si>
  <si>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</si>
  <si>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</si>
  <si>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</si>
  <si>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</si>
  <si>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</si>
  <si>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</si>
  <si>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</si>
  <si>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</si>
  <si>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</si>
  <si>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</si>
  <si>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</si>
  <si>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</si>
  <si>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</si>
  <si>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</si>
  <si>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</si>
  <si>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</si>
  <si>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</si>
  <si>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</si>
  <si>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</si>
  <si>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</si>
  <si>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</si>
  <si>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</si>
  <si>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</si>
  <si>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</si>
  <si>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</si>
  <si>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</si>
  <si>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</si>
  <si>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</si>
  <si>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</si>
  <si>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</si>
  <si>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</si>
  <si>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</si>
  <si>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</si>
  <si>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</si>
  <si>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</si>
  <si>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</si>
  <si>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TRINITY HEALTH - NEW ENGLAND, INC. (FORMERLY SAINT FRANCIS CARE, INC.)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</si>
  <si>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</si>
  <si>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</si>
  <si>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</si>
  <si>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</si>
  <si>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</si>
  <si>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</si>
  <si>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</si>
  <si>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</si>
  <si>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</si>
  <si>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</si>
  <si>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</si>
  <si>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</si>
  <si>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</si>
  <si>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</si>
  <si>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</si>
  <si>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</si>
  <si>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</si>
  <si>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</si>
  <si>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</si>
  <si>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</si>
  <si>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</si>
  <si>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</si>
  <si>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</si>
  <si>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</si>
  <si>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</si>
  <si>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</si>
  <si>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</si>
  <si>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</si>
  <si>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</si>
  <si>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</si>
  <si>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</si>
  <si>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</si>
  <si>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</si>
  <si>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</si>
  <si>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</si>
  <si>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</si>
  <si>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</si>
  <si>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</si>
  <si>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</si>
  <si>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</si>
  <si>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</si>
  <si>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</si>
  <si>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</si>
  <si>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</si>
  <si>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</si>
  <si>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</si>
  <si>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</si>
  <si>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</si>
  <si>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</si>
  <si>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</si>
  <si>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</si>
  <si>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</si>
  <si>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</si>
  <si>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</si>
  <si>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</si>
  <si>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</si>
  <si>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</si>
  <si>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</si>
  <si>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</si>
  <si>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</si>
  <si>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</si>
  <si>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</si>
  <si>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</si>
  <si>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</si>
  <si>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</si>
  <si>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</si>
  <si>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</si>
  <si>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</si>
  <si>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</si>
  <si>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</si>
  <si>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</si>
  <si>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</si>
  <si>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</si>
  <si>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</si>
  <si>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</si>
  <si>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</si>
  <si>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</si>
  <si>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</si>
  <si>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</si>
  <si>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</si>
  <si>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</si>
  <si>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</si>
  <si>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</si>
  <si>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</si>
  <si>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</si>
  <si>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</si>
  <si>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</si>
  <si>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</si>
  <si>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</si>
  <si>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</si>
  <si>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</si>
  <si>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</si>
  <si>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</si>
  <si>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</si>
  <si>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</si>
  <si>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</si>
  <si>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</si>
  <si>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</si>
  <si>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</si>
  <si>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</si>
  <si>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</si>
  <si>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</si>
  <si>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</si>
  <si>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</si>
  <si>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</si>
  <si>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</si>
  <si>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</si>
  <si>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</si>
  <si>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</si>
  <si>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</si>
  <si>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</si>
  <si>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</si>
  <si>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</si>
  <si>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</si>
  <si>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</si>
  <si>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</si>
  <si>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</si>
  <si>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</si>
  <si>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</si>
  <si>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</si>
  <si>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SFHMC - Mount Sinai Campus</t>
  </si>
  <si>
    <t>Saint Francis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</si>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</sst>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70507000</v>
      </c>
      <c r="D13" s="22">
        <v>76694000</v>
      </c>
      <c r="E13" s="22">
        <f t="shared" ref="E13:E22" si="0">D13-C13</f>
        <v>6187000</v>
      </c>
      <c r="F13" s="23">
        <f t="shared" ref="F13:F22" si="1">IF(C13=0,0,E13/C13)</f>
        <v>8.7750152467130929E-2</v>
      </c>
    </row>
    <row r="14" spans="1:8" ht="24" customHeight="1" x14ac:dyDescent="0.2">
      <c r="A14" s="20">
        <v>2</v>
      </c>
      <c r="B14" s="21" t="s">
        <v>17</v>
      </c>
      <c r="C14" s="22">
        <v>25411000</v>
      </c>
      <c r="D14" s="22">
        <v>9418000</v>
      </c>
      <c r="E14" s="22">
        <f t="shared" si="0"/>
        <v>-15993000</v>
      </c>
      <c r="F14" s="23">
        <f t="shared" si="1"/>
        <v>-0.6293731061351383</v>
      </c>
    </row>
    <row r="15" spans="1:8" ht="24" customHeight="1" x14ac:dyDescent="0.2">
      <c r="A15" s="20">
        <v>3</v>
      </c>
      <c r="B15" s="21" t="s">
        <v>18</v>
      </c>
      <c r="C15" s="22">
        <v>70949000</v>
      </c>
      <c r="D15" s="22">
        <v>65284000</v>
      </c>
      <c r="E15" s="22">
        <f t="shared" si="0"/>
        <v>-5665000</v>
      </c>
      <c r="F15" s="23">
        <f t="shared" si="1"/>
        <v>-7.9846086625604301E-2</v>
      </c>
    </row>
    <row r="16" spans="1:8" ht="24" customHeight="1" x14ac:dyDescent="0.2">
      <c r="A16" s="20">
        <v>4</v>
      </c>
      <c r="B16" s="21" t="s">
        <v>19</v>
      </c>
      <c r="C16" s="22">
        <v>1459000</v>
      </c>
      <c r="D16" s="22">
        <v>1521000</v>
      </c>
      <c r="E16" s="22">
        <f t="shared" si="0"/>
        <v>62000</v>
      </c>
      <c r="F16" s="23">
        <f t="shared" si="1"/>
        <v>4.2494859492803287E-2</v>
      </c>
    </row>
    <row r="17" spans="1:11" ht="24" customHeight="1" x14ac:dyDescent="0.2">
      <c r="A17" s="20">
        <v>5</v>
      </c>
      <c r="B17" s="21" t="s">
        <v>20</v>
      </c>
      <c r="C17" s="22">
        <v>13206000</v>
      </c>
      <c r="D17" s="22">
        <v>4864000</v>
      </c>
      <c r="E17" s="22">
        <f t="shared" si="0"/>
        <v>-8342000</v>
      </c>
      <c r="F17" s="23">
        <f t="shared" si="1"/>
        <v>-0.63168256852945626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8855000</v>
      </c>
      <c r="D19" s="22">
        <v>9701000</v>
      </c>
      <c r="E19" s="22">
        <f t="shared" si="0"/>
        <v>846000</v>
      </c>
      <c r="F19" s="23">
        <f t="shared" si="1"/>
        <v>9.5539243365330317E-2</v>
      </c>
    </row>
    <row r="20" spans="1:11" ht="24" customHeight="1" x14ac:dyDescent="0.2">
      <c r="A20" s="20">
        <v>8</v>
      </c>
      <c r="B20" s="21" t="s">
        <v>23</v>
      </c>
      <c r="C20" s="22">
        <v>6327000</v>
      </c>
      <c r="D20" s="22">
        <v>8457000</v>
      </c>
      <c r="E20" s="22">
        <f t="shared" si="0"/>
        <v>2130000</v>
      </c>
      <c r="F20" s="23">
        <f t="shared" si="1"/>
        <v>0.33665244191559979</v>
      </c>
    </row>
    <row r="21" spans="1:11" ht="24" customHeight="1" x14ac:dyDescent="0.2">
      <c r="A21" s="20">
        <v>9</v>
      </c>
      <c r="B21" s="21" t="s">
        <v>24</v>
      </c>
      <c r="C21" s="22">
        <v>1443000</v>
      </c>
      <c r="D21" s="22">
        <v>2211000</v>
      </c>
      <c r="E21" s="22">
        <f t="shared" si="0"/>
        <v>768000</v>
      </c>
      <c r="F21" s="23">
        <f t="shared" si="1"/>
        <v>0.53222453222453225</v>
      </c>
    </row>
    <row r="22" spans="1:11" ht="24" customHeight="1" x14ac:dyDescent="0.25">
      <c r="A22" s="24"/>
      <c r="B22" s="25" t="s">
        <v>25</v>
      </c>
      <c r="C22" s="26">
        <f>SUM(C13:C21)</f>
        <v>198157000</v>
      </c>
      <c r="D22" s="26">
        <f>SUM(D13:D21)</f>
        <v>178150000</v>
      </c>
      <c r="E22" s="26">
        <f t="shared" si="0"/>
        <v>-20007000</v>
      </c>
      <c r="F22" s="27">
        <f t="shared" si="1"/>
        <v>-0.10096539612529459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53033000</v>
      </c>
      <c r="D25" s="22">
        <v>48893000</v>
      </c>
      <c r="E25" s="22">
        <f>D25-C25</f>
        <v>-4140000</v>
      </c>
      <c r="F25" s="23">
        <f>IF(C25=0,0,E25/C25)</f>
        <v>-7.8064601285991742E-2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25208000</v>
      </c>
      <c r="D26" s="22">
        <v>21784000</v>
      </c>
      <c r="E26" s="22">
        <f>D26-C26</f>
        <v>-3424000</v>
      </c>
      <c r="F26" s="23">
        <f>IF(C26=0,0,E26/C26)</f>
        <v>-0.13582989527134243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3784000</v>
      </c>
      <c r="D28" s="22">
        <v>3582000</v>
      </c>
      <c r="E28" s="22">
        <f>D28-C28</f>
        <v>-202000</v>
      </c>
      <c r="F28" s="23">
        <f>IF(C28=0,0,E28/C28)</f>
        <v>-5.3382663847780128E-2</v>
      </c>
    </row>
    <row r="29" spans="1:11" ht="24" customHeight="1" x14ac:dyDescent="0.25">
      <c r="A29" s="24"/>
      <c r="B29" s="25" t="s">
        <v>32</v>
      </c>
      <c r="C29" s="26">
        <f>SUM(C25:C28)</f>
        <v>82025000</v>
      </c>
      <c r="D29" s="26">
        <f>SUM(D25:D28)</f>
        <v>74259000</v>
      </c>
      <c r="E29" s="26">
        <f>D29-C29</f>
        <v>-7766000</v>
      </c>
      <c r="F29" s="27">
        <f>IF(C29=0,0,E29/C29)</f>
        <v>-9.4678451691557447E-2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10789000</v>
      </c>
      <c r="D31" s="22">
        <v>9394000</v>
      </c>
      <c r="E31" s="22">
        <f>D31-C31</f>
        <v>-1395000</v>
      </c>
      <c r="F31" s="23">
        <f>IF(C31=0,0,E31/C31)</f>
        <v>-0.12929835944017054</v>
      </c>
    </row>
    <row r="32" spans="1:11" ht="24" customHeight="1" x14ac:dyDescent="0.2">
      <c r="A32" s="20">
        <v>6</v>
      </c>
      <c r="B32" s="21" t="s">
        <v>34</v>
      </c>
      <c r="C32" s="22">
        <v>17495000</v>
      </c>
      <c r="D32" s="22">
        <v>25350000</v>
      </c>
      <c r="E32" s="22">
        <f>D32-C32</f>
        <v>7855000</v>
      </c>
      <c r="F32" s="23">
        <f>IF(C32=0,0,E32/C32)</f>
        <v>0.44898542440697342</v>
      </c>
    </row>
    <row r="33" spans="1:8" ht="24" customHeight="1" x14ac:dyDescent="0.2">
      <c r="A33" s="20">
        <v>7</v>
      </c>
      <c r="B33" s="21" t="s">
        <v>35</v>
      </c>
      <c r="C33" s="22">
        <v>9717000</v>
      </c>
      <c r="D33" s="22">
        <v>7117000</v>
      </c>
      <c r="E33" s="22">
        <f>D33-C33</f>
        <v>-2600000</v>
      </c>
      <c r="F33" s="23">
        <f>IF(C33=0,0,E33/C33)</f>
        <v>-0.26757229597612431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839530000</v>
      </c>
      <c r="D36" s="22">
        <v>873910000</v>
      </c>
      <c r="E36" s="22">
        <f>D36-C36</f>
        <v>34380000</v>
      </c>
      <c r="F36" s="23">
        <f>IF(C36=0,0,E36/C36)</f>
        <v>4.0951484759329623E-2</v>
      </c>
    </row>
    <row r="37" spans="1:8" ht="24" customHeight="1" x14ac:dyDescent="0.2">
      <c r="A37" s="20">
        <v>2</v>
      </c>
      <c r="B37" s="21" t="s">
        <v>39</v>
      </c>
      <c r="C37" s="22">
        <v>391133000</v>
      </c>
      <c r="D37" s="22">
        <v>427558000</v>
      </c>
      <c r="E37" s="22">
        <f>D37-C37</f>
        <v>36425000</v>
      </c>
      <c r="F37" s="23">
        <f>IF(C37=0,0,E37/C37)</f>
        <v>9.3126890341648491E-2</v>
      </c>
    </row>
    <row r="38" spans="1:8" ht="24" customHeight="1" x14ac:dyDescent="0.25">
      <c r="A38" s="24"/>
      <c r="B38" s="25" t="s">
        <v>40</v>
      </c>
      <c r="C38" s="26">
        <f>C36-C37</f>
        <v>448397000</v>
      </c>
      <c r="D38" s="26">
        <f>D36-D37</f>
        <v>446352000</v>
      </c>
      <c r="E38" s="26">
        <f>D38-C38</f>
        <v>-2045000</v>
      </c>
      <c r="F38" s="27">
        <f>IF(C38=0,0,E38/C38)</f>
        <v>-4.560690637983751E-3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13586000</v>
      </c>
      <c r="D40" s="22">
        <v>8411000</v>
      </c>
      <c r="E40" s="22">
        <f>D40-C40</f>
        <v>-5175000</v>
      </c>
      <c r="F40" s="23">
        <f>IF(C40=0,0,E40/C40)</f>
        <v>-0.3809068158398351</v>
      </c>
    </row>
    <row r="41" spans="1:8" ht="24" customHeight="1" x14ac:dyDescent="0.25">
      <c r="A41" s="24"/>
      <c r="B41" s="25" t="s">
        <v>42</v>
      </c>
      <c r="C41" s="26">
        <f>+C38+C40</f>
        <v>461983000</v>
      </c>
      <c r="D41" s="26">
        <f>+D38+D40</f>
        <v>454763000</v>
      </c>
      <c r="E41" s="26">
        <f>D41-C41</f>
        <v>-7220000</v>
      </c>
      <c r="F41" s="27">
        <f>IF(C41=0,0,E41/C41)</f>
        <v>-1.5628280694311263E-2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780166000</v>
      </c>
      <c r="D43" s="26">
        <f>D22+D29+D31+D32+D33+D41</f>
        <v>749033000</v>
      </c>
      <c r="E43" s="26">
        <f>D43-C43</f>
        <v>-31133000</v>
      </c>
      <c r="F43" s="27">
        <f>IF(C43=0,0,E43/C43)</f>
        <v>-3.9905609831753758E-2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32842000</v>
      </c>
      <c r="D49" s="22">
        <v>36361000</v>
      </c>
      <c r="E49" s="22">
        <f t="shared" ref="E49:E56" si="2">D49-C49</f>
        <v>3519000</v>
      </c>
      <c r="F49" s="23">
        <f t="shared" ref="F49:F56" si="3">IF(C49=0,0,E49/C49)</f>
        <v>0.10714938188904452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33833000</v>
      </c>
      <c r="D50" s="22">
        <v>33492000</v>
      </c>
      <c r="E50" s="22">
        <f t="shared" si="2"/>
        <v>-341000</v>
      </c>
      <c r="F50" s="23">
        <f t="shared" si="3"/>
        <v>-1.0078917033665357E-2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14939000</v>
      </c>
      <c r="D51" s="22">
        <v>12528000</v>
      </c>
      <c r="E51" s="22">
        <f t="shared" si="2"/>
        <v>-2411000</v>
      </c>
      <c r="F51" s="23">
        <f t="shared" si="3"/>
        <v>-0.1613896512484102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8760000</v>
      </c>
      <c r="D53" s="22">
        <v>7298000</v>
      </c>
      <c r="E53" s="22">
        <f t="shared" si="2"/>
        <v>-1462000</v>
      </c>
      <c r="F53" s="23">
        <f t="shared" si="3"/>
        <v>-0.16689497716894977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6978000</v>
      </c>
      <c r="D55" s="22">
        <v>6680000</v>
      </c>
      <c r="E55" s="22">
        <f t="shared" si="2"/>
        <v>-298000</v>
      </c>
      <c r="F55" s="23">
        <f t="shared" si="3"/>
        <v>-4.2705646316996276E-2</v>
      </c>
    </row>
    <row r="56" spans="1:6" ht="24" customHeight="1" x14ac:dyDescent="0.25">
      <c r="A56" s="24"/>
      <c r="B56" s="25" t="s">
        <v>54</v>
      </c>
      <c r="C56" s="26">
        <f>SUM(C49:C55)</f>
        <v>97352000</v>
      </c>
      <c r="D56" s="26">
        <f>SUM(D49:D55)</f>
        <v>96359000</v>
      </c>
      <c r="E56" s="26">
        <f t="shared" si="2"/>
        <v>-993000</v>
      </c>
      <c r="F56" s="27">
        <f t="shared" si="3"/>
        <v>-1.0200098611225245E-2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251476000</v>
      </c>
      <c r="D59" s="22">
        <v>244154000</v>
      </c>
      <c r="E59" s="22">
        <f>D59-C59</f>
        <v>-7322000</v>
      </c>
      <c r="F59" s="23">
        <f>IF(C59=0,0,E59/C59)</f>
        <v>-2.9116098554136379E-2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251476000</v>
      </c>
      <c r="D61" s="26">
        <f>SUM(D59:D60)</f>
        <v>244154000</v>
      </c>
      <c r="E61" s="26">
        <f>D61-C61</f>
        <v>-7322000</v>
      </c>
      <c r="F61" s="27">
        <f>IF(C61=0,0,E61/C61)</f>
        <v>-2.9116098554136379E-2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249644000</v>
      </c>
      <c r="D63" s="22">
        <v>278582000</v>
      </c>
      <c r="E63" s="22">
        <f>D63-C63</f>
        <v>28938000</v>
      </c>
      <c r="F63" s="23">
        <f>IF(C63=0,0,E63/C63)</f>
        <v>0.11591706590184422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501120000</v>
      </c>
      <c r="D65" s="26">
        <f>SUM(D61:D64)</f>
        <v>522736000</v>
      </c>
      <c r="E65" s="26">
        <f>D65-C65</f>
        <v>21616000</v>
      </c>
      <c r="F65" s="27">
        <f>IF(C65=0,0,E65/C65)</f>
        <v>4.3135376756066414E-2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100020000</v>
      </c>
      <c r="D70" s="22">
        <v>52342000</v>
      </c>
      <c r="E70" s="22">
        <f>D70-C70</f>
        <v>-47678000</v>
      </c>
      <c r="F70" s="23">
        <f>IF(C70=0,0,E70/C70)</f>
        <v>-0.47668466306738655</v>
      </c>
    </row>
    <row r="71" spans="1:6" ht="24" customHeight="1" x14ac:dyDescent="0.2">
      <c r="A71" s="20">
        <v>2</v>
      </c>
      <c r="B71" s="21" t="s">
        <v>65</v>
      </c>
      <c r="C71" s="22">
        <v>24355000</v>
      </c>
      <c r="D71" s="22">
        <v>24417000</v>
      </c>
      <c r="E71" s="22">
        <f>D71-C71</f>
        <v>62000</v>
      </c>
      <c r="F71" s="23">
        <f>IF(C71=0,0,E71/C71)</f>
        <v>2.5456785054403614E-3</v>
      </c>
    </row>
    <row r="72" spans="1:6" ht="24" customHeight="1" x14ac:dyDescent="0.2">
      <c r="A72" s="20">
        <v>3</v>
      </c>
      <c r="B72" s="21" t="s">
        <v>66</v>
      </c>
      <c r="C72" s="22">
        <v>57319000</v>
      </c>
      <c r="D72" s="22">
        <v>53179000</v>
      </c>
      <c r="E72" s="22">
        <f>D72-C72</f>
        <v>-4140000</v>
      </c>
      <c r="F72" s="23">
        <f>IF(C72=0,0,E72/C72)</f>
        <v>-7.2227359165372734E-2</v>
      </c>
    </row>
    <row r="73" spans="1:6" ht="24" customHeight="1" x14ac:dyDescent="0.25">
      <c r="A73" s="20"/>
      <c r="B73" s="25" t="s">
        <v>67</v>
      </c>
      <c r="C73" s="26">
        <f>SUM(C70:C72)</f>
        <v>181694000</v>
      </c>
      <c r="D73" s="26">
        <f>SUM(D70:D72)</f>
        <v>129938000</v>
      </c>
      <c r="E73" s="26">
        <f>D73-C73</f>
        <v>-51756000</v>
      </c>
      <c r="F73" s="27">
        <f>IF(C73=0,0,E73/C73)</f>
        <v>-0.28485255429458323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780166000</v>
      </c>
      <c r="D75" s="26">
        <f>D56+D65+D67+D73</f>
        <v>749033000</v>
      </c>
      <c r="E75" s="26">
        <f>D75-C75</f>
        <v>-31133000</v>
      </c>
      <c r="F75" s="27">
        <f>IF(C75=0,0,E75/C75)</f>
        <v>-3.9905609831753758E-2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734852000</v>
      </c>
      <c r="D11" s="76">
        <v>756781000</v>
      </c>
      <c r="E11" s="76">
        <v>772752000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49283000</v>
      </c>
      <c r="D12" s="185">
        <v>48441000</v>
      </c>
      <c r="E12" s="185">
        <v>49214000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784135000</v>
      </c>
      <c r="D13" s="76">
        <f>+D11+D12</f>
        <v>805222000</v>
      </c>
      <c r="E13" s="76">
        <f>+E11+E12</f>
        <v>821966000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775909000</v>
      </c>
      <c r="D14" s="185">
        <v>793699000</v>
      </c>
      <c r="E14" s="185">
        <v>815994000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8226000</v>
      </c>
      <c r="D15" s="76">
        <f>+D13-D14</f>
        <v>11523000</v>
      </c>
      <c r="E15" s="76">
        <f>+E13-E14</f>
        <v>5972000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24517000</v>
      </c>
      <c r="D16" s="185">
        <v>1201000</v>
      </c>
      <c r="E16" s="185">
        <v>-20063000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32743000</v>
      </c>
      <c r="D17" s="76">
        <f>D15+D16</f>
        <v>12724000</v>
      </c>
      <c r="E17" s="76">
        <f>E15+E16</f>
        <v>-14091000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1.0172484579275139E-2</v>
      </c>
      <c r="D20" s="189">
        <f>IF(+D27=0,0,+D24/+D27)</f>
        <v>1.4289026974677061E-2</v>
      </c>
      <c r="E20" s="189">
        <f>IF(+E27=0,0,+E24/+E27)</f>
        <v>7.4472847713501506E-3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3.0318356969376195E-2</v>
      </c>
      <c r="D21" s="189">
        <f>IF(+D27=0,0,+D26/+D27)</f>
        <v>1.4892928401099672E-3</v>
      </c>
      <c r="E21" s="189">
        <f>IF(+E27=0,0,+E26/+E27)</f>
        <v>-2.5019235493569672E-2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4.0490841548651332E-2</v>
      </c>
      <c r="D22" s="189">
        <f>IF(+D27=0,0,+D28/+D27)</f>
        <v>1.5778319814787028E-2</v>
      </c>
      <c r="E22" s="189">
        <f>IF(+E27=0,0,+E28/+E27)</f>
        <v>-1.757195072221952E-2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8226000</v>
      </c>
      <c r="D24" s="76">
        <f>+D15</f>
        <v>11523000</v>
      </c>
      <c r="E24" s="76">
        <f>+E15</f>
        <v>5972000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784135000</v>
      </c>
      <c r="D25" s="76">
        <f>+D13</f>
        <v>805222000</v>
      </c>
      <c r="E25" s="76">
        <f>+E13</f>
        <v>821966000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24517000</v>
      </c>
      <c r="D26" s="76">
        <f>+D16</f>
        <v>1201000</v>
      </c>
      <c r="E26" s="76">
        <f>+E16</f>
        <v>-20063000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808652000</v>
      </c>
      <c r="D27" s="76">
        <f>SUM(D25:D26)</f>
        <v>806423000</v>
      </c>
      <c r="E27" s="76">
        <f>SUM(E25:E26)</f>
        <v>801903000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32743000</v>
      </c>
      <c r="D28" s="76">
        <f>+D17</f>
        <v>12724000</v>
      </c>
      <c r="E28" s="76">
        <f>+E17</f>
        <v>-14091000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178467000</v>
      </c>
      <c r="D31" s="76">
        <v>137311000</v>
      </c>
      <c r="E31" s="76">
        <v>101295000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260573000</v>
      </c>
      <c r="D32" s="76">
        <v>220721000</v>
      </c>
      <c r="E32" s="76">
        <v>180654000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116415000</v>
      </c>
      <c r="D33" s="76">
        <f>+D32-C32</f>
        <v>-39852000</v>
      </c>
      <c r="E33" s="76">
        <f>+E32-D32</f>
        <v>-40067000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1.8075000000000001</v>
      </c>
      <c r="D34" s="193">
        <f>IF(C32=0,0,+D33/C32)</f>
        <v>-0.15293986713895913</v>
      </c>
      <c r="E34" s="193">
        <f>IF(D32=0,0,+E33/D32)</f>
        <v>-0.18152781112807573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2.1886598303942093</v>
      </c>
      <c r="D38" s="338">
        <f>IF(+D40=0,0,+D39/+D40)</f>
        <v>2.054057917395399</v>
      </c>
      <c r="E38" s="338">
        <f>IF(+E40=0,0,+E39/+E40)</f>
        <v>1.9786314663094353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246732000</v>
      </c>
      <c r="D39" s="341">
        <v>244285000</v>
      </c>
      <c r="E39" s="341">
        <v>242230000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112732000</v>
      </c>
      <c r="D40" s="341">
        <v>118928000</v>
      </c>
      <c r="E40" s="341">
        <v>122423000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73.184579856488853</v>
      </c>
      <c r="D42" s="343">
        <f>IF((D48/365)=0,0,+D45/(D48/365))</f>
        <v>65.386021920795116</v>
      </c>
      <c r="E42" s="343">
        <f>IF((E48/365)=0,0,+E45/(E48/365))</f>
        <v>63.740928097199792</v>
      </c>
    </row>
    <row r="43" spans="1:14" ht="24" customHeight="1" x14ac:dyDescent="0.2">
      <c r="A43" s="339">
        <v>5</v>
      </c>
      <c r="B43" s="344" t="s">
        <v>16</v>
      </c>
      <c r="C43" s="345">
        <v>97524000</v>
      </c>
      <c r="D43" s="345">
        <v>93155000</v>
      </c>
      <c r="E43" s="345">
        <v>102071000</v>
      </c>
    </row>
    <row r="44" spans="1:14" ht="24" customHeight="1" x14ac:dyDescent="0.2">
      <c r="A44" s="339">
        <v>6</v>
      </c>
      <c r="B44" s="346" t="s">
        <v>17</v>
      </c>
      <c r="C44" s="345">
        <v>50685000</v>
      </c>
      <c r="D44" s="345">
        <v>42241000</v>
      </c>
      <c r="E44" s="345">
        <v>33496000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148209000</v>
      </c>
      <c r="D45" s="341">
        <f>+D43+D44</f>
        <v>135396000</v>
      </c>
      <c r="E45" s="341">
        <f>+E43+E44</f>
        <v>135567000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775909000</v>
      </c>
      <c r="D46" s="341">
        <f>+D14</f>
        <v>793699000</v>
      </c>
      <c r="E46" s="341">
        <f>+E14</f>
        <v>815994000</v>
      </c>
    </row>
    <row r="47" spans="1:14" ht="24" customHeight="1" x14ac:dyDescent="0.2">
      <c r="A47" s="339">
        <v>9</v>
      </c>
      <c r="B47" s="340" t="s">
        <v>356</v>
      </c>
      <c r="C47" s="341">
        <v>36733000</v>
      </c>
      <c r="D47" s="341">
        <v>37887000</v>
      </c>
      <c r="E47" s="341">
        <v>39696000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739176000</v>
      </c>
      <c r="D48" s="341">
        <f>+D46-D47</f>
        <v>755812000</v>
      </c>
      <c r="E48" s="341">
        <f>+E46-E47</f>
        <v>776298000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29.245616804472192</v>
      </c>
      <c r="D50" s="350">
        <f>IF((D55/365)=0,0,+D54/(D55/365))</f>
        <v>33.33891839250721</v>
      </c>
      <c r="E50" s="350">
        <f>IF((E55/365)=0,0,+E54/(E55/365))</f>
        <v>30.142238389548005</v>
      </c>
    </row>
    <row r="51" spans="1:5" ht="24" customHeight="1" x14ac:dyDescent="0.2">
      <c r="A51" s="339">
        <v>12</v>
      </c>
      <c r="B51" s="344" t="s">
        <v>359</v>
      </c>
      <c r="C51" s="351">
        <v>72901000</v>
      </c>
      <c r="D51" s="351">
        <v>84904000</v>
      </c>
      <c r="E51" s="351">
        <v>77445000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14021000</v>
      </c>
      <c r="D53" s="341">
        <v>15780000</v>
      </c>
      <c r="E53" s="341">
        <v>13630000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58880000</v>
      </c>
      <c r="D54" s="352">
        <f>+D51+D52-D53</f>
        <v>69124000</v>
      </c>
      <c r="E54" s="352">
        <f>+E51+E52-E53</f>
        <v>63815000</v>
      </c>
    </row>
    <row r="55" spans="1:5" ht="24" customHeight="1" x14ac:dyDescent="0.2">
      <c r="A55" s="339">
        <v>16</v>
      </c>
      <c r="B55" s="340" t="s">
        <v>75</v>
      </c>
      <c r="C55" s="341">
        <f>+C11</f>
        <v>734852000</v>
      </c>
      <c r="D55" s="341">
        <f>+D11</f>
        <v>756781000</v>
      </c>
      <c r="E55" s="341">
        <f>+E11</f>
        <v>772752000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55.666282455058067</v>
      </c>
      <c r="D57" s="355">
        <f>IF((D61/365)=0,0,+D58/(D61/365))</f>
        <v>57.433224135102378</v>
      </c>
      <c r="E57" s="355">
        <f>IF((E61/365)=0,0,+E58/(E61/365))</f>
        <v>57.560878683186104</v>
      </c>
    </row>
    <row r="58" spans="1:5" ht="24" customHeight="1" x14ac:dyDescent="0.2">
      <c r="A58" s="339">
        <v>18</v>
      </c>
      <c r="B58" s="340" t="s">
        <v>54</v>
      </c>
      <c r="C58" s="353">
        <f>+C40</f>
        <v>112732000</v>
      </c>
      <c r="D58" s="353">
        <f>+D40</f>
        <v>118928000</v>
      </c>
      <c r="E58" s="353">
        <f>+E40</f>
        <v>122423000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775909000</v>
      </c>
      <c r="D59" s="353">
        <f t="shared" si="0"/>
        <v>793699000</v>
      </c>
      <c r="E59" s="353">
        <f t="shared" si="0"/>
        <v>815994000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36733000</v>
      </c>
      <c r="D60" s="356">
        <f t="shared" si="0"/>
        <v>37887000</v>
      </c>
      <c r="E60" s="356">
        <f t="shared" si="0"/>
        <v>39696000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739176000</v>
      </c>
      <c r="D61" s="353">
        <f>+D59-D60</f>
        <v>755812000</v>
      </c>
      <c r="E61" s="353">
        <f>+E59-E60</f>
        <v>776298000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30.456461798660289</v>
      </c>
      <c r="D65" s="357">
        <f>IF(D67=0,0,(D66/D67)*100)</f>
        <v>25.174648905799657</v>
      </c>
      <c r="E65" s="357">
        <f>IF(E67=0,0,(E66/E67)*100)</f>
        <v>20.808189940646425</v>
      </c>
    </row>
    <row r="66" spans="1:5" ht="24" customHeight="1" x14ac:dyDescent="0.2">
      <c r="A66" s="339">
        <v>2</v>
      </c>
      <c r="B66" s="340" t="s">
        <v>67</v>
      </c>
      <c r="C66" s="353">
        <f>+C32</f>
        <v>260573000</v>
      </c>
      <c r="D66" s="353">
        <f>+D32</f>
        <v>220721000</v>
      </c>
      <c r="E66" s="353">
        <f>+E32</f>
        <v>180654000</v>
      </c>
    </row>
    <row r="67" spans="1:5" ht="24" customHeight="1" x14ac:dyDescent="0.2">
      <c r="A67" s="339">
        <v>3</v>
      </c>
      <c r="B67" s="340" t="s">
        <v>43</v>
      </c>
      <c r="C67" s="353">
        <v>855559000</v>
      </c>
      <c r="D67" s="353">
        <v>876759000</v>
      </c>
      <c r="E67" s="353">
        <v>868187000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18.708077410877053</v>
      </c>
      <c r="D69" s="357">
        <f>IF(D75=0,0,(D72/D75)*100)</f>
        <v>13.663729333376528</v>
      </c>
      <c r="E69" s="357">
        <f>IF(E75=0,0,(E72/E75)*100)</f>
        <v>6.984889941267455</v>
      </c>
    </row>
    <row r="70" spans="1:5" ht="24" customHeight="1" x14ac:dyDescent="0.2">
      <c r="A70" s="339">
        <v>5</v>
      </c>
      <c r="B70" s="340" t="s">
        <v>366</v>
      </c>
      <c r="C70" s="353">
        <f>+C28</f>
        <v>32743000</v>
      </c>
      <c r="D70" s="353">
        <f>+D28</f>
        <v>12724000</v>
      </c>
      <c r="E70" s="353">
        <f>+E28</f>
        <v>-14091000</v>
      </c>
    </row>
    <row r="71" spans="1:5" ht="24" customHeight="1" x14ac:dyDescent="0.2">
      <c r="A71" s="339">
        <v>6</v>
      </c>
      <c r="B71" s="340" t="s">
        <v>356</v>
      </c>
      <c r="C71" s="356">
        <f>+C47</f>
        <v>36733000</v>
      </c>
      <c r="D71" s="356">
        <f>+D47</f>
        <v>37887000</v>
      </c>
      <c r="E71" s="356">
        <f>+E47</f>
        <v>39696000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69476000</v>
      </c>
      <c r="D72" s="353">
        <f>+D70+D71</f>
        <v>50611000</v>
      </c>
      <c r="E72" s="353">
        <f>+E70+E71</f>
        <v>25605000</v>
      </c>
    </row>
    <row r="73" spans="1:5" ht="24" customHeight="1" x14ac:dyDescent="0.2">
      <c r="A73" s="339">
        <v>8</v>
      </c>
      <c r="B73" s="340" t="s">
        <v>54</v>
      </c>
      <c r="C73" s="341">
        <f>+C40</f>
        <v>112732000</v>
      </c>
      <c r="D73" s="341">
        <f>+D40</f>
        <v>118928000</v>
      </c>
      <c r="E73" s="341">
        <f>+E40</f>
        <v>122423000</v>
      </c>
    </row>
    <row r="74" spans="1:5" ht="24" customHeight="1" x14ac:dyDescent="0.2">
      <c r="A74" s="339">
        <v>9</v>
      </c>
      <c r="B74" s="340" t="s">
        <v>58</v>
      </c>
      <c r="C74" s="353">
        <v>258637000</v>
      </c>
      <c r="D74" s="353">
        <v>251476000</v>
      </c>
      <c r="E74" s="353">
        <v>244154000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371369000</v>
      </c>
      <c r="D75" s="341">
        <f>+D73+D74</f>
        <v>370404000</v>
      </c>
      <c r="E75" s="341">
        <f>+E73+E74</f>
        <v>366577000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49.813562912886887</v>
      </c>
      <c r="D77" s="359">
        <f>IF(D80=0,0,(D78/D80)*100)</f>
        <v>53.256585704695283</v>
      </c>
      <c r="E77" s="359">
        <f>IF(E80=0,0,(E78/E80)*100)</f>
        <v>57.473964708762551</v>
      </c>
    </row>
    <row r="78" spans="1:5" ht="24" customHeight="1" x14ac:dyDescent="0.2">
      <c r="A78" s="339">
        <v>12</v>
      </c>
      <c r="B78" s="340" t="s">
        <v>58</v>
      </c>
      <c r="C78" s="341">
        <f>+C74</f>
        <v>258637000</v>
      </c>
      <c r="D78" s="341">
        <f>+D74</f>
        <v>251476000</v>
      </c>
      <c r="E78" s="341">
        <f>+E74</f>
        <v>244154000</v>
      </c>
    </row>
    <row r="79" spans="1:5" ht="24" customHeight="1" x14ac:dyDescent="0.2">
      <c r="A79" s="339">
        <v>13</v>
      </c>
      <c r="B79" s="340" t="s">
        <v>67</v>
      </c>
      <c r="C79" s="341">
        <f>+C32</f>
        <v>260573000</v>
      </c>
      <c r="D79" s="341">
        <f>+D32</f>
        <v>220721000</v>
      </c>
      <c r="E79" s="341">
        <f>+E32</f>
        <v>180654000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519210000</v>
      </c>
      <c r="D80" s="341">
        <f>+D78+D79</f>
        <v>472197000</v>
      </c>
      <c r="E80" s="341">
        <f>+E78+E79</f>
        <v>424808000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FILING&amp;R&amp;8TRINITY HEALTH - NEW ENGLAND, INC. (FORMERLY SAINT FRANCIS CARE, INC.)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107176</v>
      </c>
      <c r="D11" s="376">
        <v>23950</v>
      </c>
      <c r="E11" s="376">
        <v>24271</v>
      </c>
      <c r="F11" s="377">
        <v>398</v>
      </c>
      <c r="G11" s="377">
        <v>398</v>
      </c>
      <c r="H11" s="378">
        <f>IF(F11=0,0,$C11/(F11*365))</f>
        <v>0.73777104701590146</v>
      </c>
      <c r="I11" s="378">
        <f>IF(G11=0,0,$C11/(G11*365))</f>
        <v>0.73777104701590146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10803</v>
      </c>
      <c r="D13" s="376">
        <v>402</v>
      </c>
      <c r="E13" s="376">
        <v>0</v>
      </c>
      <c r="F13" s="377">
        <v>42</v>
      </c>
      <c r="G13" s="377">
        <v>42</v>
      </c>
      <c r="H13" s="378">
        <f>IF(F13=0,0,$C13/(F13*365))</f>
        <v>0.70469667318982387</v>
      </c>
      <c r="I13" s="378">
        <f>IF(G13=0,0,$C13/(G13*365))</f>
        <v>0.70469667318982387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4160</v>
      </c>
      <c r="D15" s="376">
        <v>387</v>
      </c>
      <c r="E15" s="376">
        <v>392</v>
      </c>
      <c r="F15" s="377">
        <v>23</v>
      </c>
      <c r="G15" s="377">
        <v>23</v>
      </c>
      <c r="H15" s="378">
        <f t="shared" ref="H15:I17" si="0">IF(F15=0,0,$C15/(F15*365))</f>
        <v>0.49553305539011316</v>
      </c>
      <c r="I15" s="378">
        <f t="shared" si="0"/>
        <v>0.49553305539011316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10578</v>
      </c>
      <c r="D16" s="376">
        <v>1574</v>
      </c>
      <c r="E16" s="376">
        <v>1568</v>
      </c>
      <c r="F16" s="377">
        <v>60</v>
      </c>
      <c r="G16" s="377">
        <v>60</v>
      </c>
      <c r="H16" s="378">
        <f t="shared" si="0"/>
        <v>0.48301369863013699</v>
      </c>
      <c r="I16" s="378">
        <f t="shared" si="0"/>
        <v>0.48301369863013699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14738</v>
      </c>
      <c r="D17" s="381">
        <f>SUM(D15:D16)</f>
        <v>1961</v>
      </c>
      <c r="E17" s="381">
        <f>SUM(E15:E16)</f>
        <v>1960</v>
      </c>
      <c r="F17" s="381">
        <f>SUM(F15:F16)</f>
        <v>83</v>
      </c>
      <c r="G17" s="381">
        <f>SUM(G15:G16)</f>
        <v>83</v>
      </c>
      <c r="H17" s="382">
        <f t="shared" si="0"/>
        <v>0.48648291797326293</v>
      </c>
      <c r="I17" s="382">
        <f t="shared" si="0"/>
        <v>0.48648291797326293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8731</v>
      </c>
      <c r="D21" s="376">
        <v>2910</v>
      </c>
      <c r="E21" s="376">
        <v>2820</v>
      </c>
      <c r="F21" s="377">
        <v>30</v>
      </c>
      <c r="G21" s="377">
        <v>30</v>
      </c>
      <c r="H21" s="378">
        <f>IF(F21=0,0,$C21/(F21*365))</f>
        <v>0.79735159817351597</v>
      </c>
      <c r="I21" s="378">
        <f>IF(G21=0,0,$C21/(G21*365))</f>
        <v>0.79735159817351597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5974</v>
      </c>
      <c r="D23" s="376">
        <v>2535</v>
      </c>
      <c r="E23" s="376">
        <v>2534</v>
      </c>
      <c r="F23" s="377">
        <v>26</v>
      </c>
      <c r="G23" s="377">
        <v>26</v>
      </c>
      <c r="H23" s="378">
        <f>IF(F23=0,0,$C23/(F23*365))</f>
        <v>0.62950474183350891</v>
      </c>
      <c r="I23" s="378">
        <f>IF(G23=0,0,$C23/(G23*365))</f>
        <v>0.62950474183350891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5068</v>
      </c>
      <c r="D25" s="376">
        <v>276</v>
      </c>
      <c r="E25" s="376">
        <v>0</v>
      </c>
      <c r="F25" s="377">
        <v>28</v>
      </c>
      <c r="G25" s="377">
        <v>28</v>
      </c>
      <c r="H25" s="378">
        <f>IF(F25=0,0,$C25/(F25*365))</f>
        <v>0.49589041095890413</v>
      </c>
      <c r="I25" s="378">
        <f>IF(G25=0,0,$C25/(G25*365))</f>
        <v>0.49589041095890413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146516</v>
      </c>
      <c r="D31" s="384">
        <f>SUM(D10:D29)-D13-D17-D23</f>
        <v>29097</v>
      </c>
      <c r="E31" s="384">
        <f>SUM(E10:E29)-E17-E23</f>
        <v>29051</v>
      </c>
      <c r="F31" s="384">
        <f>SUM(F10:F29)-F17-F23</f>
        <v>581</v>
      </c>
      <c r="G31" s="384">
        <f>SUM(G10:G29)-G17-G23</f>
        <v>581</v>
      </c>
      <c r="H31" s="385">
        <f>IF(F31=0,0,$C31/(F31*365))</f>
        <v>0.69090137457854905</v>
      </c>
      <c r="I31" s="385">
        <f>IF(G31=0,0,$C31/(G31*365))</f>
        <v>0.69090137457854905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152490</v>
      </c>
      <c r="D33" s="384">
        <f>SUM(D10:D29)-D13-D17</f>
        <v>31632</v>
      </c>
      <c r="E33" s="384">
        <f>SUM(E10:E29)-E17</f>
        <v>31585</v>
      </c>
      <c r="F33" s="384">
        <f>SUM(F10:F29)-F17</f>
        <v>607</v>
      </c>
      <c r="G33" s="384">
        <f>SUM(G10:G29)-G17</f>
        <v>607</v>
      </c>
      <c r="H33" s="385">
        <f>IF(F33=0,0,$C33/(F33*365))</f>
        <v>0.68827153528469232</v>
      </c>
      <c r="I33" s="385">
        <f>IF(G33=0,0,$C33/(G33*365))</f>
        <v>0.68827153528469232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152490</v>
      </c>
      <c r="D36" s="384">
        <f t="shared" si="1"/>
        <v>31632</v>
      </c>
      <c r="E36" s="384">
        <f t="shared" si="1"/>
        <v>31585</v>
      </c>
      <c r="F36" s="384">
        <f t="shared" si="1"/>
        <v>607</v>
      </c>
      <c r="G36" s="384">
        <f t="shared" si="1"/>
        <v>607</v>
      </c>
      <c r="H36" s="387">
        <f t="shared" si="1"/>
        <v>0.68827153528469232</v>
      </c>
      <c r="I36" s="387">
        <f t="shared" si="1"/>
        <v>0.68827153528469232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151867</v>
      </c>
      <c r="D37" s="384">
        <v>31234</v>
      </c>
      <c r="E37" s="384">
        <v>28929</v>
      </c>
      <c r="F37" s="386">
        <v>595</v>
      </c>
      <c r="G37" s="386">
        <v>595</v>
      </c>
      <c r="H37" s="385">
        <f>IF(F37=0,0,$C37/(F37*365))</f>
        <v>0.69928398756762977</v>
      </c>
      <c r="I37" s="385">
        <f>IF(G37=0,0,$C37/(G37*365))</f>
        <v>0.69928398756762977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623</v>
      </c>
      <c r="D38" s="384">
        <f t="shared" si="2"/>
        <v>398</v>
      </c>
      <c r="E38" s="384">
        <f t="shared" si="2"/>
        <v>2656</v>
      </c>
      <c r="F38" s="384">
        <f t="shared" si="2"/>
        <v>12</v>
      </c>
      <c r="G38" s="384">
        <f t="shared" si="2"/>
        <v>12</v>
      </c>
      <c r="H38" s="387">
        <f t="shared" si="2"/>
        <v>-1.1012452282937457E-2</v>
      </c>
      <c r="I38" s="387">
        <f t="shared" si="2"/>
        <v>-1.1012452282937457E-2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4.1022737000138282E-3</v>
      </c>
      <c r="D40" s="389">
        <f t="shared" si="3"/>
        <v>1.2742524172376257E-2</v>
      </c>
      <c r="E40" s="389">
        <f t="shared" si="3"/>
        <v>9.181098551626396E-2</v>
      </c>
      <c r="F40" s="389">
        <f t="shared" si="3"/>
        <v>2.0168067226890758E-2</v>
      </c>
      <c r="G40" s="389">
        <f t="shared" si="3"/>
        <v>2.0168067226890758E-2</v>
      </c>
      <c r="H40" s="389">
        <f t="shared" si="3"/>
        <v>-1.5748183111189015E-2</v>
      </c>
      <c r="I40" s="389">
        <f t="shared" si="3"/>
        <v>-1.5748183111189015E-2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682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FILING&amp;RSAINT FRANCIS HOSPITAL AND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18714</v>
      </c>
      <c r="D12" s="409">
        <v>18952</v>
      </c>
      <c r="E12" s="409">
        <f>+D12-C12</f>
        <v>238</v>
      </c>
      <c r="F12" s="410">
        <f>IF(C12=0,0,+E12/C12)</f>
        <v>1.2717751416052154E-2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9886</v>
      </c>
      <c r="D13" s="409">
        <v>10131</v>
      </c>
      <c r="E13" s="409">
        <f>+D13-C13</f>
        <v>245</v>
      </c>
      <c r="F13" s="410">
        <f>IF(C13=0,0,+E13/C13)</f>
        <v>2.4782520736394902E-2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12985</v>
      </c>
      <c r="D14" s="409">
        <v>13249</v>
      </c>
      <c r="E14" s="409">
        <f>+D14-C14</f>
        <v>264</v>
      </c>
      <c r="F14" s="410">
        <f>IF(C14=0,0,+E14/C14)</f>
        <v>2.033115132845591E-2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41585</v>
      </c>
      <c r="D16" s="401">
        <f>SUM(D12:D15)</f>
        <v>42332</v>
      </c>
      <c r="E16" s="401">
        <f>+D16-C16</f>
        <v>747</v>
      </c>
      <c r="F16" s="402">
        <f>IF(C16=0,0,+E16/C16)</f>
        <v>1.796320788745942E-2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4739</v>
      </c>
      <c r="D19" s="409">
        <v>4585</v>
      </c>
      <c r="E19" s="409">
        <f>+D19-C19</f>
        <v>-154</v>
      </c>
      <c r="F19" s="410">
        <f>IF(C19=0,0,+E19/C19)</f>
        <v>-3.2496307237813882E-2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8909</v>
      </c>
      <c r="D20" s="409">
        <v>8626</v>
      </c>
      <c r="E20" s="409">
        <f>+D20-C20</f>
        <v>-283</v>
      </c>
      <c r="F20" s="410">
        <f>IF(C20=0,0,+E20/C20)</f>
        <v>-3.1765630261533284E-2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594</v>
      </c>
      <c r="D21" s="409">
        <v>558</v>
      </c>
      <c r="E21" s="409">
        <f>+D21-C21</f>
        <v>-36</v>
      </c>
      <c r="F21" s="410">
        <f>IF(C21=0,0,+E21/C21)</f>
        <v>-6.0606060606060608E-2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14242</v>
      </c>
      <c r="D23" s="401">
        <f>SUM(D19:D22)</f>
        <v>13769</v>
      </c>
      <c r="E23" s="401">
        <f>+D23-C23</f>
        <v>-473</v>
      </c>
      <c r="F23" s="402">
        <f>IF(C23=0,0,+E23/C23)</f>
        <v>-3.321162758039601E-2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80</v>
      </c>
      <c r="D33" s="409">
        <v>95</v>
      </c>
      <c r="E33" s="409">
        <f>+D33-C33</f>
        <v>15</v>
      </c>
      <c r="F33" s="410">
        <f>IF(C33=0,0,+E33/C33)</f>
        <v>0.1875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1135</v>
      </c>
      <c r="D34" s="409">
        <v>1197</v>
      </c>
      <c r="E34" s="409">
        <f>+D34-C34</f>
        <v>62</v>
      </c>
      <c r="F34" s="410">
        <f>IF(C34=0,0,+E34/C34)</f>
        <v>5.462555066079295E-2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1215</v>
      </c>
      <c r="D37" s="401">
        <f>SUM(D33:D36)</f>
        <v>1292</v>
      </c>
      <c r="E37" s="401">
        <f>+D37-C37</f>
        <v>77</v>
      </c>
      <c r="F37" s="402">
        <f>IF(C37=0,0,+E37/C37)</f>
        <v>6.3374485596707816E-2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790</v>
      </c>
      <c r="D43" s="409">
        <v>812</v>
      </c>
      <c r="E43" s="409">
        <f>+D43-C43</f>
        <v>22</v>
      </c>
      <c r="F43" s="410">
        <f>IF(C43=0,0,+E43/C43)</f>
        <v>2.7848101265822784E-2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17623</v>
      </c>
      <c r="D44" s="409">
        <v>14955</v>
      </c>
      <c r="E44" s="409">
        <f>+D44-C44</f>
        <v>-2668</v>
      </c>
      <c r="F44" s="410">
        <f>IF(C44=0,0,+E44/C44)</f>
        <v>-0.15139306587981616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18413</v>
      </c>
      <c r="D45" s="401">
        <f>SUM(D43:D44)</f>
        <v>15767</v>
      </c>
      <c r="E45" s="401">
        <f>+D45-C45</f>
        <v>-2646</v>
      </c>
      <c r="F45" s="402">
        <f>IF(C45=0,0,+E45/C45)</f>
        <v>-0.14370281866072884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1310</v>
      </c>
      <c r="D48" s="409">
        <v>1118</v>
      </c>
      <c r="E48" s="409">
        <f>+D48-C48</f>
        <v>-192</v>
      </c>
      <c r="F48" s="410">
        <f>IF(C48=0,0,+E48/C48)</f>
        <v>-0.14656488549618321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1337</v>
      </c>
      <c r="D49" s="409">
        <v>1240</v>
      </c>
      <c r="E49" s="409">
        <f>+D49-C49</f>
        <v>-97</v>
      </c>
      <c r="F49" s="410">
        <f>IF(C49=0,0,+E49/C49)</f>
        <v>-7.2550486163051611E-2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2647</v>
      </c>
      <c r="D50" s="401">
        <f>SUM(D48:D49)</f>
        <v>2358</v>
      </c>
      <c r="E50" s="401">
        <f>+D50-C50</f>
        <v>-289</v>
      </c>
      <c r="F50" s="402">
        <f>IF(C50=0,0,+E50/C50)</f>
        <v>-0.10918020400453343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404</v>
      </c>
      <c r="D53" s="409">
        <v>368</v>
      </c>
      <c r="E53" s="409">
        <f>+D53-C53</f>
        <v>-36</v>
      </c>
      <c r="F53" s="410">
        <f>IF(C53=0,0,+E53/C53)</f>
        <v>-8.9108910891089105E-2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455</v>
      </c>
      <c r="D54" s="409">
        <v>432</v>
      </c>
      <c r="E54" s="409">
        <f>+D54-C54</f>
        <v>-23</v>
      </c>
      <c r="F54" s="410">
        <f>IF(C54=0,0,+E54/C54)</f>
        <v>-5.054945054945055E-2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859</v>
      </c>
      <c r="D55" s="401">
        <f>SUM(D53:D54)</f>
        <v>800</v>
      </c>
      <c r="E55" s="401">
        <f>+D55-C55</f>
        <v>-59</v>
      </c>
      <c r="F55" s="402">
        <f>IF(C55=0,0,+E55/C55)</f>
        <v>-6.8684516880093138E-2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298</v>
      </c>
      <c r="D58" s="409">
        <v>292</v>
      </c>
      <c r="E58" s="409">
        <f>+D58-C58</f>
        <v>-6</v>
      </c>
      <c r="F58" s="410">
        <f>IF(C58=0,0,+E58/C58)</f>
        <v>-2.0134228187919462E-2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326</v>
      </c>
      <c r="D59" s="409">
        <v>345</v>
      </c>
      <c r="E59" s="409">
        <f>+D59-C59</f>
        <v>19</v>
      </c>
      <c r="F59" s="410">
        <f>IF(C59=0,0,+E59/C59)</f>
        <v>5.8282208588957052E-2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624</v>
      </c>
      <c r="D60" s="401">
        <f>SUM(D58:D59)</f>
        <v>637</v>
      </c>
      <c r="E60" s="401">
        <f>SUM(E58:E59)</f>
        <v>13</v>
      </c>
      <c r="F60" s="402">
        <f>IF(C60=0,0,+E60/C60)</f>
        <v>2.0833333333333332E-2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9987</v>
      </c>
      <c r="D63" s="409">
        <v>10165</v>
      </c>
      <c r="E63" s="409">
        <f>+D63-C63</f>
        <v>178</v>
      </c>
      <c r="F63" s="410">
        <f>IF(C63=0,0,+E63/C63)</f>
        <v>1.7823170121157503E-2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16695</v>
      </c>
      <c r="D64" s="409">
        <v>16080</v>
      </c>
      <c r="E64" s="409">
        <f>+D64-C64</f>
        <v>-615</v>
      </c>
      <c r="F64" s="410">
        <f>IF(C64=0,0,+E64/C64)</f>
        <v>-3.6837376460017966E-2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26682</v>
      </c>
      <c r="D65" s="401">
        <f>SUM(D63:D64)</f>
        <v>26245</v>
      </c>
      <c r="E65" s="401">
        <f>+D65-C65</f>
        <v>-437</v>
      </c>
      <c r="F65" s="402">
        <f>IF(C65=0,0,+E65/C65)</f>
        <v>-1.637808260250356E-2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1644</v>
      </c>
      <c r="D68" s="409">
        <v>1556</v>
      </c>
      <c r="E68" s="409">
        <f>+D68-C68</f>
        <v>-88</v>
      </c>
      <c r="F68" s="410">
        <f>IF(C68=0,0,+E68/C68)</f>
        <v>-5.3527980535279802E-2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6168</v>
      </c>
      <c r="D69" s="409">
        <v>5418</v>
      </c>
      <c r="E69" s="409">
        <f>+D69-C69</f>
        <v>-750</v>
      </c>
      <c r="F69" s="412">
        <f>IF(C69=0,0,+E69/C69)</f>
        <v>-0.12159533073929961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7812</v>
      </c>
      <c r="D70" s="401">
        <f>SUM(D68:D69)</f>
        <v>6974</v>
      </c>
      <c r="E70" s="401">
        <f>+D70-C70</f>
        <v>-838</v>
      </c>
      <c r="F70" s="402">
        <f>IF(C70=0,0,+E70/C70)</f>
        <v>-0.10727086533538147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17605</v>
      </c>
      <c r="D73" s="376">
        <v>18352</v>
      </c>
      <c r="E73" s="409">
        <f>+D73-C73</f>
        <v>747</v>
      </c>
      <c r="F73" s="410">
        <f>IF(C73=0,0,+E73/C73)</f>
        <v>4.2431127520590743E-2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65315</v>
      </c>
      <c r="D74" s="376">
        <v>65364</v>
      </c>
      <c r="E74" s="409">
        <f>+D74-C74</f>
        <v>49</v>
      </c>
      <c r="F74" s="410">
        <f>IF(C74=0,0,+E74/C74)</f>
        <v>7.5021051825767437E-4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82920</v>
      </c>
      <c r="D75" s="401">
        <f>SUM(D73:D74)</f>
        <v>83716</v>
      </c>
      <c r="E75" s="401">
        <f>SUM(E73:E74)</f>
        <v>796</v>
      </c>
      <c r="F75" s="402">
        <f>IF(C75=0,0,+E75/C75)</f>
        <v>9.5996140858658954E-3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15754</v>
      </c>
      <c r="D83" s="376">
        <v>9490</v>
      </c>
      <c r="E83" s="409">
        <f t="shared" si="0"/>
        <v>-6264</v>
      </c>
      <c r="F83" s="410">
        <f t="shared" si="1"/>
        <v>-0.39761330455757266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16377</v>
      </c>
      <c r="D85" s="376">
        <v>15536</v>
      </c>
      <c r="E85" s="409">
        <f t="shared" si="0"/>
        <v>-841</v>
      </c>
      <c r="F85" s="410">
        <f t="shared" si="1"/>
        <v>-5.1352506564083779E-2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21</v>
      </c>
      <c r="D86" s="376">
        <v>24</v>
      </c>
      <c r="E86" s="409">
        <f t="shared" si="0"/>
        <v>3</v>
      </c>
      <c r="F86" s="410">
        <f t="shared" si="1"/>
        <v>0.14285714285714285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1421</v>
      </c>
      <c r="D88" s="376">
        <v>1864</v>
      </c>
      <c r="E88" s="409">
        <f t="shared" si="0"/>
        <v>443</v>
      </c>
      <c r="F88" s="410">
        <f t="shared" si="1"/>
        <v>0.31175228712174524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1730</v>
      </c>
      <c r="D89" s="376">
        <v>1244</v>
      </c>
      <c r="E89" s="409">
        <f t="shared" si="0"/>
        <v>-486</v>
      </c>
      <c r="F89" s="410">
        <f t="shared" si="1"/>
        <v>-0.28092485549132951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15964</v>
      </c>
      <c r="D91" s="376">
        <v>16235</v>
      </c>
      <c r="E91" s="409">
        <f t="shared" si="0"/>
        <v>271</v>
      </c>
      <c r="F91" s="410">
        <f t="shared" si="1"/>
        <v>1.6975695314457528E-2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51267</v>
      </c>
      <c r="D92" s="381">
        <f>SUM(D79:D91)</f>
        <v>44393</v>
      </c>
      <c r="E92" s="401">
        <f t="shared" si="0"/>
        <v>-6874</v>
      </c>
      <c r="F92" s="402">
        <f t="shared" si="1"/>
        <v>-0.13408235317065559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977</v>
      </c>
      <c r="D95" s="414">
        <v>909</v>
      </c>
      <c r="E95" s="415">
        <f t="shared" ref="E95:E100" si="2">+D95-C95</f>
        <v>-68</v>
      </c>
      <c r="F95" s="412">
        <f t="shared" ref="F95:F100" si="3">IF(C95=0,0,+E95/C95)</f>
        <v>-6.9600818833162742E-2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655</v>
      </c>
      <c r="D96" s="414">
        <v>649</v>
      </c>
      <c r="E96" s="409">
        <f t="shared" si="2"/>
        <v>-6</v>
      </c>
      <c r="F96" s="410">
        <f t="shared" si="3"/>
        <v>-9.1603053435114507E-3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4199</v>
      </c>
      <c r="D97" s="414">
        <v>4184</v>
      </c>
      <c r="E97" s="409">
        <f t="shared" si="2"/>
        <v>-15</v>
      </c>
      <c r="F97" s="410">
        <f t="shared" si="3"/>
        <v>-3.5722791140747798E-3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1296</v>
      </c>
      <c r="D98" s="414">
        <v>1385</v>
      </c>
      <c r="E98" s="409">
        <f t="shared" si="2"/>
        <v>89</v>
      </c>
      <c r="F98" s="410">
        <f t="shared" si="3"/>
        <v>6.8672839506172839E-2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144316</v>
      </c>
      <c r="D99" s="414">
        <v>132578</v>
      </c>
      <c r="E99" s="409">
        <f t="shared" si="2"/>
        <v>-11738</v>
      </c>
      <c r="F99" s="410">
        <f t="shared" si="3"/>
        <v>-8.133540286593309E-2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151443</v>
      </c>
      <c r="D100" s="381">
        <f>SUM(D95:D99)</f>
        <v>139705</v>
      </c>
      <c r="E100" s="401">
        <f t="shared" si="2"/>
        <v>-11738</v>
      </c>
      <c r="F100" s="402">
        <f t="shared" si="3"/>
        <v>-7.7507709171107275E-2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1322.9</v>
      </c>
      <c r="D104" s="416">
        <v>1402.6</v>
      </c>
      <c r="E104" s="417">
        <f>+D104-C104</f>
        <v>79.699999999999818</v>
      </c>
      <c r="F104" s="410">
        <f>IF(C104=0,0,+E104/C104)</f>
        <v>6.0246428301458772E-2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40</v>
      </c>
      <c r="D105" s="416">
        <v>38.799999999999997</v>
      </c>
      <c r="E105" s="417">
        <f>+D105-C105</f>
        <v>-1.2000000000000028</v>
      </c>
      <c r="F105" s="410">
        <f>IF(C105=0,0,+E105/C105)</f>
        <v>-3.0000000000000072E-2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2439.9</v>
      </c>
      <c r="D106" s="416">
        <v>2347.6999999999998</v>
      </c>
      <c r="E106" s="417">
        <f>+D106-C106</f>
        <v>-92.200000000000273</v>
      </c>
      <c r="F106" s="410">
        <f>IF(C106=0,0,+E106/C106)</f>
        <v>-3.7788433952211264E-2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3802.8</v>
      </c>
      <c r="D107" s="418">
        <f>SUM(D104:D106)</f>
        <v>3789.0999999999995</v>
      </c>
      <c r="E107" s="418">
        <f>+D107-C107</f>
        <v>-13.700000000000728</v>
      </c>
      <c r="F107" s="402">
        <f>IF(C107=0,0,+E107/C107)</f>
        <v>-3.6026086041865803E-3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871</v>
      </c>
      <c r="D12" s="409">
        <v>431</v>
      </c>
      <c r="E12" s="409">
        <f>+D12-C12</f>
        <v>-440</v>
      </c>
      <c r="F12" s="410">
        <f>IF(C12=0,0,+E12/C12)</f>
        <v>-0.505166475315729</v>
      </c>
    </row>
    <row r="13" spans="1:6" ht="15.75" customHeight="1" x14ac:dyDescent="0.2">
      <c r="A13" s="374">
        <v>2</v>
      </c>
      <c r="B13" s="408" t="s">
        <v>622</v>
      </c>
      <c r="C13" s="409">
        <v>15824</v>
      </c>
      <c r="D13" s="409">
        <v>15649</v>
      </c>
      <c r="E13" s="409">
        <f>+D13-C13</f>
        <v>-175</v>
      </c>
      <c r="F13" s="410">
        <f>IF(C13=0,0,+E13/C13)</f>
        <v>-1.1059150657229525E-2</v>
      </c>
    </row>
    <row r="14" spans="1:6" ht="15.75" customHeight="1" x14ac:dyDescent="0.25">
      <c r="A14" s="374"/>
      <c r="B14" s="399" t="s">
        <v>623</v>
      </c>
      <c r="C14" s="401">
        <f>SUM(C11:C13)</f>
        <v>16695</v>
      </c>
      <c r="D14" s="401">
        <f>SUM(D11:D13)</f>
        <v>16080</v>
      </c>
      <c r="E14" s="401">
        <f>+D14-C14</f>
        <v>-615</v>
      </c>
      <c r="F14" s="402">
        <f>IF(C14=0,0,+E14/C14)</f>
        <v>-3.6837376460017966E-2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622</v>
      </c>
      <c r="C17" s="409">
        <v>6168</v>
      </c>
      <c r="D17" s="409">
        <v>5418</v>
      </c>
      <c r="E17" s="409">
        <f>+D17-C17</f>
        <v>-750</v>
      </c>
      <c r="F17" s="410">
        <f>IF(C17=0,0,+E17/C17)</f>
        <v>-0.12159533073929961</v>
      </c>
    </row>
    <row r="18" spans="1:6" ht="15.75" customHeight="1" x14ac:dyDescent="0.25">
      <c r="A18" s="374"/>
      <c r="B18" s="399" t="s">
        <v>624</v>
      </c>
      <c r="C18" s="401">
        <f>SUM(C16:C17)</f>
        <v>6168</v>
      </c>
      <c r="D18" s="401">
        <f>SUM(D16:D17)</f>
        <v>5418</v>
      </c>
      <c r="E18" s="401">
        <f>+D18-C18</f>
        <v>-750</v>
      </c>
      <c r="F18" s="402">
        <f>IF(C18=0,0,+E18/C18)</f>
        <v>-0.12159533073929961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625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622</v>
      </c>
      <c r="C21" s="409">
        <v>65315</v>
      </c>
      <c r="D21" s="409">
        <v>65364</v>
      </c>
      <c r="E21" s="409">
        <f>+D21-C21</f>
        <v>49</v>
      </c>
      <c r="F21" s="410">
        <f>IF(C21=0,0,+E21/C21)</f>
        <v>7.5021051825767437E-4</v>
      </c>
    </row>
    <row r="22" spans="1:6" ht="15.75" customHeight="1" x14ac:dyDescent="0.25">
      <c r="A22" s="374"/>
      <c r="B22" s="399" t="s">
        <v>626</v>
      </c>
      <c r="C22" s="401">
        <f>SUM(C20:C21)</f>
        <v>65315</v>
      </c>
      <c r="D22" s="401">
        <f>SUM(D20:D21)</f>
        <v>65364</v>
      </c>
      <c r="E22" s="401">
        <f>+D22-C22</f>
        <v>49</v>
      </c>
      <c r="F22" s="402">
        <f>IF(C22=0,0,+E22/C22)</f>
        <v>7.5021051825767437E-4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615260232</v>
      </c>
      <c r="D15" s="448">
        <v>671779838</v>
      </c>
      <c r="E15" s="448">
        <f t="shared" ref="E15:E24" si="0">D15-C15</f>
        <v>56519606</v>
      </c>
      <c r="F15" s="449">
        <f t="shared" ref="F15:F24" si="1">IF(C15=0,0,E15/C15)</f>
        <v>9.1862927360466876E-2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211507952</v>
      </c>
      <c r="D16" s="448">
        <v>203954317</v>
      </c>
      <c r="E16" s="448">
        <f t="shared" si="0"/>
        <v>-7553635</v>
      </c>
      <c r="F16" s="449">
        <f t="shared" si="1"/>
        <v>-3.5713243538001822E-2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0.34376990580467098</v>
      </c>
      <c r="D17" s="453">
        <f>IF(LN_IA1=0,0,LN_IA2/LN_IA1)</f>
        <v>0.30360291491808661</v>
      </c>
      <c r="E17" s="454">
        <f t="shared" si="0"/>
        <v>-4.0166990886584375E-2</v>
      </c>
      <c r="F17" s="449">
        <f t="shared" si="1"/>
        <v>-0.11684266193273805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13744</v>
      </c>
      <c r="D18" s="456">
        <v>14409</v>
      </c>
      <c r="E18" s="456">
        <f t="shared" si="0"/>
        <v>665</v>
      </c>
      <c r="F18" s="449">
        <f t="shared" si="1"/>
        <v>4.8384749708963913E-2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1.696</v>
      </c>
      <c r="D19" s="459">
        <v>1.6785000000000001</v>
      </c>
      <c r="E19" s="460">
        <f t="shared" si="0"/>
        <v>-1.7499999999999849E-2</v>
      </c>
      <c r="F19" s="449">
        <f t="shared" si="1"/>
        <v>-1.0318396226415005E-2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23309.824000000001</v>
      </c>
      <c r="D20" s="463">
        <f>LN_IA4*LN_IA5</f>
        <v>24185.506500000003</v>
      </c>
      <c r="E20" s="463">
        <f t="shared" si="0"/>
        <v>875.68250000000262</v>
      </c>
      <c r="F20" s="449">
        <f t="shared" si="1"/>
        <v>3.7567100463735917E-2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9073.7687251521074</v>
      </c>
      <c r="D21" s="465">
        <f>IF(LN_IA6=0,0,LN_IA2/LN_IA6)</f>
        <v>8432.9148533647603</v>
      </c>
      <c r="E21" s="465">
        <f t="shared" si="0"/>
        <v>-640.85387178734709</v>
      </c>
      <c r="F21" s="449">
        <f t="shared" si="1"/>
        <v>-7.0627089051865183E-2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75996</v>
      </c>
      <c r="D22" s="456">
        <v>78137</v>
      </c>
      <c r="E22" s="456">
        <f t="shared" si="0"/>
        <v>2141</v>
      </c>
      <c r="F22" s="449">
        <f t="shared" si="1"/>
        <v>2.8172535396599821E-2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2783.1458497815674</v>
      </c>
      <c r="D23" s="465">
        <f>IF(LN_IA8=0,0,LN_IA2/LN_IA8)</f>
        <v>2610.2143286791147</v>
      </c>
      <c r="E23" s="465">
        <f t="shared" si="0"/>
        <v>-172.93152110245273</v>
      </c>
      <c r="F23" s="449">
        <f t="shared" si="1"/>
        <v>-6.2135270818101433E-2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5.5293946449359721</v>
      </c>
      <c r="D24" s="466">
        <f>IF(LN_IA4=0,0,LN_IA8/LN_IA4)</f>
        <v>5.4227913109861889</v>
      </c>
      <c r="E24" s="466">
        <f t="shared" si="0"/>
        <v>-0.10660333394978316</v>
      </c>
      <c r="F24" s="449">
        <f t="shared" si="1"/>
        <v>-1.9279386044078896E-2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284498629</v>
      </c>
      <c r="D27" s="448">
        <v>297792839</v>
      </c>
      <c r="E27" s="448">
        <f t="shared" ref="E27:E32" si="2">D27-C27</f>
        <v>13294210</v>
      </c>
      <c r="F27" s="449">
        <f t="shared" ref="F27:F32" si="3">IF(C27=0,0,E27/C27)</f>
        <v>4.672855558822394E-2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64007913</v>
      </c>
      <c r="D28" s="448">
        <v>58809868</v>
      </c>
      <c r="E28" s="448">
        <f t="shared" si="2"/>
        <v>-5198045</v>
      </c>
      <c r="F28" s="449">
        <f t="shared" si="3"/>
        <v>-8.1209412342502091E-2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0.22498496117533137</v>
      </c>
      <c r="D29" s="453">
        <f>IF(LN_IA11=0,0,LN_IA12/LN_IA11)</f>
        <v>0.19748583679005122</v>
      </c>
      <c r="E29" s="454">
        <f t="shared" si="2"/>
        <v>-2.7499124385280155E-2</v>
      </c>
      <c r="F29" s="449">
        <f t="shared" si="3"/>
        <v>-0.12222650012526844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0.46240373455503947</v>
      </c>
      <c r="D30" s="453">
        <f>IF(LN_IA1=0,0,LN_IA11/LN_IA1)</f>
        <v>0.44328933700448447</v>
      </c>
      <c r="E30" s="454">
        <f t="shared" si="2"/>
        <v>-1.9114397550554996E-2</v>
      </c>
      <c r="F30" s="449">
        <f t="shared" si="3"/>
        <v>-4.1337031088099545E-2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6355.2769277244624</v>
      </c>
      <c r="D31" s="463">
        <f>LN_IA14*LN_IA4</f>
        <v>6387.3560568976172</v>
      </c>
      <c r="E31" s="463">
        <f t="shared" si="2"/>
        <v>32.079129173154797</v>
      </c>
      <c r="F31" s="449">
        <f t="shared" si="3"/>
        <v>5.0476367179550872E-3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10071.616662488748</v>
      </c>
      <c r="D32" s="465">
        <f>IF(LN_IA15=0,0,LN_IA12/LN_IA15)</f>
        <v>9207.2318305305744</v>
      </c>
      <c r="E32" s="465">
        <f t="shared" si="2"/>
        <v>-864.38483195817389</v>
      </c>
      <c r="F32" s="449">
        <f t="shared" si="3"/>
        <v>-8.5823841486891927E-2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899758861</v>
      </c>
      <c r="D35" s="448">
        <f>LN_IA1+LN_IA11</f>
        <v>969572677</v>
      </c>
      <c r="E35" s="448">
        <f>D35-C35</f>
        <v>69813816</v>
      </c>
      <c r="F35" s="449">
        <f>IF(C35=0,0,E35/C35)</f>
        <v>7.7591695982197173E-2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275515865</v>
      </c>
      <c r="D36" s="448">
        <f>LN_IA2+LN_IA12</f>
        <v>262764185</v>
      </c>
      <c r="E36" s="448">
        <f>D36-C36</f>
        <v>-12751680</v>
      </c>
      <c r="F36" s="449">
        <f>IF(C36=0,0,E36/C36)</f>
        <v>-4.6282924578590054E-2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624242996</v>
      </c>
      <c r="D37" s="448">
        <f>LN_IA17-LN_IA18</f>
        <v>706808492</v>
      </c>
      <c r="E37" s="448">
        <f>D37-C37</f>
        <v>82565496</v>
      </c>
      <c r="F37" s="449">
        <f>IF(C37=0,0,E37/C37)</f>
        <v>0.132264993806995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300608652</v>
      </c>
      <c r="D42" s="448">
        <v>318649558</v>
      </c>
      <c r="E42" s="448">
        <f t="shared" ref="E42:E53" si="4">D42-C42</f>
        <v>18040906</v>
      </c>
      <c r="F42" s="449">
        <f t="shared" ref="F42:F53" si="5">IF(C42=0,0,E42/C42)</f>
        <v>6.0014593325810196E-2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151641760</v>
      </c>
      <c r="D43" s="448">
        <v>169220370</v>
      </c>
      <c r="E43" s="448">
        <f t="shared" si="4"/>
        <v>17578610</v>
      </c>
      <c r="F43" s="449">
        <f t="shared" si="5"/>
        <v>0.1159219597556768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0.50444908684797274</v>
      </c>
      <c r="D44" s="453">
        <f>IF(LN_IB1=0,0,LN_IB2/LN_IB1)</f>
        <v>0.5310547771103451</v>
      </c>
      <c r="E44" s="454">
        <f t="shared" si="4"/>
        <v>2.6605690262372361E-2</v>
      </c>
      <c r="F44" s="449">
        <f t="shared" si="5"/>
        <v>5.2742072403415004E-2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9526</v>
      </c>
      <c r="D45" s="456">
        <v>9314</v>
      </c>
      <c r="E45" s="456">
        <f t="shared" si="4"/>
        <v>-212</v>
      </c>
      <c r="F45" s="449">
        <f t="shared" si="5"/>
        <v>-2.2254881377283226E-2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1.4157</v>
      </c>
      <c r="D46" s="459">
        <v>1.4554</v>
      </c>
      <c r="E46" s="460">
        <f t="shared" si="4"/>
        <v>3.9700000000000069E-2</v>
      </c>
      <c r="F46" s="449">
        <f t="shared" si="5"/>
        <v>2.8042664406300818E-2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13485.958199999999</v>
      </c>
      <c r="D47" s="463">
        <f>LN_IB4*LN_IB5</f>
        <v>13555.595600000001</v>
      </c>
      <c r="E47" s="463">
        <f t="shared" si="4"/>
        <v>69.637400000001435</v>
      </c>
      <c r="F47" s="449">
        <f t="shared" si="5"/>
        <v>5.1636968591524659E-3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11244.418657622713</v>
      </c>
      <c r="D48" s="465">
        <f>IF(LN_IB6=0,0,LN_IB2/LN_IB6)</f>
        <v>12483.433040743705</v>
      </c>
      <c r="E48" s="465">
        <f t="shared" si="4"/>
        <v>1239.0143831209916</v>
      </c>
      <c r="F48" s="449">
        <f t="shared" si="5"/>
        <v>0.11018927886334527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-2170.6499324706056</v>
      </c>
      <c r="D49" s="465">
        <f>LN_IA7-LN_IB7</f>
        <v>-4050.5181873789443</v>
      </c>
      <c r="E49" s="465">
        <f t="shared" si="4"/>
        <v>-1879.8682549083387</v>
      </c>
      <c r="F49" s="449">
        <f t="shared" si="5"/>
        <v>0.86603934922325176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-29273294.256131407</v>
      </c>
      <c r="D50" s="479">
        <f>LN_IB8*LN_IB6</f>
        <v>-54907186.518553995</v>
      </c>
      <c r="E50" s="479">
        <f t="shared" si="4"/>
        <v>-25633892.262422588</v>
      </c>
      <c r="F50" s="449">
        <f t="shared" si="5"/>
        <v>0.87567501074989085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36979</v>
      </c>
      <c r="D51" s="456">
        <v>35656</v>
      </c>
      <c r="E51" s="456">
        <f t="shared" si="4"/>
        <v>-1323</v>
      </c>
      <c r="F51" s="449">
        <f t="shared" si="5"/>
        <v>-3.5777062657183806E-2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4100.7534005787065</v>
      </c>
      <c r="D52" s="465">
        <f>IF(LN_IB10=0,0,LN_IB2/LN_IB10)</f>
        <v>4745.9156944132828</v>
      </c>
      <c r="E52" s="465">
        <f t="shared" si="4"/>
        <v>645.1622938345763</v>
      </c>
      <c r="F52" s="449">
        <f t="shared" si="5"/>
        <v>0.15732774707777594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3.8819021625026244</v>
      </c>
      <c r="D53" s="466">
        <f>IF(LN_IB4=0,0,LN_IB10/LN_IB4)</f>
        <v>3.828215589435259</v>
      </c>
      <c r="E53" s="466">
        <f t="shared" si="4"/>
        <v>-5.3686573067365462E-2</v>
      </c>
      <c r="F53" s="449">
        <f t="shared" si="5"/>
        <v>-1.3829965522045577E-2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351531066</v>
      </c>
      <c r="D56" s="448">
        <v>348580263</v>
      </c>
      <c r="E56" s="448">
        <f t="shared" ref="E56:E63" si="6">D56-C56</f>
        <v>-2950803</v>
      </c>
      <c r="F56" s="449">
        <f t="shared" ref="F56:F63" si="7">IF(C56=0,0,E56/C56)</f>
        <v>-8.3941457395973074E-3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136065078</v>
      </c>
      <c r="D57" s="448">
        <v>140519654</v>
      </c>
      <c r="E57" s="448">
        <f t="shared" si="6"/>
        <v>4454576</v>
      </c>
      <c r="F57" s="449">
        <f t="shared" si="7"/>
        <v>3.273856940720675E-2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0.38706416348420258</v>
      </c>
      <c r="D58" s="453">
        <f>IF(LN_IB13=0,0,LN_IB14/LN_IB13)</f>
        <v>0.40311993797537526</v>
      </c>
      <c r="E58" s="454">
        <f t="shared" si="6"/>
        <v>1.6055774491172681E-2</v>
      </c>
      <c r="F58" s="449">
        <f t="shared" si="7"/>
        <v>4.1480911967268629E-2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1.1693976991720119</v>
      </c>
      <c r="D59" s="453">
        <f>IF(LN_IB1=0,0,LN_IB13/LN_IB1)</f>
        <v>1.093929849417836</v>
      </c>
      <c r="E59" s="454">
        <f t="shared" si="6"/>
        <v>-7.5467849754175864E-2</v>
      </c>
      <c r="F59" s="449">
        <f t="shared" si="7"/>
        <v>-6.4535657807100716E-2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11139.682482312584</v>
      </c>
      <c r="D60" s="463">
        <f>LN_IB16*LN_IB4</f>
        <v>10188.862617477724</v>
      </c>
      <c r="E60" s="463">
        <f t="shared" si="6"/>
        <v>-950.81986483486071</v>
      </c>
      <c r="F60" s="449">
        <f t="shared" si="7"/>
        <v>-8.5354305775281997E-2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12214.448501206567</v>
      </c>
      <c r="D61" s="465">
        <f>IF(LN_IB17=0,0,LN_IB14/LN_IB17)</f>
        <v>13791.495604127202</v>
      </c>
      <c r="E61" s="465">
        <f t="shared" si="6"/>
        <v>1577.0471029206346</v>
      </c>
      <c r="F61" s="449">
        <f t="shared" si="7"/>
        <v>0.12911324672291596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-2142.8318387178188</v>
      </c>
      <c r="D62" s="465">
        <f>LN_IA16-LN_IB18</f>
        <v>-4584.2637735966273</v>
      </c>
      <c r="E62" s="465">
        <f t="shared" si="6"/>
        <v>-2441.4319348788085</v>
      </c>
      <c r="F62" s="449">
        <f t="shared" si="7"/>
        <v>1.1393483570505745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-23870466.296306551</v>
      </c>
      <c r="D63" s="448">
        <f>LN_IB19*LN_IB17</f>
        <v>-46708433.791456036</v>
      </c>
      <c r="E63" s="448">
        <f t="shared" si="6"/>
        <v>-22837967.495149486</v>
      </c>
      <c r="F63" s="449">
        <f t="shared" si="7"/>
        <v>0.95674576322303251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652139718</v>
      </c>
      <c r="D66" s="448">
        <f>LN_IB1+LN_IB13</f>
        <v>667229821</v>
      </c>
      <c r="E66" s="448">
        <f>D66-C66</f>
        <v>15090103</v>
      </c>
      <c r="F66" s="449">
        <f>IF(C66=0,0,E66/C66)</f>
        <v>2.3139371186099111E-2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287706838</v>
      </c>
      <c r="D67" s="448">
        <f>LN_IB2+LN_IB14</f>
        <v>309740024</v>
      </c>
      <c r="E67" s="448">
        <f>D67-C67</f>
        <v>22033186</v>
      </c>
      <c r="F67" s="449">
        <f>IF(C67=0,0,E67/C67)</f>
        <v>7.6582072755601305E-2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364432880</v>
      </c>
      <c r="D68" s="448">
        <f>LN_IB21-LN_IB22</f>
        <v>357489797</v>
      </c>
      <c r="E68" s="448">
        <f>D68-C68</f>
        <v>-6943083</v>
      </c>
      <c r="F68" s="449">
        <f>IF(C68=0,0,E68/C68)</f>
        <v>-1.9051746922506003E-2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-53143760.552437961</v>
      </c>
      <c r="D70" s="441">
        <f>LN_IB9+LN_IB20</f>
        <v>-101615620.31001003</v>
      </c>
      <c r="E70" s="448">
        <f>D70-C70</f>
        <v>-48471859.75757207</v>
      </c>
      <c r="F70" s="449">
        <f>IF(C70=0,0,E70/C70)</f>
        <v>0.91208938271773154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558621454</v>
      </c>
      <c r="D73" s="488">
        <v>584513139</v>
      </c>
      <c r="E73" s="488">
        <f>D73-C73</f>
        <v>25891685</v>
      </c>
      <c r="F73" s="489">
        <f>IF(C73=0,0,E73/C73)</f>
        <v>4.6349249235959344E-2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269000765</v>
      </c>
      <c r="D74" s="488">
        <v>285514532</v>
      </c>
      <c r="E74" s="488">
        <f>D74-C74</f>
        <v>16513767</v>
      </c>
      <c r="F74" s="489">
        <f>IF(C74=0,0,E74/C74)</f>
        <v>6.1389293818551037E-2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289620689</v>
      </c>
      <c r="D76" s="441">
        <f>LN_IB32-LN_IB33</f>
        <v>298998607</v>
      </c>
      <c r="E76" s="488">
        <f>D76-C76</f>
        <v>9377918</v>
      </c>
      <c r="F76" s="489">
        <f>IF(E76=0,0,E76/C76)</f>
        <v>3.2380000311372781E-2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0.51845607956188522</v>
      </c>
      <c r="D77" s="453">
        <f>IF(LN_IB32=0,0,LN_IB34/LN_IB32)</f>
        <v>0.51153444986974017</v>
      </c>
      <c r="E77" s="493">
        <f>D77-C77</f>
        <v>-6.9216296921450482E-3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8698928</v>
      </c>
      <c r="D83" s="448">
        <v>7628171</v>
      </c>
      <c r="E83" s="448">
        <f t="shared" ref="E83:E95" si="8">D83-C83</f>
        <v>-1070757</v>
      </c>
      <c r="F83" s="449">
        <f t="shared" ref="F83:F95" si="9">IF(C83=0,0,E83/C83)</f>
        <v>-0.12309068427741901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202548</v>
      </c>
      <c r="D84" s="448">
        <v>295974</v>
      </c>
      <c r="E84" s="448">
        <f t="shared" si="8"/>
        <v>93426</v>
      </c>
      <c r="F84" s="449">
        <f t="shared" si="9"/>
        <v>0.46125362876947684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2.328424835795859E-2</v>
      </c>
      <c r="D85" s="453">
        <f>IF(LN_IC1=0,0,LN_IC2/LN_IC1)</f>
        <v>3.8800126530986259E-2</v>
      </c>
      <c r="E85" s="454">
        <f t="shared" si="8"/>
        <v>1.5515878173027669E-2</v>
      </c>
      <c r="F85" s="449">
        <f t="shared" si="9"/>
        <v>0.6663680070103839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319</v>
      </c>
      <c r="D86" s="456">
        <v>266</v>
      </c>
      <c r="E86" s="456">
        <f t="shared" si="8"/>
        <v>-53</v>
      </c>
      <c r="F86" s="449">
        <f t="shared" si="9"/>
        <v>-0.16614420062695925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1.2447999999999999</v>
      </c>
      <c r="D87" s="459">
        <v>1.2336</v>
      </c>
      <c r="E87" s="460">
        <f t="shared" si="8"/>
        <v>-1.1199999999999877E-2</v>
      </c>
      <c r="F87" s="449">
        <f t="shared" si="9"/>
        <v>-8.997429305912498E-3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397.09119999999996</v>
      </c>
      <c r="D88" s="463">
        <f>LN_IC4*LN_IC5</f>
        <v>328.13760000000002</v>
      </c>
      <c r="E88" s="463">
        <f t="shared" si="8"/>
        <v>-68.953599999999938</v>
      </c>
      <c r="F88" s="449">
        <f t="shared" si="9"/>
        <v>-0.17364675923314327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510.07929664520395</v>
      </c>
      <c r="D89" s="465">
        <f>IF(LN_IC6=0,0,LN_IC2/LN_IC6)</f>
        <v>901.98136391562559</v>
      </c>
      <c r="E89" s="465">
        <f t="shared" si="8"/>
        <v>391.90206727042164</v>
      </c>
      <c r="F89" s="449">
        <f t="shared" si="9"/>
        <v>0.76831596547431935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10734.339360977508</v>
      </c>
      <c r="D90" s="465">
        <f>LN_IB7-LN_IC7</f>
        <v>11581.451676828079</v>
      </c>
      <c r="E90" s="465">
        <f t="shared" si="8"/>
        <v>847.11231585057067</v>
      </c>
      <c r="F90" s="449">
        <f t="shared" si="9"/>
        <v>7.8916110937397227E-2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8563.6894285069029</v>
      </c>
      <c r="D91" s="465">
        <f>LN_IA7-LN_IC7</f>
        <v>7530.9334894491349</v>
      </c>
      <c r="E91" s="465">
        <f t="shared" si="8"/>
        <v>-1032.755939057768</v>
      </c>
      <c r="F91" s="449">
        <f t="shared" si="9"/>
        <v>-0.12059707999450783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3400565.7115931199</v>
      </c>
      <c r="D92" s="441">
        <f>LN_IC9*LN_IC6</f>
        <v>2471182.4409874645</v>
      </c>
      <c r="E92" s="441">
        <f t="shared" si="8"/>
        <v>-929383.27060565539</v>
      </c>
      <c r="F92" s="449">
        <f t="shared" si="9"/>
        <v>-0.27330254711362473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1069</v>
      </c>
      <c r="D93" s="456">
        <v>978</v>
      </c>
      <c r="E93" s="456">
        <f t="shared" si="8"/>
        <v>-91</v>
      </c>
      <c r="F93" s="449">
        <f t="shared" si="9"/>
        <v>-8.5126286248830688E-2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189.47427502338635</v>
      </c>
      <c r="D94" s="499">
        <f>IF(LN_IC11=0,0,LN_IC2/LN_IC11)</f>
        <v>302.6319018404908</v>
      </c>
      <c r="E94" s="499">
        <f t="shared" si="8"/>
        <v>113.15762681710444</v>
      </c>
      <c r="F94" s="449">
        <f t="shared" si="9"/>
        <v>0.5972189459658187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3.3510971786833856</v>
      </c>
      <c r="D95" s="466">
        <f>IF(LN_IC4=0,0,LN_IC11/LN_IC4)</f>
        <v>3.6766917293233083</v>
      </c>
      <c r="E95" s="466">
        <f t="shared" si="8"/>
        <v>0.32559455063992271</v>
      </c>
      <c r="F95" s="449">
        <f t="shared" si="9"/>
        <v>9.7160581528657947E-2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23806549</v>
      </c>
      <c r="D98" s="448">
        <v>21440444</v>
      </c>
      <c r="E98" s="448">
        <f t="shared" ref="E98:E106" si="10">D98-C98</f>
        <v>-2366105</v>
      </c>
      <c r="F98" s="449">
        <f t="shared" ref="F98:F106" si="11">IF(C98=0,0,E98/C98)</f>
        <v>-9.9388827838927857E-2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533376</v>
      </c>
      <c r="D99" s="448">
        <v>1301392</v>
      </c>
      <c r="E99" s="448">
        <f t="shared" si="10"/>
        <v>768016</v>
      </c>
      <c r="F99" s="449">
        <f t="shared" si="11"/>
        <v>1.4399148068154548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2.2404591274443011E-2</v>
      </c>
      <c r="D100" s="453">
        <f>IF(LN_IC14=0,0,LN_IC15/LN_IC14)</f>
        <v>6.0697996739246633E-2</v>
      </c>
      <c r="E100" s="454">
        <f t="shared" si="10"/>
        <v>3.8293405464803622E-2</v>
      </c>
      <c r="F100" s="449">
        <f t="shared" si="11"/>
        <v>1.7091767038162857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2.7367221570290039</v>
      </c>
      <c r="D101" s="453">
        <f>IF(LN_IC1=0,0,LN_IC14/LN_IC1)</f>
        <v>2.8106926286786176</v>
      </c>
      <c r="E101" s="454">
        <f t="shared" si="10"/>
        <v>7.3970471649613678E-2</v>
      </c>
      <c r="F101" s="449">
        <f t="shared" si="11"/>
        <v>2.7028856933696298E-2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873.0143680922522</v>
      </c>
      <c r="D102" s="463">
        <f>LN_IC17*LN_IC4</f>
        <v>747.64423922851222</v>
      </c>
      <c r="E102" s="463">
        <f t="shared" si="10"/>
        <v>-125.37012886373998</v>
      </c>
      <c r="F102" s="449">
        <f t="shared" si="11"/>
        <v>-0.14360603152237239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610.95901682071474</v>
      </c>
      <c r="D103" s="465">
        <f>IF(LN_IC18=0,0,LN_IC15/LN_IC18)</f>
        <v>1740.6567612196081</v>
      </c>
      <c r="E103" s="465">
        <f t="shared" si="10"/>
        <v>1129.6977443988935</v>
      </c>
      <c r="F103" s="449">
        <f t="shared" si="11"/>
        <v>1.8490565050951726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11603.489484385853</v>
      </c>
      <c r="D104" s="465">
        <f>LN_IB18-LN_IC19</f>
        <v>12050.838842907593</v>
      </c>
      <c r="E104" s="465">
        <f t="shared" si="10"/>
        <v>447.34935852174021</v>
      </c>
      <c r="F104" s="449">
        <f t="shared" si="11"/>
        <v>3.8553002450143335E-2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9460.6576456680341</v>
      </c>
      <c r="D105" s="465">
        <f>LN_IA16-LN_IC19</f>
        <v>7466.5750693109658</v>
      </c>
      <c r="E105" s="465">
        <f t="shared" si="10"/>
        <v>-1994.0825763570683</v>
      </c>
      <c r="F105" s="449">
        <f t="shared" si="11"/>
        <v>-0.2107763171485382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8259290.0562700136</v>
      </c>
      <c r="D106" s="448">
        <f>LN_IC21*LN_IC18</f>
        <v>5582341.8373375731</v>
      </c>
      <c r="E106" s="448">
        <f t="shared" si="10"/>
        <v>-2676948.2189324405</v>
      </c>
      <c r="F106" s="449">
        <f t="shared" si="11"/>
        <v>-0.32411359822630809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32505477</v>
      </c>
      <c r="D109" s="448">
        <f>LN_IC1+LN_IC14</f>
        <v>29068615</v>
      </c>
      <c r="E109" s="448">
        <f>D109-C109</f>
        <v>-3436862</v>
      </c>
      <c r="F109" s="449">
        <f>IF(C109=0,0,E109/C109)</f>
        <v>-0.10573178175481011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735924</v>
      </c>
      <c r="D110" s="448">
        <f>LN_IC2+LN_IC15</f>
        <v>1597366</v>
      </c>
      <c r="E110" s="448">
        <f>D110-C110</f>
        <v>861442</v>
      </c>
      <c r="F110" s="449">
        <f>IF(C110=0,0,E110/C110)</f>
        <v>1.1705583728754601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31769553</v>
      </c>
      <c r="D111" s="448">
        <f>LN_IC23-LN_IC24</f>
        <v>27471249</v>
      </c>
      <c r="E111" s="448">
        <f>D111-C111</f>
        <v>-4298304</v>
      </c>
      <c r="F111" s="449">
        <f>IF(C111=0,0,E111/C111)</f>
        <v>-0.1352963323091137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11659855.767863134</v>
      </c>
      <c r="D113" s="448">
        <f>LN_IC10+LN_IC22</f>
        <v>8053524.278325038</v>
      </c>
      <c r="E113" s="448">
        <f>D113-C113</f>
        <v>-3606331.4895380959</v>
      </c>
      <c r="F113" s="449">
        <f>IF(C113=0,0,E113/C113)</f>
        <v>-0.30929469123261866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227632619</v>
      </c>
      <c r="D118" s="448">
        <v>244382955</v>
      </c>
      <c r="E118" s="448">
        <f t="shared" ref="E118:E130" si="12">D118-C118</f>
        <v>16750336</v>
      </c>
      <c r="F118" s="449">
        <f t="shared" ref="F118:F130" si="13">IF(C118=0,0,E118/C118)</f>
        <v>7.3584954887330981E-2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64775728</v>
      </c>
      <c r="D119" s="448">
        <v>55421145</v>
      </c>
      <c r="E119" s="448">
        <f t="shared" si="12"/>
        <v>-9354583</v>
      </c>
      <c r="F119" s="449">
        <f t="shared" si="13"/>
        <v>-0.14441494196715166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0.2845625916204918</v>
      </c>
      <c r="D120" s="453">
        <f>IF(LN_ID1=0,0,LN_1D2/LN_ID1)</f>
        <v>0.22677991188051555</v>
      </c>
      <c r="E120" s="454">
        <f t="shared" si="12"/>
        <v>-5.778267973997625E-2</v>
      </c>
      <c r="F120" s="449">
        <f t="shared" si="13"/>
        <v>-0.20305789109848418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7876</v>
      </c>
      <c r="D121" s="456">
        <v>7833</v>
      </c>
      <c r="E121" s="456">
        <f t="shared" si="12"/>
        <v>-43</v>
      </c>
      <c r="F121" s="449">
        <f t="shared" si="13"/>
        <v>-5.4596241747079735E-3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1.1567000000000001</v>
      </c>
      <c r="D122" s="459">
        <v>1.2070000000000001</v>
      </c>
      <c r="E122" s="460">
        <f t="shared" si="12"/>
        <v>5.0300000000000011E-2</v>
      </c>
      <c r="F122" s="449">
        <f t="shared" si="13"/>
        <v>4.3485778507823987E-2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9110.1692000000003</v>
      </c>
      <c r="D123" s="463">
        <f>LN_ID4*LN_ID5</f>
        <v>9454.4310000000005</v>
      </c>
      <c r="E123" s="463">
        <f t="shared" si="12"/>
        <v>344.26180000000022</v>
      </c>
      <c r="F123" s="449">
        <f t="shared" si="13"/>
        <v>3.7788738325518718E-2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7110.2661847378204</v>
      </c>
      <c r="D124" s="465">
        <f>IF(LN_ID6=0,0,LN_1D2/LN_ID6)</f>
        <v>5861.9228380851264</v>
      </c>
      <c r="E124" s="465">
        <f t="shared" si="12"/>
        <v>-1248.343346652694</v>
      </c>
      <c r="F124" s="449">
        <f t="shared" si="13"/>
        <v>-0.17556914385740743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4134.1524728848926</v>
      </c>
      <c r="D125" s="465">
        <f>LN_IB7-LN_ID7</f>
        <v>6621.5102026585782</v>
      </c>
      <c r="E125" s="465">
        <f t="shared" si="12"/>
        <v>2487.3577297736856</v>
      </c>
      <c r="F125" s="449">
        <f t="shared" si="13"/>
        <v>0.60166085941139913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1963.5025404142871</v>
      </c>
      <c r="D126" s="465">
        <f>LN_IA7-LN_ID7</f>
        <v>2570.992015279634</v>
      </c>
      <c r="E126" s="465">
        <f t="shared" si="12"/>
        <v>607.48947486534689</v>
      </c>
      <c r="F126" s="449">
        <f t="shared" si="13"/>
        <v>0.30939072517684152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17887840.367803995</v>
      </c>
      <c r="D127" s="479">
        <f>LN_ID9*LN_ID6</f>
        <v>24307266.610012244</v>
      </c>
      <c r="E127" s="479">
        <f t="shared" si="12"/>
        <v>6419426.2422082499</v>
      </c>
      <c r="F127" s="449">
        <f t="shared" si="13"/>
        <v>0.35887094865641023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38518</v>
      </c>
      <c r="D128" s="456">
        <v>38467</v>
      </c>
      <c r="E128" s="456">
        <f t="shared" si="12"/>
        <v>-51</v>
      </c>
      <c r="F128" s="449">
        <f t="shared" si="13"/>
        <v>-1.3240562853730723E-3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1681.7001921179708</v>
      </c>
      <c r="D129" s="465">
        <f>IF(LN_ID11=0,0,LN_1D2/LN_ID11)</f>
        <v>1440.7451841838458</v>
      </c>
      <c r="E129" s="465">
        <f t="shared" si="12"/>
        <v>-240.95500793412498</v>
      </c>
      <c r="F129" s="449">
        <f t="shared" si="13"/>
        <v>-0.14328059725714895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4.8905535804977145</v>
      </c>
      <c r="D130" s="466">
        <f>IF(LN_ID4=0,0,LN_ID11/LN_ID4)</f>
        <v>4.9108898250989403</v>
      </c>
      <c r="E130" s="466">
        <f t="shared" si="12"/>
        <v>2.033624460122585E-2</v>
      </c>
      <c r="F130" s="449">
        <f t="shared" si="13"/>
        <v>4.1582704833910064E-3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205257874</v>
      </c>
      <c r="D133" s="448">
        <v>218258357</v>
      </c>
      <c r="E133" s="448">
        <f t="shared" ref="E133:E141" si="14">D133-C133</f>
        <v>13000483</v>
      </c>
      <c r="F133" s="449">
        <f t="shared" ref="F133:F141" si="15">IF(C133=0,0,E133/C133)</f>
        <v>6.3337316842714639E-2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36712862</v>
      </c>
      <c r="D134" s="448">
        <v>42867455</v>
      </c>
      <c r="E134" s="448">
        <f t="shared" si="14"/>
        <v>6154593</v>
      </c>
      <c r="F134" s="449">
        <f t="shared" si="15"/>
        <v>0.16764132962447875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0.17886213709881843</v>
      </c>
      <c r="D135" s="453">
        <f>IF(LN_ID14=0,0,LN_ID15/LN_ID14)</f>
        <v>0.19640693529091305</v>
      </c>
      <c r="E135" s="454">
        <f t="shared" si="14"/>
        <v>1.7544798192094618E-2</v>
      </c>
      <c r="F135" s="449">
        <f t="shared" si="15"/>
        <v>9.8091180596826935E-2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0.90170677164681745</v>
      </c>
      <c r="D136" s="453">
        <f>IF(LN_ID1=0,0,LN_ID14/LN_ID1)</f>
        <v>0.8930997540315363</v>
      </c>
      <c r="E136" s="454">
        <f t="shared" si="14"/>
        <v>-8.6070176152811539E-3</v>
      </c>
      <c r="F136" s="449">
        <f t="shared" si="15"/>
        <v>-9.5452511680286789E-3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7101.8425334903341</v>
      </c>
      <c r="D137" s="463">
        <f>LN_ID17*LN_ID4</f>
        <v>6995.6503733290238</v>
      </c>
      <c r="E137" s="463">
        <f t="shared" si="14"/>
        <v>-106.19216016131031</v>
      </c>
      <c r="F137" s="449">
        <f t="shared" si="15"/>
        <v>-1.4952761858706008E-2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5169.4840918919635</v>
      </c>
      <c r="D138" s="465">
        <f>IF(LN_ID18=0,0,LN_ID15/LN_ID18)</f>
        <v>6127.7297624010107</v>
      </c>
      <c r="E138" s="465">
        <f t="shared" si="14"/>
        <v>958.24567050904716</v>
      </c>
      <c r="F138" s="449">
        <f t="shared" si="15"/>
        <v>0.18536582248352404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7044.9644093146035</v>
      </c>
      <c r="D139" s="465">
        <f>LN_IB18-LN_ID19</f>
        <v>7663.765841726191</v>
      </c>
      <c r="E139" s="465">
        <f t="shared" si="14"/>
        <v>618.80143241158748</v>
      </c>
      <c r="F139" s="449">
        <f t="shared" si="15"/>
        <v>8.7835991278171696E-2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4902.1325705967847</v>
      </c>
      <c r="D140" s="465">
        <f>LN_IA16-LN_ID19</f>
        <v>3079.5020681295637</v>
      </c>
      <c r="E140" s="465">
        <f t="shared" si="14"/>
        <v>-1822.630502467221</v>
      </c>
      <c r="F140" s="449">
        <f t="shared" si="15"/>
        <v>-0.37180359286883469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34814173.594672553</v>
      </c>
      <c r="D141" s="441">
        <f>LN_ID21*LN_ID18</f>
        <v>21543119.792578083</v>
      </c>
      <c r="E141" s="441">
        <f t="shared" si="14"/>
        <v>-13271053.802094471</v>
      </c>
      <c r="F141" s="449">
        <f t="shared" si="15"/>
        <v>-0.38119686414516174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432890493</v>
      </c>
      <c r="D144" s="448">
        <f>LN_ID1+LN_ID14</f>
        <v>462641312</v>
      </c>
      <c r="E144" s="448">
        <f>D144-C144</f>
        <v>29750819</v>
      </c>
      <c r="F144" s="449">
        <f>IF(C144=0,0,E144/C144)</f>
        <v>6.8725969918678714E-2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101488590</v>
      </c>
      <c r="D145" s="448">
        <f>LN_1D2+LN_ID15</f>
        <v>98288600</v>
      </c>
      <c r="E145" s="448">
        <f>D145-C145</f>
        <v>-3199990</v>
      </c>
      <c r="F145" s="449">
        <f>IF(C145=0,0,E145/C145)</f>
        <v>-3.1530539541440077E-2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331401903</v>
      </c>
      <c r="D146" s="448">
        <f>LN_ID23-LN_ID24</f>
        <v>364352712</v>
      </c>
      <c r="E146" s="448">
        <f>D146-C146</f>
        <v>32950809</v>
      </c>
      <c r="F146" s="449">
        <f>IF(C146=0,0,E146/C146)</f>
        <v>9.9428544922990372E-2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52702013.962476552</v>
      </c>
      <c r="D148" s="448">
        <f>LN_ID10+LN_ID22</f>
        <v>45850386.402590327</v>
      </c>
      <c r="E148" s="448">
        <f>D148-C148</f>
        <v>-6851627.5598862246</v>
      </c>
      <c r="F148" s="503">
        <f>IF(C148=0,0,E148/C148)</f>
        <v>-0.13000693986314324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11244.418657622713</v>
      </c>
      <c r="D160" s="465">
        <f>LN_IB7-LN_IE7</f>
        <v>12483.433040743705</v>
      </c>
      <c r="E160" s="465">
        <f t="shared" si="16"/>
        <v>1239.0143831209916</v>
      </c>
      <c r="F160" s="449">
        <f t="shared" si="17"/>
        <v>0.11018927886334527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9073.7687251521074</v>
      </c>
      <c r="D161" s="465">
        <f>LN_IA7-LN_IE7</f>
        <v>8432.9148533647603</v>
      </c>
      <c r="E161" s="465">
        <f t="shared" si="16"/>
        <v>-640.85387178734709</v>
      </c>
      <c r="F161" s="449">
        <f t="shared" si="17"/>
        <v>-7.0627089051865183E-2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12214.448501206567</v>
      </c>
      <c r="D174" s="465">
        <f>LN_IB18-LN_IE19</f>
        <v>13791.495604127202</v>
      </c>
      <c r="E174" s="465">
        <f t="shared" si="18"/>
        <v>1577.0471029206346</v>
      </c>
      <c r="F174" s="449">
        <f t="shared" si="19"/>
        <v>0.12911324672291596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10071.616662488748</v>
      </c>
      <c r="D175" s="465">
        <f>LN_IA16-LN_IE19</f>
        <v>9207.2318305305744</v>
      </c>
      <c r="E175" s="465">
        <f t="shared" si="18"/>
        <v>-864.38483195817389</v>
      </c>
      <c r="F175" s="449">
        <f t="shared" si="19"/>
        <v>-8.5823841486891927E-2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227632619</v>
      </c>
      <c r="D188" s="448">
        <f>LN_ID1+LN_IE1</f>
        <v>244382955</v>
      </c>
      <c r="E188" s="448">
        <f t="shared" ref="E188:E200" si="20">D188-C188</f>
        <v>16750336</v>
      </c>
      <c r="F188" s="449">
        <f t="shared" ref="F188:F200" si="21">IF(C188=0,0,E188/C188)</f>
        <v>7.3584954887330981E-2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64775728</v>
      </c>
      <c r="D189" s="448">
        <f>LN_1D2+LN_IE2</f>
        <v>55421145</v>
      </c>
      <c r="E189" s="448">
        <f t="shared" si="20"/>
        <v>-9354583</v>
      </c>
      <c r="F189" s="449">
        <f t="shared" si="21"/>
        <v>-0.14441494196715166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0.2845625916204918</v>
      </c>
      <c r="D190" s="453">
        <f>IF(LN_IF1=0,0,LN_IF2/LN_IF1)</f>
        <v>0.22677991188051555</v>
      </c>
      <c r="E190" s="454">
        <f t="shared" si="20"/>
        <v>-5.778267973997625E-2</v>
      </c>
      <c r="F190" s="449">
        <f t="shared" si="21"/>
        <v>-0.20305789109848418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7876</v>
      </c>
      <c r="D191" s="456">
        <f>LN_ID4+LN_IE4</f>
        <v>7833</v>
      </c>
      <c r="E191" s="456">
        <f t="shared" si="20"/>
        <v>-43</v>
      </c>
      <c r="F191" s="449">
        <f t="shared" si="21"/>
        <v>-5.4596241747079735E-3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1.1567000000000001</v>
      </c>
      <c r="D192" s="459">
        <f>IF((LN_ID4+LN_IE4)=0,0,(LN_ID6+LN_IE6)/(LN_ID4+LN_IE4))</f>
        <v>1.2070000000000001</v>
      </c>
      <c r="E192" s="460">
        <f t="shared" si="20"/>
        <v>5.0300000000000011E-2</v>
      </c>
      <c r="F192" s="449">
        <f t="shared" si="21"/>
        <v>4.3485778507823987E-2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9110.1692000000003</v>
      </c>
      <c r="D193" s="463">
        <f>LN_IF4*LN_IF5</f>
        <v>9454.4310000000005</v>
      </c>
      <c r="E193" s="463">
        <f t="shared" si="20"/>
        <v>344.26180000000022</v>
      </c>
      <c r="F193" s="449">
        <f t="shared" si="21"/>
        <v>3.7788738325518718E-2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7110.2661847378204</v>
      </c>
      <c r="D194" s="465">
        <f>IF(LN_IF6=0,0,LN_IF2/LN_IF6)</f>
        <v>5861.9228380851264</v>
      </c>
      <c r="E194" s="465">
        <f t="shared" si="20"/>
        <v>-1248.343346652694</v>
      </c>
      <c r="F194" s="449">
        <f t="shared" si="21"/>
        <v>-0.17556914385740743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4134.1524728848926</v>
      </c>
      <c r="D195" s="465">
        <f>LN_IB7-LN_IF7</f>
        <v>6621.5102026585782</v>
      </c>
      <c r="E195" s="465">
        <f t="shared" si="20"/>
        <v>2487.3577297736856</v>
      </c>
      <c r="F195" s="449">
        <f t="shared" si="21"/>
        <v>0.60166085941139913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1963.5025404142871</v>
      </c>
      <c r="D196" s="465">
        <f>LN_IA7-LN_IF7</f>
        <v>2570.992015279634</v>
      </c>
      <c r="E196" s="465">
        <f t="shared" si="20"/>
        <v>607.48947486534689</v>
      </c>
      <c r="F196" s="449">
        <f t="shared" si="21"/>
        <v>0.30939072517684152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17887840.367803995</v>
      </c>
      <c r="D197" s="479">
        <f>LN_IF9*LN_IF6</f>
        <v>24307266.610012244</v>
      </c>
      <c r="E197" s="479">
        <f t="shared" si="20"/>
        <v>6419426.2422082499</v>
      </c>
      <c r="F197" s="449">
        <f t="shared" si="21"/>
        <v>0.35887094865641023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38518</v>
      </c>
      <c r="D198" s="456">
        <f>LN_ID11+LN_IE11</f>
        <v>38467</v>
      </c>
      <c r="E198" s="456">
        <f t="shared" si="20"/>
        <v>-51</v>
      </c>
      <c r="F198" s="449">
        <f t="shared" si="21"/>
        <v>-1.3240562853730723E-3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1681.7001921179708</v>
      </c>
      <c r="D199" s="519">
        <f>IF(LN_IF11=0,0,LN_IF2/LN_IF11)</f>
        <v>1440.7451841838458</v>
      </c>
      <c r="E199" s="519">
        <f t="shared" si="20"/>
        <v>-240.95500793412498</v>
      </c>
      <c r="F199" s="449">
        <f t="shared" si="21"/>
        <v>-0.14328059725714895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4.8905535804977145</v>
      </c>
      <c r="D200" s="466">
        <f>IF(LN_IF4=0,0,LN_IF11/LN_IF4)</f>
        <v>4.9108898250989403</v>
      </c>
      <c r="E200" s="466">
        <f t="shared" si="20"/>
        <v>2.033624460122585E-2</v>
      </c>
      <c r="F200" s="449">
        <f t="shared" si="21"/>
        <v>4.1582704833910064E-3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205257874</v>
      </c>
      <c r="D203" s="448">
        <f>LN_ID14+LN_IE14</f>
        <v>218258357</v>
      </c>
      <c r="E203" s="448">
        <f t="shared" ref="E203:E211" si="22">D203-C203</f>
        <v>13000483</v>
      </c>
      <c r="F203" s="449">
        <f t="shared" ref="F203:F211" si="23">IF(C203=0,0,E203/C203)</f>
        <v>6.3337316842714639E-2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36712862</v>
      </c>
      <c r="D204" s="448">
        <f>LN_ID15+LN_IE15</f>
        <v>42867455</v>
      </c>
      <c r="E204" s="448">
        <f t="shared" si="22"/>
        <v>6154593</v>
      </c>
      <c r="F204" s="449">
        <f t="shared" si="23"/>
        <v>0.16764132962447875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0.17886213709881843</v>
      </c>
      <c r="D205" s="453">
        <f>IF(LN_IF14=0,0,LN_IF15/LN_IF14)</f>
        <v>0.19640693529091305</v>
      </c>
      <c r="E205" s="454">
        <f t="shared" si="22"/>
        <v>1.7544798192094618E-2</v>
      </c>
      <c r="F205" s="449">
        <f t="shared" si="23"/>
        <v>9.8091180596826935E-2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0.90170677164681745</v>
      </c>
      <c r="D206" s="453">
        <f>IF(LN_IF1=0,0,LN_IF14/LN_IF1)</f>
        <v>0.8930997540315363</v>
      </c>
      <c r="E206" s="454">
        <f t="shared" si="22"/>
        <v>-8.6070176152811539E-3</v>
      </c>
      <c r="F206" s="449">
        <f t="shared" si="23"/>
        <v>-9.5452511680286789E-3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7101.8425334903341</v>
      </c>
      <c r="D207" s="463">
        <f>LN_ID18+LN_IE18</f>
        <v>6995.6503733290238</v>
      </c>
      <c r="E207" s="463">
        <f t="shared" si="22"/>
        <v>-106.19216016131031</v>
      </c>
      <c r="F207" s="449">
        <f t="shared" si="23"/>
        <v>-1.4952761858706008E-2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5169.4840918919635</v>
      </c>
      <c r="D208" s="465">
        <f>IF(LN_IF18=0,0,LN_IF15/LN_IF18)</f>
        <v>6127.7297624010107</v>
      </c>
      <c r="E208" s="465">
        <f t="shared" si="22"/>
        <v>958.24567050904716</v>
      </c>
      <c r="F208" s="449">
        <f t="shared" si="23"/>
        <v>0.18536582248352404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7044.9644093146035</v>
      </c>
      <c r="D209" s="465">
        <f>LN_IB18-LN_IF19</f>
        <v>7663.765841726191</v>
      </c>
      <c r="E209" s="465">
        <f t="shared" si="22"/>
        <v>618.80143241158748</v>
      </c>
      <c r="F209" s="449">
        <f t="shared" si="23"/>
        <v>8.7835991278171696E-2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4902.1325705967847</v>
      </c>
      <c r="D210" s="465">
        <f>LN_IA16-LN_IF19</f>
        <v>3079.5020681295637</v>
      </c>
      <c r="E210" s="465">
        <f t="shared" si="22"/>
        <v>-1822.630502467221</v>
      </c>
      <c r="F210" s="449">
        <f t="shared" si="23"/>
        <v>-0.37180359286883469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34814173.594672553</v>
      </c>
      <c r="D211" s="441">
        <f>LN_IF21*LN_IF18</f>
        <v>21543119.792578083</v>
      </c>
      <c r="E211" s="441">
        <f t="shared" si="22"/>
        <v>-13271053.802094471</v>
      </c>
      <c r="F211" s="449">
        <f t="shared" si="23"/>
        <v>-0.38119686414516174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432890493</v>
      </c>
      <c r="D214" s="448">
        <f>LN_IF1+LN_IF14</f>
        <v>462641312</v>
      </c>
      <c r="E214" s="448">
        <f>D214-C214</f>
        <v>29750819</v>
      </c>
      <c r="F214" s="449">
        <f>IF(C214=0,0,E214/C214)</f>
        <v>6.8725969918678714E-2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101488590</v>
      </c>
      <c r="D215" s="448">
        <f>LN_IF2+LN_IF15</f>
        <v>98288600</v>
      </c>
      <c r="E215" s="448">
        <f>D215-C215</f>
        <v>-3199990</v>
      </c>
      <c r="F215" s="449">
        <f>IF(C215=0,0,E215/C215)</f>
        <v>-3.1530539541440077E-2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331401903</v>
      </c>
      <c r="D216" s="448">
        <f>LN_IF23-LN_IF24</f>
        <v>364352712</v>
      </c>
      <c r="E216" s="448">
        <f>D216-C216</f>
        <v>32950809</v>
      </c>
      <c r="F216" s="449">
        <f>IF(C216=0,0,E216/C216)</f>
        <v>9.9428544922990372E-2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1771234</v>
      </c>
      <c r="D221" s="448">
        <v>1968932</v>
      </c>
      <c r="E221" s="448">
        <f t="shared" ref="E221:E230" si="24">D221-C221</f>
        <v>197698</v>
      </c>
      <c r="F221" s="449">
        <f t="shared" ref="F221:F230" si="25">IF(C221=0,0,E221/C221)</f>
        <v>0.1116159694314811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114523</v>
      </c>
      <c r="D222" s="448">
        <v>627627</v>
      </c>
      <c r="E222" s="448">
        <f t="shared" si="24"/>
        <v>513104</v>
      </c>
      <c r="F222" s="449">
        <f t="shared" si="25"/>
        <v>4.4803576574137942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6.4657182506659194E-2</v>
      </c>
      <c r="D223" s="453">
        <f>IF(LN_IG1=0,0,LN_IG2/LN_IG1)</f>
        <v>0.31876519859497432</v>
      </c>
      <c r="E223" s="454">
        <f t="shared" si="24"/>
        <v>0.25410801608831513</v>
      </c>
      <c r="F223" s="449">
        <f t="shared" si="25"/>
        <v>3.9300817981381102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88</v>
      </c>
      <c r="D224" s="456">
        <v>76</v>
      </c>
      <c r="E224" s="456">
        <f t="shared" si="24"/>
        <v>-12</v>
      </c>
      <c r="F224" s="449">
        <f t="shared" si="25"/>
        <v>-0.13636363636363635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1.07</v>
      </c>
      <c r="D225" s="459">
        <v>1.3247</v>
      </c>
      <c r="E225" s="460">
        <f t="shared" si="24"/>
        <v>0.25469999999999993</v>
      </c>
      <c r="F225" s="449">
        <f t="shared" si="25"/>
        <v>0.23803738317757001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94.160000000000011</v>
      </c>
      <c r="D226" s="463">
        <f>LN_IG3*LN_IG4</f>
        <v>100.6772</v>
      </c>
      <c r="E226" s="463">
        <f t="shared" si="24"/>
        <v>6.5171999999999883</v>
      </c>
      <c r="F226" s="449">
        <f t="shared" si="25"/>
        <v>6.9214103653355855E-2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1216.2595581988103</v>
      </c>
      <c r="D227" s="465">
        <f>IF(LN_IG5=0,0,LN_IG2/LN_IG5)</f>
        <v>6234.05299313052</v>
      </c>
      <c r="E227" s="465">
        <f t="shared" si="24"/>
        <v>5017.7934349317093</v>
      </c>
      <c r="F227" s="449">
        <f t="shared" si="25"/>
        <v>4.1255942459870054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374</v>
      </c>
      <c r="D228" s="456">
        <v>230</v>
      </c>
      <c r="E228" s="456">
        <f t="shared" si="24"/>
        <v>-144</v>
      </c>
      <c r="F228" s="449">
        <f t="shared" si="25"/>
        <v>-0.38502673796791442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306.21122994652404</v>
      </c>
      <c r="D229" s="465">
        <f>IF(LN_IG6=0,0,LN_IG2/LN_IG6)</f>
        <v>2728.8130434782611</v>
      </c>
      <c r="E229" s="465">
        <f t="shared" si="24"/>
        <v>2422.6018135317372</v>
      </c>
      <c r="F229" s="449">
        <f t="shared" si="25"/>
        <v>7.9115381037946069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4.25</v>
      </c>
      <c r="D230" s="466">
        <f>IF(LN_IG3=0,0,LN_IG6/LN_IG3)</f>
        <v>3.0263157894736841</v>
      </c>
      <c r="E230" s="466">
        <f t="shared" si="24"/>
        <v>-1.2236842105263159</v>
      </c>
      <c r="F230" s="449">
        <f t="shared" si="25"/>
        <v>-0.28792569659442729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2070268</v>
      </c>
      <c r="D233" s="448">
        <v>2957650</v>
      </c>
      <c r="E233" s="448">
        <f>D233-C233</f>
        <v>887382</v>
      </c>
      <c r="F233" s="449">
        <f>IF(C233=0,0,E233/C233)</f>
        <v>0.42863146220682541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214829</v>
      </c>
      <c r="D234" s="448">
        <v>403767</v>
      </c>
      <c r="E234" s="448">
        <f>D234-C234</f>
        <v>188938</v>
      </c>
      <c r="F234" s="449">
        <f>IF(C234=0,0,E234/C234)</f>
        <v>0.8794808894516104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3841502</v>
      </c>
      <c r="D237" s="448">
        <f>LN_IG1+LN_IG9</f>
        <v>4926582</v>
      </c>
      <c r="E237" s="448">
        <f>D237-C237</f>
        <v>1085080</v>
      </c>
      <c r="F237" s="449">
        <f>IF(C237=0,0,E237/C237)</f>
        <v>0.28246243266305732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329352</v>
      </c>
      <c r="D238" s="448">
        <f>LN_IG2+LN_IG10</f>
        <v>1031394</v>
      </c>
      <c r="E238" s="448">
        <f>D238-C238</f>
        <v>702042</v>
      </c>
      <c r="F238" s="449">
        <f>IF(C238=0,0,E238/C238)</f>
        <v>2.1315856591124391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3512150</v>
      </c>
      <c r="D239" s="448">
        <f>LN_IG13-LN_IG14</f>
        <v>3895188</v>
      </c>
      <c r="E239" s="448">
        <f>D239-C239</f>
        <v>383038</v>
      </c>
      <c r="F239" s="449">
        <f>IF(C239=0,0,E239/C239)</f>
        <v>0.10906083168429595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28501028</v>
      </c>
      <c r="D243" s="448">
        <v>31281747</v>
      </c>
      <c r="E243" s="441">
        <f>D243-C243</f>
        <v>2780719</v>
      </c>
      <c r="F243" s="503">
        <f>IF(C243=0,0,E243/C243)</f>
        <v>9.756556851212525E-2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666788583</v>
      </c>
      <c r="D244" s="448">
        <v>681612332</v>
      </c>
      <c r="E244" s="441">
        <f>D244-C244</f>
        <v>14823749</v>
      </c>
      <c r="F244" s="503">
        <f>IF(C244=0,0,E244/C244)</f>
        <v>2.2231557914962081E-2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4494629</v>
      </c>
      <c r="D248" s="441">
        <v>4105108</v>
      </c>
      <c r="E248" s="441">
        <f>D248-C248</f>
        <v>-389521</v>
      </c>
      <c r="F248" s="449">
        <f>IF(C248=0,0,E248/C248)</f>
        <v>-8.666366011521752E-2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21847988</v>
      </c>
      <c r="D249" s="441">
        <v>20980833</v>
      </c>
      <c r="E249" s="441">
        <f>D249-C249</f>
        <v>-867155</v>
      </c>
      <c r="F249" s="449">
        <f>IF(C249=0,0,E249/C249)</f>
        <v>-3.9690382473663022E-2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26342617</v>
      </c>
      <c r="D250" s="441">
        <f>LN_IH4+LN_IH5</f>
        <v>25085941</v>
      </c>
      <c r="E250" s="441">
        <f>D250-C250</f>
        <v>-1256676</v>
      </c>
      <c r="F250" s="449">
        <f>IF(C250=0,0,E250/C250)</f>
        <v>-4.7705055272222956E-2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9256882.2903065551</v>
      </c>
      <c r="D251" s="441">
        <f>LN_IH6*LN_III10</f>
        <v>8233256.3967600064</v>
      </c>
      <c r="E251" s="441">
        <f>D251-C251</f>
        <v>-1023625.8935465487</v>
      </c>
      <c r="F251" s="449">
        <f>IF(C251=0,0,E251/C251)</f>
        <v>-0.11057998378335757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432890493</v>
      </c>
      <c r="D254" s="441">
        <f>LN_IF23</f>
        <v>462641312</v>
      </c>
      <c r="E254" s="441">
        <f>D254-C254</f>
        <v>29750819</v>
      </c>
      <c r="F254" s="449">
        <f>IF(C254=0,0,E254/C254)</f>
        <v>6.8725969918678714E-2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101488590</v>
      </c>
      <c r="D255" s="441">
        <f>LN_IF24</f>
        <v>98288600</v>
      </c>
      <c r="E255" s="441">
        <f>D255-C255</f>
        <v>-3199990</v>
      </c>
      <c r="F255" s="449">
        <f>IF(C255=0,0,E255/C255)</f>
        <v>-3.1530539541440077E-2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152119143.60269421</v>
      </c>
      <c r="D256" s="441">
        <f>LN_IH8*LN_III10</f>
        <v>151839811.04912278</v>
      </c>
      <c r="E256" s="441">
        <f>D256-C256</f>
        <v>-279332.55357143283</v>
      </c>
      <c r="F256" s="449">
        <f>IF(C256=0,0,E256/C256)</f>
        <v>-1.8362748235093635E-3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50630553.602694213</v>
      </c>
      <c r="D257" s="441">
        <f>LN_IH10-LN_IH9</f>
        <v>53551211.049122781</v>
      </c>
      <c r="E257" s="441">
        <f>D257-C257</f>
        <v>2920657.4464285672</v>
      </c>
      <c r="F257" s="449">
        <f>IF(C257=0,0,E257/C257)</f>
        <v>5.7685670777914422E-2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1145272737</v>
      </c>
      <c r="D261" s="448">
        <f>LN_IA1+LN_IB1+LN_IF1+LN_IG1</f>
        <v>1236781283</v>
      </c>
      <c r="E261" s="448">
        <f t="shared" ref="E261:E274" si="26">D261-C261</f>
        <v>91508546</v>
      </c>
      <c r="F261" s="503">
        <f t="shared" ref="F261:F274" si="27">IF(C261=0,0,E261/C261)</f>
        <v>7.990109520960334E-2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428039963</v>
      </c>
      <c r="D262" s="448">
        <f>+LN_IA2+LN_IB2+LN_IF2+LN_IG2</f>
        <v>429223459</v>
      </c>
      <c r="E262" s="448">
        <f t="shared" si="26"/>
        <v>1183496</v>
      </c>
      <c r="F262" s="503">
        <f t="shared" si="27"/>
        <v>2.7649194054341136E-3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0.37374500341397721</v>
      </c>
      <c r="D263" s="453">
        <f>IF(LN_IIA1=0,0,LN_IIA2/LN_IIA1)</f>
        <v>0.34704879908827019</v>
      </c>
      <c r="E263" s="454">
        <f t="shared" si="26"/>
        <v>-2.6696204325707018E-2</v>
      </c>
      <c r="F263" s="458">
        <f t="shared" si="27"/>
        <v>-7.1428926358480499E-2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31234</v>
      </c>
      <c r="D264" s="456">
        <f>LN_IA4+LN_IB4+LN_IF4+LN_IG3</f>
        <v>31632</v>
      </c>
      <c r="E264" s="456">
        <f t="shared" si="26"/>
        <v>398</v>
      </c>
      <c r="F264" s="503">
        <f t="shared" si="27"/>
        <v>1.2742524172376257E-2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1.4727576166997505</v>
      </c>
      <c r="D265" s="525">
        <f>IF(LN_IIA4=0,0,LN_IIA6/LN_IIA4)</f>
        <v>1.4952013878351036</v>
      </c>
      <c r="E265" s="525">
        <f t="shared" si="26"/>
        <v>2.2443771135353119E-2</v>
      </c>
      <c r="F265" s="503">
        <f t="shared" si="27"/>
        <v>1.523928369533512E-2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46000.111400000009</v>
      </c>
      <c r="D266" s="463">
        <f>LN_IA6+LN_IB6+LN_IF6+LN_IG5</f>
        <v>47296.210299999999</v>
      </c>
      <c r="E266" s="463">
        <f t="shared" si="26"/>
        <v>1296.09889999999</v>
      </c>
      <c r="F266" s="503">
        <f t="shared" si="27"/>
        <v>2.8175994808568871E-2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843357837</v>
      </c>
      <c r="D267" s="448">
        <f>LN_IA11+LN_IB13+LN_IF14+LN_IG9</f>
        <v>867589109</v>
      </c>
      <c r="E267" s="448">
        <f t="shared" si="26"/>
        <v>24231272</v>
      </c>
      <c r="F267" s="503">
        <f t="shared" si="27"/>
        <v>2.8731898770509676E-2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0.73638165805740297</v>
      </c>
      <c r="D268" s="453">
        <f>IF(LN_IIA1=0,0,LN_IIA7/LN_IIA1)</f>
        <v>0.70148952035846746</v>
      </c>
      <c r="E268" s="454">
        <f t="shared" si="26"/>
        <v>-3.489213769893551E-2</v>
      </c>
      <c r="F268" s="458">
        <f t="shared" si="27"/>
        <v>-4.7383224876868905E-2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237000682</v>
      </c>
      <c r="D269" s="448">
        <f>LN_IA12+LN_IB14+LN_IF15+LN_IG10</f>
        <v>242600744</v>
      </c>
      <c r="E269" s="448">
        <f t="shared" si="26"/>
        <v>5600062</v>
      </c>
      <c r="F269" s="503">
        <f t="shared" si="27"/>
        <v>2.3628885591139355E-2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0.28102031142920414</v>
      </c>
      <c r="D270" s="453">
        <f>IF(LN_IIA7=0,0,LN_IIA9/LN_IIA7)</f>
        <v>0.27962631328973958</v>
      </c>
      <c r="E270" s="454">
        <f t="shared" si="26"/>
        <v>-1.3939981394645584E-3</v>
      </c>
      <c r="F270" s="458">
        <f t="shared" si="27"/>
        <v>-4.9604889140397257E-3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1988630574</v>
      </c>
      <c r="D271" s="441">
        <f>LN_IIA1+LN_IIA7</f>
        <v>2104370392</v>
      </c>
      <c r="E271" s="441">
        <f t="shared" si="26"/>
        <v>115739818</v>
      </c>
      <c r="F271" s="503">
        <f t="shared" si="27"/>
        <v>5.8200763637660941E-2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665040645</v>
      </c>
      <c r="D272" s="441">
        <f>LN_IIA2+LN_IIA9</f>
        <v>671824203</v>
      </c>
      <c r="E272" s="441">
        <f t="shared" si="26"/>
        <v>6783558</v>
      </c>
      <c r="F272" s="503">
        <f t="shared" si="27"/>
        <v>1.0200215657495642E-2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0.33442141224969418</v>
      </c>
      <c r="D273" s="453">
        <f>IF(LN_IIA11=0,0,LN_IIA12/LN_IIA11)</f>
        <v>0.31925187959021617</v>
      </c>
      <c r="E273" s="454">
        <f t="shared" si="26"/>
        <v>-1.5169532659478013E-2</v>
      </c>
      <c r="F273" s="458">
        <f t="shared" si="27"/>
        <v>-4.5360530467922766E-2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151867</v>
      </c>
      <c r="D274" s="508">
        <f>LN_IA8+LN_IB10+LN_IF11+LN_IG6</f>
        <v>152490</v>
      </c>
      <c r="E274" s="528">
        <f t="shared" si="26"/>
        <v>623</v>
      </c>
      <c r="F274" s="458">
        <f t="shared" si="27"/>
        <v>4.1022737000138282E-3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844664085</v>
      </c>
      <c r="D277" s="448">
        <f>LN_IA1+LN_IF1+LN_IG1</f>
        <v>918131725</v>
      </c>
      <c r="E277" s="448">
        <f t="shared" ref="E277:E291" si="28">D277-C277</f>
        <v>73467640</v>
      </c>
      <c r="F277" s="503">
        <f t="shared" ref="F277:F291" si="29">IF(C277=0,0,E277/C277)</f>
        <v>8.6978529458843989E-2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276398203</v>
      </c>
      <c r="D278" s="448">
        <f>LN_IA2+LN_IF2+LN_IG2</f>
        <v>260003089</v>
      </c>
      <c r="E278" s="448">
        <f t="shared" si="28"/>
        <v>-16395114</v>
      </c>
      <c r="F278" s="503">
        <f t="shared" si="29"/>
        <v>-5.9317006485747663E-2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0.32722854908646909</v>
      </c>
      <c r="D279" s="453">
        <f>IF(D277=0,0,LN_IIB2/D277)</f>
        <v>0.28318713090978315</v>
      </c>
      <c r="E279" s="454">
        <f t="shared" si="28"/>
        <v>-4.4041418176685942E-2</v>
      </c>
      <c r="F279" s="458">
        <f t="shared" si="29"/>
        <v>-0.13458916802839271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21708</v>
      </c>
      <c r="D280" s="456">
        <f>LN_IA4+LN_IF4+LN_IG3</f>
        <v>22318</v>
      </c>
      <c r="E280" s="456">
        <f t="shared" si="28"/>
        <v>610</v>
      </c>
      <c r="F280" s="503">
        <f t="shared" si="29"/>
        <v>2.8100239543025613E-2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1.4977958909157914</v>
      </c>
      <c r="D281" s="525">
        <f>IF(LN_IIB4=0,0,LN_IIB6/LN_IIB4)</f>
        <v>1.5118117528452371</v>
      </c>
      <c r="E281" s="525">
        <f t="shared" si="28"/>
        <v>1.4015861929445705E-2</v>
      </c>
      <c r="F281" s="503">
        <f t="shared" si="29"/>
        <v>9.3576581525244024E-3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32514.153200000001</v>
      </c>
      <c r="D282" s="463">
        <f>LN_IA6+LN_IF6+LN_IG5</f>
        <v>33740.614699999998</v>
      </c>
      <c r="E282" s="463">
        <f t="shared" si="28"/>
        <v>1226.4614999999976</v>
      </c>
      <c r="F282" s="503">
        <f t="shared" si="29"/>
        <v>3.772085013119756E-2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491826771</v>
      </c>
      <c r="D283" s="448">
        <f>LN_IA11+LN_IF14+LN_IG9</f>
        <v>519008846</v>
      </c>
      <c r="E283" s="448">
        <f t="shared" si="28"/>
        <v>27182075</v>
      </c>
      <c r="F283" s="503">
        <f t="shared" si="29"/>
        <v>5.5267579161525554E-2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0.58227498923432974</v>
      </c>
      <c r="D284" s="453">
        <f>IF(D277=0,0,LN_IIB7/D277)</f>
        <v>0.56528799938810526</v>
      </c>
      <c r="E284" s="454">
        <f t="shared" si="28"/>
        <v>-1.6986989846224487E-2</v>
      </c>
      <c r="F284" s="458">
        <f t="shared" si="29"/>
        <v>-2.9173483595030858E-2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100935604</v>
      </c>
      <c r="D285" s="448">
        <f>LN_IA12+LN_IF15+LN_IG10</f>
        <v>102081090</v>
      </c>
      <c r="E285" s="448">
        <f t="shared" si="28"/>
        <v>1145486</v>
      </c>
      <c r="F285" s="503">
        <f t="shared" si="29"/>
        <v>1.1348681283960018E-2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0.20522592496291747</v>
      </c>
      <c r="D286" s="453">
        <f>IF(LN_IIB7=0,0,LN_IIB9/LN_IIB7)</f>
        <v>0.19668468232620451</v>
      </c>
      <c r="E286" s="454">
        <f t="shared" si="28"/>
        <v>-8.5412426367129646E-3</v>
      </c>
      <c r="F286" s="458">
        <f t="shared" si="29"/>
        <v>-4.1618731348177833E-2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1336490856</v>
      </c>
      <c r="D287" s="441">
        <f>D277+LN_IIB7</f>
        <v>1437140571</v>
      </c>
      <c r="E287" s="441">
        <f t="shared" si="28"/>
        <v>100649715</v>
      </c>
      <c r="F287" s="503">
        <f t="shared" si="29"/>
        <v>7.5308943976792914E-2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377333807</v>
      </c>
      <c r="D288" s="441">
        <f>LN_IIB2+LN_IIB9</f>
        <v>362084179</v>
      </c>
      <c r="E288" s="441">
        <f t="shared" si="28"/>
        <v>-15249628</v>
      </c>
      <c r="F288" s="503">
        <f t="shared" si="29"/>
        <v>-4.041415774865887E-2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0.28233175356644563</v>
      </c>
      <c r="D289" s="453">
        <f>IF(LN_IIB11=0,0,LN_IIB12/LN_IIB11)</f>
        <v>0.2519476426359965</v>
      </c>
      <c r="E289" s="454">
        <f t="shared" si="28"/>
        <v>-3.0384110930449126E-2</v>
      </c>
      <c r="F289" s="458">
        <f t="shared" si="29"/>
        <v>-0.10761846850959451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114888</v>
      </c>
      <c r="D290" s="508">
        <f>LN_IA8+LN_IF11+LN_IG6</f>
        <v>116834</v>
      </c>
      <c r="E290" s="528">
        <f t="shared" si="28"/>
        <v>1946</v>
      </c>
      <c r="F290" s="458">
        <f t="shared" si="29"/>
        <v>1.6938235498920689E-2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959157049</v>
      </c>
      <c r="D291" s="516">
        <f>LN_IIB11-LN_IIB12</f>
        <v>1075056392</v>
      </c>
      <c r="E291" s="441">
        <f t="shared" si="28"/>
        <v>115899343</v>
      </c>
      <c r="F291" s="503">
        <f t="shared" si="29"/>
        <v>0.12083458399313708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5.5293946449359721</v>
      </c>
      <c r="D294" s="466">
        <f>IF(LN_IA4=0,0,LN_IA8/LN_IA4)</f>
        <v>5.4227913109861889</v>
      </c>
      <c r="E294" s="466">
        <f t="shared" ref="E294:E300" si="30">D294-C294</f>
        <v>-0.10660333394978316</v>
      </c>
      <c r="F294" s="503">
        <f t="shared" ref="F294:F300" si="31">IF(C294=0,0,E294/C294)</f>
        <v>-1.9279386044078896E-2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3.8819021625026244</v>
      </c>
      <c r="D295" s="466">
        <f>IF(LN_IB4=0,0,(LN_IB10)/(LN_IB4))</f>
        <v>3.828215589435259</v>
      </c>
      <c r="E295" s="466">
        <f t="shared" si="30"/>
        <v>-5.3686573067365462E-2</v>
      </c>
      <c r="F295" s="503">
        <f t="shared" si="31"/>
        <v>-1.3829965522045577E-2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3.3510971786833856</v>
      </c>
      <c r="D296" s="466">
        <f>IF(LN_IC4=0,0,LN_IC11/LN_IC4)</f>
        <v>3.6766917293233083</v>
      </c>
      <c r="E296" s="466">
        <f t="shared" si="30"/>
        <v>0.32559455063992271</v>
      </c>
      <c r="F296" s="503">
        <f t="shared" si="31"/>
        <v>9.7160581528657947E-2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4.8905535804977145</v>
      </c>
      <c r="D297" s="466">
        <f>IF(LN_ID4=0,0,LN_ID11/LN_ID4)</f>
        <v>4.9108898250989403</v>
      </c>
      <c r="E297" s="466">
        <f t="shared" si="30"/>
        <v>2.033624460122585E-2</v>
      </c>
      <c r="F297" s="503">
        <f t="shared" si="31"/>
        <v>4.1582704833910064E-3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4.25</v>
      </c>
      <c r="D299" s="466">
        <f>IF(LN_IG3=0,0,LN_IG6/LN_IG3)</f>
        <v>3.0263157894736841</v>
      </c>
      <c r="E299" s="466">
        <f t="shared" si="30"/>
        <v>-1.2236842105263159</v>
      </c>
      <c r="F299" s="503">
        <f t="shared" si="31"/>
        <v>-0.28792569659442729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4.8622334635333289</v>
      </c>
      <c r="D300" s="466">
        <f>IF(LN_IIA4=0,0,LN_IIA14/LN_IIA4)</f>
        <v>4.8207511380880117</v>
      </c>
      <c r="E300" s="466">
        <f t="shared" si="30"/>
        <v>-4.1482325445317159E-2</v>
      </c>
      <c r="F300" s="503">
        <f t="shared" si="31"/>
        <v>-8.5315371539507346E-3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1988630574</v>
      </c>
      <c r="D304" s="441">
        <f>LN_IIA11</f>
        <v>2104370392</v>
      </c>
      <c r="E304" s="441">
        <f t="shared" ref="E304:E316" si="32">D304-C304</f>
        <v>115739818</v>
      </c>
      <c r="F304" s="449">
        <f>IF(C304=0,0,E304/C304)</f>
        <v>5.8200763637660941E-2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959157049</v>
      </c>
      <c r="D305" s="441">
        <f>LN_IIB14</f>
        <v>1075056392</v>
      </c>
      <c r="E305" s="441">
        <f t="shared" si="32"/>
        <v>115899343</v>
      </c>
      <c r="F305" s="449">
        <f>IF(C305=0,0,E305/C305)</f>
        <v>0.12083458399313708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26342617</v>
      </c>
      <c r="D306" s="441">
        <f>LN_IH6</f>
        <v>25085941</v>
      </c>
      <c r="E306" s="441">
        <f t="shared" si="32"/>
        <v>-1256676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289620689</v>
      </c>
      <c r="D307" s="441">
        <f>LN_IB32-LN_IB33</f>
        <v>298998607</v>
      </c>
      <c r="E307" s="441">
        <f t="shared" si="32"/>
        <v>9377918</v>
      </c>
      <c r="F307" s="449">
        <f t="shared" ref="F307:F316" si="33">IF(C307=0,0,E307/C307)</f>
        <v>3.2380000311372781E-2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14698892</v>
      </c>
      <c r="D308" s="441">
        <v>14570848</v>
      </c>
      <c r="E308" s="441">
        <f t="shared" si="32"/>
        <v>-128044</v>
      </c>
      <c r="F308" s="449">
        <f t="shared" si="33"/>
        <v>-8.7111327847024123E-3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1289819247</v>
      </c>
      <c r="D309" s="441">
        <f>LN_III2+LN_III3+LN_III4+LN_III5</f>
        <v>1413711788</v>
      </c>
      <c r="E309" s="441">
        <f t="shared" si="32"/>
        <v>123892541</v>
      </c>
      <c r="F309" s="449">
        <f t="shared" si="33"/>
        <v>9.6054188436218921E-2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698811327</v>
      </c>
      <c r="D310" s="441">
        <f>LN_III1-LN_III6</f>
        <v>690658604</v>
      </c>
      <c r="E310" s="441">
        <f t="shared" si="32"/>
        <v>-8152723</v>
      </c>
      <c r="F310" s="449">
        <f t="shared" si="33"/>
        <v>-1.1666558175294144E-2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698811327</v>
      </c>
      <c r="D312" s="441">
        <f>LN_III7+LN_III8</f>
        <v>690658604</v>
      </c>
      <c r="E312" s="441">
        <f t="shared" si="32"/>
        <v>-8152723</v>
      </c>
      <c r="F312" s="449">
        <f t="shared" si="33"/>
        <v>-1.1666558175294144E-2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0.35140329035291196</v>
      </c>
      <c r="D313" s="532">
        <f>IF(LN_III1=0,0,LN_III9/LN_III1)</f>
        <v>0.32820201549385797</v>
      </c>
      <c r="E313" s="532">
        <f t="shared" si="32"/>
        <v>-2.3201274859053989E-2</v>
      </c>
      <c r="F313" s="449">
        <f t="shared" si="33"/>
        <v>-6.6024637492019797E-2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9256882.2903065551</v>
      </c>
      <c r="D314" s="441">
        <f>D313*LN_III5</f>
        <v>8233256.3967600064</v>
      </c>
      <c r="E314" s="441">
        <f t="shared" si="32"/>
        <v>-1023625.8935465487</v>
      </c>
      <c r="F314" s="449">
        <f t="shared" si="33"/>
        <v>-0.11057998378335757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50630553.602694213</v>
      </c>
      <c r="D315" s="441">
        <f>D313*LN_IH8-LN_IH9</f>
        <v>53551211.049122781</v>
      </c>
      <c r="E315" s="441">
        <f t="shared" si="32"/>
        <v>2920657.4464285672</v>
      </c>
      <c r="F315" s="449">
        <f t="shared" si="33"/>
        <v>5.7685670777914422E-2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59887435.893000767</v>
      </c>
      <c r="D318" s="441">
        <f>D314+D315+D316</f>
        <v>61784467.44588279</v>
      </c>
      <c r="E318" s="441">
        <f>D318-C318</f>
        <v>1897031.5528820232</v>
      </c>
      <c r="F318" s="449">
        <f>IF(C318=0,0,E318/C318)</f>
        <v>3.1676620055522117E-2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34814173.594672553</v>
      </c>
      <c r="D322" s="441">
        <f>LN_ID22</f>
        <v>21543119.792578083</v>
      </c>
      <c r="E322" s="441">
        <f>LN_IV2-C322</f>
        <v>-13271053.802094471</v>
      </c>
      <c r="F322" s="449">
        <f>IF(C322=0,0,E322/C322)</f>
        <v>-0.38119686414516174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11659855.767863134</v>
      </c>
      <c r="D324" s="441">
        <f>LN_IC10+LN_IC22</f>
        <v>8053524.278325038</v>
      </c>
      <c r="E324" s="441">
        <f>LN_IV1-C324</f>
        <v>-3606331.4895380959</v>
      </c>
      <c r="F324" s="449">
        <f>IF(C324=0,0,E324/C324)</f>
        <v>-0.30929469123261866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46474029.362535685</v>
      </c>
      <c r="D325" s="516">
        <f>LN_IV1+LN_IV2+LN_IV3</f>
        <v>29596644.070903122</v>
      </c>
      <c r="E325" s="441">
        <f>LN_IV4-C325</f>
        <v>-16877385.291632563</v>
      </c>
      <c r="F325" s="449">
        <f>IF(C325=0,0,E325/C325)</f>
        <v>-0.363157348806041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24439253</v>
      </c>
      <c r="D329" s="518">
        <v>25885100</v>
      </c>
      <c r="E329" s="518">
        <f t="shared" ref="E329:E335" si="34">D329-C329</f>
        <v>1445847</v>
      </c>
      <c r="F329" s="542">
        <f t="shared" ref="F329:F335" si="35">IF(C329=0,0,E329/C329)</f>
        <v>5.916085078377805E-2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-16258906</v>
      </c>
      <c r="D330" s="516">
        <v>-22591203</v>
      </c>
      <c r="E330" s="518">
        <f t="shared" si="34"/>
        <v>-6332297</v>
      </c>
      <c r="F330" s="543">
        <f t="shared" si="35"/>
        <v>0.38946636385006472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648781738</v>
      </c>
      <c r="D331" s="516">
        <v>649233000</v>
      </c>
      <c r="E331" s="518">
        <f t="shared" si="34"/>
        <v>451262</v>
      </c>
      <c r="F331" s="542">
        <f t="shared" si="35"/>
        <v>6.955528702011646E-4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60226057</v>
      </c>
      <c r="D332" s="516">
        <v>75695608</v>
      </c>
      <c r="E332" s="518">
        <f t="shared" si="34"/>
        <v>15469551</v>
      </c>
      <c r="F332" s="543">
        <f t="shared" si="35"/>
        <v>0.25685810711466633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2048856630</v>
      </c>
      <c r="D333" s="516">
        <v>2180066000</v>
      </c>
      <c r="E333" s="518">
        <f t="shared" si="34"/>
        <v>131209370</v>
      </c>
      <c r="F333" s="542">
        <f t="shared" si="35"/>
        <v>6.4040288656019823E-2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14423163</v>
      </c>
      <c r="D334" s="516">
        <v>11490059</v>
      </c>
      <c r="E334" s="516">
        <f t="shared" si="34"/>
        <v>-2933104</v>
      </c>
      <c r="F334" s="543">
        <f t="shared" si="35"/>
        <v>-0.20336066367689251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40765779</v>
      </c>
      <c r="D335" s="516">
        <v>36576000</v>
      </c>
      <c r="E335" s="516">
        <f t="shared" si="34"/>
        <v>-4189779</v>
      </c>
      <c r="F335" s="542">
        <f t="shared" si="35"/>
        <v>-0.10277686586094675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FILING&amp;RSAINT FRANCIS HOSPITAL AND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E8" sqref="E1:E6553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300608652</v>
      </c>
      <c r="D14" s="589">
        <v>318649558</v>
      </c>
      <c r="E14" s="590">
        <f t="shared" ref="E14:E22" si="0">D14-C14</f>
        <v>18040906</v>
      </c>
    </row>
    <row r="15" spans="1:5" s="421" customFormat="1" x14ac:dyDescent="0.2">
      <c r="A15" s="588">
        <v>2</v>
      </c>
      <c r="B15" s="587" t="s">
        <v>636</v>
      </c>
      <c r="C15" s="589">
        <v>615260232</v>
      </c>
      <c r="D15" s="591">
        <v>671779838</v>
      </c>
      <c r="E15" s="590">
        <f t="shared" si="0"/>
        <v>56519606</v>
      </c>
    </row>
    <row r="16" spans="1:5" s="421" customFormat="1" x14ac:dyDescent="0.2">
      <c r="A16" s="588">
        <v>3</v>
      </c>
      <c r="B16" s="587" t="s">
        <v>778</v>
      </c>
      <c r="C16" s="589">
        <v>227632619</v>
      </c>
      <c r="D16" s="591">
        <v>244382955</v>
      </c>
      <c r="E16" s="590">
        <f t="shared" si="0"/>
        <v>16750336</v>
      </c>
    </row>
    <row r="17" spans="1:5" s="421" customFormat="1" x14ac:dyDescent="0.2">
      <c r="A17" s="588">
        <v>4</v>
      </c>
      <c r="B17" s="587" t="s">
        <v>115</v>
      </c>
      <c r="C17" s="589">
        <v>227632619</v>
      </c>
      <c r="D17" s="591">
        <v>244382955</v>
      </c>
      <c r="E17" s="590">
        <f t="shared" si="0"/>
        <v>16750336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1771234</v>
      </c>
      <c r="D19" s="591">
        <v>1968932</v>
      </c>
      <c r="E19" s="590">
        <f t="shared" si="0"/>
        <v>197698</v>
      </c>
    </row>
    <row r="20" spans="1:5" s="421" customFormat="1" x14ac:dyDescent="0.2">
      <c r="A20" s="588">
        <v>7</v>
      </c>
      <c r="B20" s="587" t="s">
        <v>759</v>
      </c>
      <c r="C20" s="589">
        <v>8698928</v>
      </c>
      <c r="D20" s="591">
        <v>7628171</v>
      </c>
      <c r="E20" s="590">
        <f t="shared" si="0"/>
        <v>-1070757</v>
      </c>
    </row>
    <row r="21" spans="1:5" s="421" customFormat="1" x14ac:dyDescent="0.2">
      <c r="A21" s="588"/>
      <c r="B21" s="592" t="s">
        <v>779</v>
      </c>
      <c r="C21" s="593">
        <f>SUM(C15+C16+C19)</f>
        <v>844664085</v>
      </c>
      <c r="D21" s="593">
        <f>SUM(D15+D16+D19)</f>
        <v>918131725</v>
      </c>
      <c r="E21" s="593">
        <f t="shared" si="0"/>
        <v>73467640</v>
      </c>
    </row>
    <row r="22" spans="1:5" s="421" customFormat="1" x14ac:dyDescent="0.2">
      <c r="A22" s="588"/>
      <c r="B22" s="592" t="s">
        <v>465</v>
      </c>
      <c r="C22" s="593">
        <f>SUM(C14+C21)</f>
        <v>1145272737</v>
      </c>
      <c r="D22" s="593">
        <f>SUM(D14+D21)</f>
        <v>1236781283</v>
      </c>
      <c r="E22" s="593">
        <f t="shared" si="0"/>
        <v>91508546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351531066</v>
      </c>
      <c r="D25" s="589">
        <v>348580263</v>
      </c>
      <c r="E25" s="590">
        <f t="shared" ref="E25:E33" si="1">D25-C25</f>
        <v>-2950803</v>
      </c>
    </row>
    <row r="26" spans="1:5" s="421" customFormat="1" x14ac:dyDescent="0.2">
      <c r="A26" s="588">
        <v>2</v>
      </c>
      <c r="B26" s="587" t="s">
        <v>636</v>
      </c>
      <c r="C26" s="589">
        <v>284498629</v>
      </c>
      <c r="D26" s="591">
        <v>297792839</v>
      </c>
      <c r="E26" s="590">
        <f t="shared" si="1"/>
        <v>13294210</v>
      </c>
    </row>
    <row r="27" spans="1:5" s="421" customFormat="1" x14ac:dyDescent="0.2">
      <c r="A27" s="588">
        <v>3</v>
      </c>
      <c r="B27" s="587" t="s">
        <v>778</v>
      </c>
      <c r="C27" s="589">
        <v>205257874</v>
      </c>
      <c r="D27" s="591">
        <v>218258357</v>
      </c>
      <c r="E27" s="590">
        <f t="shared" si="1"/>
        <v>13000483</v>
      </c>
    </row>
    <row r="28" spans="1:5" s="421" customFormat="1" x14ac:dyDescent="0.2">
      <c r="A28" s="588">
        <v>4</v>
      </c>
      <c r="B28" s="587" t="s">
        <v>115</v>
      </c>
      <c r="C28" s="589">
        <v>205257874</v>
      </c>
      <c r="D28" s="591">
        <v>218258357</v>
      </c>
      <c r="E28" s="590">
        <f t="shared" si="1"/>
        <v>13000483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2070268</v>
      </c>
      <c r="D30" s="591">
        <v>2957650</v>
      </c>
      <c r="E30" s="590">
        <f t="shared" si="1"/>
        <v>887382</v>
      </c>
    </row>
    <row r="31" spans="1:5" s="421" customFormat="1" x14ac:dyDescent="0.2">
      <c r="A31" s="588">
        <v>7</v>
      </c>
      <c r="B31" s="587" t="s">
        <v>759</v>
      </c>
      <c r="C31" s="590">
        <v>23806549</v>
      </c>
      <c r="D31" s="594">
        <v>21440444</v>
      </c>
      <c r="E31" s="590">
        <f t="shared" si="1"/>
        <v>-2366105</v>
      </c>
    </row>
    <row r="32" spans="1:5" s="421" customFormat="1" x14ac:dyDescent="0.2">
      <c r="A32" s="588"/>
      <c r="B32" s="592" t="s">
        <v>781</v>
      </c>
      <c r="C32" s="593">
        <f>SUM(C26+C27+C30)</f>
        <v>491826771</v>
      </c>
      <c r="D32" s="593">
        <f>SUM(D26+D27+D30)</f>
        <v>519008846</v>
      </c>
      <c r="E32" s="593">
        <f t="shared" si="1"/>
        <v>27182075</v>
      </c>
    </row>
    <row r="33" spans="1:5" s="421" customFormat="1" x14ac:dyDescent="0.2">
      <c r="A33" s="588"/>
      <c r="B33" s="592" t="s">
        <v>467</v>
      </c>
      <c r="C33" s="593">
        <f>SUM(C25+C32)</f>
        <v>843357837</v>
      </c>
      <c r="D33" s="593">
        <f>SUM(D25+D32)</f>
        <v>867589109</v>
      </c>
      <c r="E33" s="593">
        <f t="shared" si="1"/>
        <v>24231272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652139718</v>
      </c>
      <c r="D36" s="590">
        <f t="shared" si="2"/>
        <v>667229821</v>
      </c>
      <c r="E36" s="590">
        <f t="shared" ref="E36:E44" si="3">D36-C36</f>
        <v>15090103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899758861</v>
      </c>
      <c r="D37" s="590">
        <f t="shared" si="2"/>
        <v>969572677</v>
      </c>
      <c r="E37" s="590">
        <f t="shared" si="3"/>
        <v>69813816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432890493</v>
      </c>
      <c r="D38" s="590">
        <f t="shared" si="2"/>
        <v>462641312</v>
      </c>
      <c r="E38" s="590">
        <f t="shared" si="3"/>
        <v>29750819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432890493</v>
      </c>
      <c r="D39" s="590">
        <f t="shared" si="2"/>
        <v>462641312</v>
      </c>
      <c r="E39" s="590">
        <f t="shared" si="3"/>
        <v>29750819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3841502</v>
      </c>
      <c r="D41" s="590">
        <f t="shared" si="2"/>
        <v>4926582</v>
      </c>
      <c r="E41" s="590">
        <f t="shared" si="3"/>
        <v>1085080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32505477</v>
      </c>
      <c r="D42" s="590">
        <f t="shared" si="2"/>
        <v>29068615</v>
      </c>
      <c r="E42" s="590">
        <f t="shared" si="3"/>
        <v>-3436862</v>
      </c>
    </row>
    <row r="43" spans="1:5" s="421" customFormat="1" x14ac:dyDescent="0.2">
      <c r="A43" s="588"/>
      <c r="B43" s="592" t="s">
        <v>789</v>
      </c>
      <c r="C43" s="593">
        <f>SUM(C37+C38+C41)</f>
        <v>1336490856</v>
      </c>
      <c r="D43" s="593">
        <f>SUM(D37+D38+D41)</f>
        <v>1437140571</v>
      </c>
      <c r="E43" s="593">
        <f t="shared" si="3"/>
        <v>100649715</v>
      </c>
    </row>
    <row r="44" spans="1:5" s="421" customFormat="1" x14ac:dyDescent="0.2">
      <c r="A44" s="588"/>
      <c r="B44" s="592" t="s">
        <v>726</v>
      </c>
      <c r="C44" s="593">
        <f>SUM(C36+C43)</f>
        <v>1988630574</v>
      </c>
      <c r="D44" s="593">
        <f>SUM(D36+D43)</f>
        <v>2104370392</v>
      </c>
      <c r="E44" s="593">
        <f t="shared" si="3"/>
        <v>115739818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151641760</v>
      </c>
      <c r="D47" s="589">
        <v>169220370</v>
      </c>
      <c r="E47" s="590">
        <f t="shared" ref="E47:E55" si="4">D47-C47</f>
        <v>17578610</v>
      </c>
    </row>
    <row r="48" spans="1:5" s="421" customFormat="1" x14ac:dyDescent="0.2">
      <c r="A48" s="588">
        <v>2</v>
      </c>
      <c r="B48" s="587" t="s">
        <v>636</v>
      </c>
      <c r="C48" s="589">
        <v>211507952</v>
      </c>
      <c r="D48" s="591">
        <v>203954317</v>
      </c>
      <c r="E48" s="590">
        <f t="shared" si="4"/>
        <v>-7553635</v>
      </c>
    </row>
    <row r="49" spans="1:5" s="421" customFormat="1" x14ac:dyDescent="0.2">
      <c r="A49" s="588">
        <v>3</v>
      </c>
      <c r="B49" s="587" t="s">
        <v>778</v>
      </c>
      <c r="C49" s="589">
        <v>64775728</v>
      </c>
      <c r="D49" s="591">
        <v>55421145</v>
      </c>
      <c r="E49" s="590">
        <f t="shared" si="4"/>
        <v>-9354583</v>
      </c>
    </row>
    <row r="50" spans="1:5" s="421" customFormat="1" x14ac:dyDescent="0.2">
      <c r="A50" s="588">
        <v>4</v>
      </c>
      <c r="B50" s="587" t="s">
        <v>115</v>
      </c>
      <c r="C50" s="589">
        <v>64775728</v>
      </c>
      <c r="D50" s="591">
        <v>55421145</v>
      </c>
      <c r="E50" s="590">
        <f t="shared" si="4"/>
        <v>-9354583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114523</v>
      </c>
      <c r="D52" s="591">
        <v>627627</v>
      </c>
      <c r="E52" s="590">
        <f t="shared" si="4"/>
        <v>513104</v>
      </c>
    </row>
    <row r="53" spans="1:5" s="421" customFormat="1" x14ac:dyDescent="0.2">
      <c r="A53" s="588">
        <v>7</v>
      </c>
      <c r="B53" s="587" t="s">
        <v>759</v>
      </c>
      <c r="C53" s="589">
        <v>202548</v>
      </c>
      <c r="D53" s="591">
        <v>295974</v>
      </c>
      <c r="E53" s="590">
        <f t="shared" si="4"/>
        <v>93426</v>
      </c>
    </row>
    <row r="54" spans="1:5" s="421" customFormat="1" x14ac:dyDescent="0.2">
      <c r="A54" s="588"/>
      <c r="B54" s="592" t="s">
        <v>791</v>
      </c>
      <c r="C54" s="593">
        <f>SUM(C48+C49+C52)</f>
        <v>276398203</v>
      </c>
      <c r="D54" s="593">
        <f>SUM(D48+D49+D52)</f>
        <v>260003089</v>
      </c>
      <c r="E54" s="593">
        <f t="shared" si="4"/>
        <v>-16395114</v>
      </c>
    </row>
    <row r="55" spans="1:5" s="421" customFormat="1" x14ac:dyDescent="0.2">
      <c r="A55" s="588"/>
      <c r="B55" s="592" t="s">
        <v>466</v>
      </c>
      <c r="C55" s="593">
        <f>SUM(C47+C54)</f>
        <v>428039963</v>
      </c>
      <c r="D55" s="593">
        <f>SUM(D47+D54)</f>
        <v>429223459</v>
      </c>
      <c r="E55" s="593">
        <f t="shared" si="4"/>
        <v>1183496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136065078</v>
      </c>
      <c r="D58" s="589">
        <v>140519654</v>
      </c>
      <c r="E58" s="590">
        <f t="shared" ref="E58:E66" si="5">D58-C58</f>
        <v>4454576</v>
      </c>
    </row>
    <row r="59" spans="1:5" s="421" customFormat="1" x14ac:dyDescent="0.2">
      <c r="A59" s="588">
        <v>2</v>
      </c>
      <c r="B59" s="587" t="s">
        <v>636</v>
      </c>
      <c r="C59" s="589">
        <v>64007913</v>
      </c>
      <c r="D59" s="591">
        <v>58809868</v>
      </c>
      <c r="E59" s="590">
        <f t="shared" si="5"/>
        <v>-5198045</v>
      </c>
    </row>
    <row r="60" spans="1:5" s="421" customFormat="1" x14ac:dyDescent="0.2">
      <c r="A60" s="588">
        <v>3</v>
      </c>
      <c r="B60" s="587" t="s">
        <v>778</v>
      </c>
      <c r="C60" s="589">
        <f>C61+C62</f>
        <v>36712862</v>
      </c>
      <c r="D60" s="591">
        <f>D61+D62</f>
        <v>42867455</v>
      </c>
      <c r="E60" s="590">
        <f t="shared" si="5"/>
        <v>6154593</v>
      </c>
    </row>
    <row r="61" spans="1:5" s="421" customFormat="1" x14ac:dyDescent="0.2">
      <c r="A61" s="588">
        <v>4</v>
      </c>
      <c r="B61" s="587" t="s">
        <v>115</v>
      </c>
      <c r="C61" s="589">
        <v>36712862</v>
      </c>
      <c r="D61" s="591">
        <v>42867455</v>
      </c>
      <c r="E61" s="590">
        <f t="shared" si="5"/>
        <v>6154593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214829</v>
      </c>
      <c r="D63" s="591">
        <v>403767</v>
      </c>
      <c r="E63" s="590">
        <f t="shared" si="5"/>
        <v>188938</v>
      </c>
    </row>
    <row r="64" spans="1:5" s="421" customFormat="1" x14ac:dyDescent="0.2">
      <c r="A64" s="588">
        <v>7</v>
      </c>
      <c r="B64" s="587" t="s">
        <v>759</v>
      </c>
      <c r="C64" s="589">
        <v>533376</v>
      </c>
      <c r="D64" s="591">
        <v>1301392</v>
      </c>
      <c r="E64" s="590">
        <f t="shared" si="5"/>
        <v>768016</v>
      </c>
    </row>
    <row r="65" spans="1:5" s="421" customFormat="1" x14ac:dyDescent="0.2">
      <c r="A65" s="588"/>
      <c r="B65" s="592" t="s">
        <v>793</v>
      </c>
      <c r="C65" s="593">
        <f>SUM(C59+C60+C63)</f>
        <v>100935604</v>
      </c>
      <c r="D65" s="593">
        <f>SUM(D59+D60+D63)</f>
        <v>102081090</v>
      </c>
      <c r="E65" s="593">
        <f t="shared" si="5"/>
        <v>1145486</v>
      </c>
    </row>
    <row r="66" spans="1:5" s="421" customFormat="1" x14ac:dyDescent="0.2">
      <c r="A66" s="588"/>
      <c r="B66" s="592" t="s">
        <v>468</v>
      </c>
      <c r="C66" s="593">
        <f>SUM(C58+C65)</f>
        <v>237000682</v>
      </c>
      <c r="D66" s="593">
        <f>SUM(D58+D65)</f>
        <v>242600744</v>
      </c>
      <c r="E66" s="593">
        <f t="shared" si="5"/>
        <v>5600062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287706838</v>
      </c>
      <c r="D69" s="590">
        <f t="shared" si="6"/>
        <v>309740024</v>
      </c>
      <c r="E69" s="590">
        <f t="shared" ref="E69:E77" si="7">D69-C69</f>
        <v>22033186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275515865</v>
      </c>
      <c r="D70" s="590">
        <f t="shared" si="6"/>
        <v>262764185</v>
      </c>
      <c r="E70" s="590">
        <f t="shared" si="7"/>
        <v>-12751680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101488590</v>
      </c>
      <c r="D71" s="590">
        <f t="shared" si="6"/>
        <v>98288600</v>
      </c>
      <c r="E71" s="590">
        <f t="shared" si="7"/>
        <v>-3199990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101488590</v>
      </c>
      <c r="D72" s="590">
        <f t="shared" si="6"/>
        <v>98288600</v>
      </c>
      <c r="E72" s="590">
        <f t="shared" si="7"/>
        <v>-3199990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329352</v>
      </c>
      <c r="D74" s="590">
        <f t="shared" si="6"/>
        <v>1031394</v>
      </c>
      <c r="E74" s="590">
        <f t="shared" si="7"/>
        <v>702042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735924</v>
      </c>
      <c r="D75" s="590">
        <f t="shared" si="6"/>
        <v>1597366</v>
      </c>
      <c r="E75" s="590">
        <f t="shared" si="7"/>
        <v>861442</v>
      </c>
    </row>
    <row r="76" spans="1:5" s="421" customFormat="1" x14ac:dyDescent="0.2">
      <c r="A76" s="588"/>
      <c r="B76" s="592" t="s">
        <v>794</v>
      </c>
      <c r="C76" s="593">
        <f>SUM(C70+C71+C74)</f>
        <v>377333807</v>
      </c>
      <c r="D76" s="593">
        <f>SUM(D70+D71+D74)</f>
        <v>362084179</v>
      </c>
      <c r="E76" s="593">
        <f t="shared" si="7"/>
        <v>-15249628</v>
      </c>
    </row>
    <row r="77" spans="1:5" s="421" customFormat="1" x14ac:dyDescent="0.2">
      <c r="A77" s="588"/>
      <c r="B77" s="592" t="s">
        <v>727</v>
      </c>
      <c r="C77" s="593">
        <f>SUM(C69+C76)</f>
        <v>665040645</v>
      </c>
      <c r="D77" s="593">
        <f>SUM(D69+D76)</f>
        <v>671824203</v>
      </c>
      <c r="E77" s="593">
        <f t="shared" si="7"/>
        <v>6783558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0.15116364795465526</v>
      </c>
      <c r="D83" s="599">
        <f t="shared" si="8"/>
        <v>0.15142275295802585</v>
      </c>
      <c r="E83" s="599">
        <f t="shared" ref="E83:E91" si="9">D83-C83</f>
        <v>2.5910500337059106E-4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0.30938890311961986</v>
      </c>
      <c r="D84" s="599">
        <f t="shared" si="8"/>
        <v>0.31923079727496945</v>
      </c>
      <c r="E84" s="599">
        <f t="shared" si="9"/>
        <v>9.8418941553495842E-3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0.11446702166613677</v>
      </c>
      <c r="D85" s="599">
        <f t="shared" si="8"/>
        <v>0.11613115064203963</v>
      </c>
      <c r="E85" s="599">
        <f t="shared" si="9"/>
        <v>1.6641289759028594E-3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0.11446702166613677</v>
      </c>
      <c r="D86" s="599">
        <f t="shared" si="8"/>
        <v>0.11613115064203963</v>
      </c>
      <c r="E86" s="599">
        <f t="shared" si="9"/>
        <v>1.6641289759028594E-3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8.9068026166231522E-4</v>
      </c>
      <c r="D88" s="599">
        <f t="shared" si="8"/>
        <v>9.3563947082942996E-4</v>
      </c>
      <c r="E88" s="599">
        <f t="shared" si="9"/>
        <v>4.4959209167114741E-5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4.374330815251762E-3</v>
      </c>
      <c r="D89" s="599">
        <f t="shared" si="8"/>
        <v>3.624918421680588E-3</v>
      </c>
      <c r="E89" s="599">
        <f t="shared" si="9"/>
        <v>-7.49412393571174E-4</v>
      </c>
    </row>
    <row r="90" spans="1:5" s="421" customFormat="1" x14ac:dyDescent="0.2">
      <c r="A90" s="588"/>
      <c r="B90" s="592" t="s">
        <v>797</v>
      </c>
      <c r="C90" s="600">
        <f>SUM(C84+C85+C88)</f>
        <v>0.42474660504741896</v>
      </c>
      <c r="D90" s="600">
        <f>SUM(D84+D85+D88)</f>
        <v>0.43629758738783853</v>
      </c>
      <c r="E90" s="601">
        <f t="shared" si="9"/>
        <v>1.1550982340419569E-2</v>
      </c>
    </row>
    <row r="91" spans="1:5" s="421" customFormat="1" x14ac:dyDescent="0.2">
      <c r="A91" s="588"/>
      <c r="B91" s="592" t="s">
        <v>798</v>
      </c>
      <c r="C91" s="600">
        <f>SUM(C83+C90)</f>
        <v>0.57591025300207421</v>
      </c>
      <c r="D91" s="600">
        <f>SUM(D83+D90)</f>
        <v>0.5877203403458644</v>
      </c>
      <c r="E91" s="601">
        <f t="shared" si="9"/>
        <v>1.1810087343790188E-2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0.17677042211662186</v>
      </c>
      <c r="D95" s="599">
        <f t="shared" si="10"/>
        <v>0.16564586934180739</v>
      </c>
      <c r="E95" s="599">
        <f t="shared" ref="E95:E103" si="11">D95-C95</f>
        <v>-1.1124552774814472E-2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0.14306258423239951</v>
      </c>
      <c r="D96" s="599">
        <f t="shared" si="10"/>
        <v>0.1415116084754342</v>
      </c>
      <c r="E96" s="599">
        <f t="shared" si="11"/>
        <v>-1.550975756965306E-3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0.10321568856659849</v>
      </c>
      <c r="D97" s="599">
        <f t="shared" si="10"/>
        <v>0.10371670207380489</v>
      </c>
      <c r="E97" s="599">
        <f t="shared" si="11"/>
        <v>5.0101350720639648E-4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0.10321568856659849</v>
      </c>
      <c r="D98" s="599">
        <f t="shared" si="10"/>
        <v>0.10371670207380489</v>
      </c>
      <c r="E98" s="599">
        <f t="shared" si="11"/>
        <v>5.0101350720639648E-4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1.0410520823059617E-3</v>
      </c>
      <c r="D100" s="599">
        <f t="shared" si="10"/>
        <v>1.4054797630891588E-3</v>
      </c>
      <c r="E100" s="599">
        <f t="shared" si="11"/>
        <v>3.6442768078319703E-4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1.1971328064274245E-2</v>
      </c>
      <c r="D101" s="599">
        <f t="shared" si="10"/>
        <v>1.0188531487378957E-2</v>
      </c>
      <c r="E101" s="599">
        <f t="shared" si="11"/>
        <v>-1.7827965768952882E-3</v>
      </c>
    </row>
    <row r="102" spans="1:5" s="421" customFormat="1" x14ac:dyDescent="0.2">
      <c r="A102" s="588"/>
      <c r="B102" s="592" t="s">
        <v>800</v>
      </c>
      <c r="C102" s="600">
        <f>SUM(C96+C97+C100)</f>
        <v>0.24731932488130395</v>
      </c>
      <c r="D102" s="600">
        <f>SUM(D96+D97+D100)</f>
        <v>0.24663379031232827</v>
      </c>
      <c r="E102" s="601">
        <f t="shared" si="11"/>
        <v>-6.8553456897568754E-4</v>
      </c>
    </row>
    <row r="103" spans="1:5" s="421" customFormat="1" x14ac:dyDescent="0.2">
      <c r="A103" s="588"/>
      <c r="B103" s="592" t="s">
        <v>801</v>
      </c>
      <c r="C103" s="600">
        <f>SUM(C95+C102)</f>
        <v>0.42408974699792579</v>
      </c>
      <c r="D103" s="600">
        <f>SUM(D95+D102)</f>
        <v>0.41227965965413566</v>
      </c>
      <c r="E103" s="601">
        <f t="shared" si="11"/>
        <v>-1.1810087343790132E-2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0.22801878522778107</v>
      </c>
      <c r="D109" s="599">
        <f t="shared" si="12"/>
        <v>0.25188191977060997</v>
      </c>
      <c r="E109" s="599">
        <f t="shared" ref="E109:E117" si="13">D109-C109</f>
        <v>2.3863134542828901E-2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0.31803763212096609</v>
      </c>
      <c r="D110" s="599">
        <f t="shared" si="12"/>
        <v>0.30358286600758266</v>
      </c>
      <c r="E110" s="599">
        <f t="shared" si="13"/>
        <v>-1.4454766113383422E-2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9.7401156586451945E-2</v>
      </c>
      <c r="D111" s="599">
        <f t="shared" si="12"/>
        <v>8.2493522490734078E-2</v>
      </c>
      <c r="E111" s="599">
        <f t="shared" si="13"/>
        <v>-1.4907634095717867E-2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9.7401156586451945E-2</v>
      </c>
      <c r="D112" s="599">
        <f t="shared" si="12"/>
        <v>8.2493522490734078E-2</v>
      </c>
      <c r="E112" s="599">
        <f t="shared" si="13"/>
        <v>-1.4907634095717867E-2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1.7220451240239609E-4</v>
      </c>
      <c r="D114" s="599">
        <f t="shared" si="12"/>
        <v>9.3421314266047657E-4</v>
      </c>
      <c r="E114" s="599">
        <f t="shared" si="13"/>
        <v>7.6200863025808053E-4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3.0456484355178019E-4</v>
      </c>
      <c r="D115" s="599">
        <f t="shared" si="12"/>
        <v>4.4055274977939431E-4</v>
      </c>
      <c r="E115" s="599">
        <f t="shared" si="13"/>
        <v>1.3598790622761412E-4</v>
      </c>
    </row>
    <row r="116" spans="1:5" s="421" customFormat="1" x14ac:dyDescent="0.2">
      <c r="A116" s="588"/>
      <c r="B116" s="592" t="s">
        <v>797</v>
      </c>
      <c r="C116" s="600">
        <f>SUM(C110+C111+C114)</f>
        <v>0.41561099321982042</v>
      </c>
      <c r="D116" s="600">
        <f>SUM(D110+D111+D114)</f>
        <v>0.38701060164097717</v>
      </c>
      <c r="E116" s="601">
        <f t="shared" si="13"/>
        <v>-2.8600391578843254E-2</v>
      </c>
    </row>
    <row r="117" spans="1:5" s="421" customFormat="1" x14ac:dyDescent="0.2">
      <c r="A117" s="588"/>
      <c r="B117" s="592" t="s">
        <v>798</v>
      </c>
      <c r="C117" s="600">
        <f>SUM(C109+C116)</f>
        <v>0.6436297784476015</v>
      </c>
      <c r="D117" s="600">
        <f>SUM(D109+D116)</f>
        <v>0.63889252141158714</v>
      </c>
      <c r="E117" s="601">
        <f t="shared" si="13"/>
        <v>-4.7372570360143529E-3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0.20459663484176971</v>
      </c>
      <c r="D121" s="599">
        <f t="shared" si="14"/>
        <v>0.20916134514433385</v>
      </c>
      <c r="E121" s="599">
        <f t="shared" ref="E121:E129" si="15">D121-C121</f>
        <v>4.56471030256414E-3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9.6246618129633268E-2</v>
      </c>
      <c r="D122" s="599">
        <f t="shared" si="14"/>
        <v>8.7537584590414053E-2</v>
      </c>
      <c r="E122" s="599">
        <f t="shared" si="15"/>
        <v>-8.7090335392192159E-3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5.5203937196951325E-2</v>
      </c>
      <c r="D123" s="599">
        <f t="shared" si="14"/>
        <v>6.3807547880200446E-2</v>
      </c>
      <c r="E123" s="599">
        <f t="shared" si="15"/>
        <v>8.6036106832491216E-3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5.5203937196951325E-2</v>
      </c>
      <c r="D124" s="599">
        <f t="shared" si="14"/>
        <v>6.3807547880200446E-2</v>
      </c>
      <c r="E124" s="599">
        <f t="shared" si="15"/>
        <v>8.6036106832491216E-3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3.2303138404420382E-4</v>
      </c>
      <c r="D126" s="599">
        <f t="shared" si="14"/>
        <v>6.0100097346448239E-4</v>
      </c>
      <c r="E126" s="599">
        <f t="shared" si="15"/>
        <v>2.7796958942027857E-4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8.0202015321935698E-4</v>
      </c>
      <c r="D127" s="599">
        <f t="shared" si="14"/>
        <v>1.9371019891642695E-3</v>
      </c>
      <c r="E127" s="599">
        <f t="shared" si="15"/>
        <v>1.1350818359449125E-3</v>
      </c>
    </row>
    <row r="128" spans="1:5" s="421" customFormat="1" x14ac:dyDescent="0.2">
      <c r="A128" s="588"/>
      <c r="B128" s="592" t="s">
        <v>800</v>
      </c>
      <c r="C128" s="600">
        <f>SUM(C122+C123+C126)</f>
        <v>0.15177358671062879</v>
      </c>
      <c r="D128" s="600">
        <f>SUM(D122+D123+D126)</f>
        <v>0.15194613344407898</v>
      </c>
      <c r="E128" s="601">
        <f t="shared" si="15"/>
        <v>1.7254673345018512E-4</v>
      </c>
    </row>
    <row r="129" spans="1:5" s="421" customFormat="1" x14ac:dyDescent="0.2">
      <c r="A129" s="588"/>
      <c r="B129" s="592" t="s">
        <v>801</v>
      </c>
      <c r="C129" s="600">
        <f>SUM(C121+C128)</f>
        <v>0.3563702215523985</v>
      </c>
      <c r="D129" s="600">
        <f>SUM(D121+D128)</f>
        <v>0.36110747858841286</v>
      </c>
      <c r="E129" s="601">
        <f t="shared" si="15"/>
        <v>4.7372570360143529E-3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9526</v>
      </c>
      <c r="D137" s="606">
        <v>9314</v>
      </c>
      <c r="E137" s="607">
        <f t="shared" ref="E137:E145" si="16">D137-C137</f>
        <v>-212</v>
      </c>
    </row>
    <row r="138" spans="1:5" s="421" customFormat="1" x14ac:dyDescent="0.2">
      <c r="A138" s="588">
        <v>2</v>
      </c>
      <c r="B138" s="587" t="s">
        <v>636</v>
      </c>
      <c r="C138" s="606">
        <v>13744</v>
      </c>
      <c r="D138" s="606">
        <v>14409</v>
      </c>
      <c r="E138" s="607">
        <f t="shared" si="16"/>
        <v>665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7876</v>
      </c>
      <c r="D139" s="606">
        <f>D140+D141</f>
        <v>7833</v>
      </c>
      <c r="E139" s="607">
        <f t="shared" si="16"/>
        <v>-43</v>
      </c>
    </row>
    <row r="140" spans="1:5" s="421" customFormat="1" x14ac:dyDescent="0.2">
      <c r="A140" s="588">
        <v>4</v>
      </c>
      <c r="B140" s="587" t="s">
        <v>115</v>
      </c>
      <c r="C140" s="606">
        <v>7876</v>
      </c>
      <c r="D140" s="606">
        <v>7833</v>
      </c>
      <c r="E140" s="607">
        <f t="shared" si="16"/>
        <v>-43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88</v>
      </c>
      <c r="D142" s="606">
        <v>76</v>
      </c>
      <c r="E142" s="607">
        <f t="shared" si="16"/>
        <v>-12</v>
      </c>
    </row>
    <row r="143" spans="1:5" s="421" customFormat="1" x14ac:dyDescent="0.2">
      <c r="A143" s="588">
        <v>7</v>
      </c>
      <c r="B143" s="587" t="s">
        <v>759</v>
      </c>
      <c r="C143" s="606">
        <v>319</v>
      </c>
      <c r="D143" s="606">
        <v>266</v>
      </c>
      <c r="E143" s="607">
        <f t="shared" si="16"/>
        <v>-53</v>
      </c>
    </row>
    <row r="144" spans="1:5" s="421" customFormat="1" x14ac:dyDescent="0.2">
      <c r="A144" s="588"/>
      <c r="B144" s="592" t="s">
        <v>808</v>
      </c>
      <c r="C144" s="608">
        <f>SUM(C138+C139+C142)</f>
        <v>21708</v>
      </c>
      <c r="D144" s="608">
        <f>SUM(D138+D139+D142)</f>
        <v>22318</v>
      </c>
      <c r="E144" s="609">
        <f t="shared" si="16"/>
        <v>610</v>
      </c>
    </row>
    <row r="145" spans="1:5" s="421" customFormat="1" x14ac:dyDescent="0.2">
      <c r="A145" s="588"/>
      <c r="B145" s="592" t="s">
        <v>138</v>
      </c>
      <c r="C145" s="608">
        <f>SUM(C137+C144)</f>
        <v>31234</v>
      </c>
      <c r="D145" s="608">
        <f>SUM(D137+D144)</f>
        <v>31632</v>
      </c>
      <c r="E145" s="609">
        <f t="shared" si="16"/>
        <v>398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36979</v>
      </c>
      <c r="D149" s="610">
        <v>35656</v>
      </c>
      <c r="E149" s="607">
        <f t="shared" ref="E149:E157" si="17">D149-C149</f>
        <v>-1323</v>
      </c>
    </row>
    <row r="150" spans="1:5" s="421" customFormat="1" x14ac:dyDescent="0.2">
      <c r="A150" s="588">
        <v>2</v>
      </c>
      <c r="B150" s="587" t="s">
        <v>636</v>
      </c>
      <c r="C150" s="610">
        <v>75996</v>
      </c>
      <c r="D150" s="610">
        <v>78137</v>
      </c>
      <c r="E150" s="607">
        <f t="shared" si="17"/>
        <v>2141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38518</v>
      </c>
      <c r="D151" s="610">
        <f>D152+D153</f>
        <v>38467</v>
      </c>
      <c r="E151" s="607">
        <f t="shared" si="17"/>
        <v>-51</v>
      </c>
    </row>
    <row r="152" spans="1:5" s="421" customFormat="1" x14ac:dyDescent="0.2">
      <c r="A152" s="588">
        <v>4</v>
      </c>
      <c r="B152" s="587" t="s">
        <v>115</v>
      </c>
      <c r="C152" s="610">
        <v>38518</v>
      </c>
      <c r="D152" s="610">
        <v>38467</v>
      </c>
      <c r="E152" s="607">
        <f t="shared" si="17"/>
        <v>-51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374</v>
      </c>
      <c r="D154" s="610">
        <v>230</v>
      </c>
      <c r="E154" s="607">
        <f t="shared" si="17"/>
        <v>-144</v>
      </c>
    </row>
    <row r="155" spans="1:5" s="421" customFormat="1" x14ac:dyDescent="0.2">
      <c r="A155" s="588">
        <v>7</v>
      </c>
      <c r="B155" s="587" t="s">
        <v>759</v>
      </c>
      <c r="C155" s="610">
        <v>1069</v>
      </c>
      <c r="D155" s="610">
        <v>978</v>
      </c>
      <c r="E155" s="607">
        <f t="shared" si="17"/>
        <v>-91</v>
      </c>
    </row>
    <row r="156" spans="1:5" s="421" customFormat="1" x14ac:dyDescent="0.2">
      <c r="A156" s="588"/>
      <c r="B156" s="592" t="s">
        <v>809</v>
      </c>
      <c r="C156" s="608">
        <f>SUM(C150+C151+C154)</f>
        <v>114888</v>
      </c>
      <c r="D156" s="608">
        <f>SUM(D150+D151+D154)</f>
        <v>116834</v>
      </c>
      <c r="E156" s="609">
        <f t="shared" si="17"/>
        <v>1946</v>
      </c>
    </row>
    <row r="157" spans="1:5" s="421" customFormat="1" x14ac:dyDescent="0.2">
      <c r="A157" s="588"/>
      <c r="B157" s="592" t="s">
        <v>140</v>
      </c>
      <c r="C157" s="608">
        <f>SUM(C149+C156)</f>
        <v>151867</v>
      </c>
      <c r="D157" s="608">
        <f>SUM(D149+D156)</f>
        <v>152490</v>
      </c>
      <c r="E157" s="609">
        <f t="shared" si="17"/>
        <v>623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3.8819021625026244</v>
      </c>
      <c r="D161" s="612">
        <f t="shared" si="18"/>
        <v>3.828215589435259</v>
      </c>
      <c r="E161" s="613">
        <f t="shared" ref="E161:E169" si="19">D161-C161</f>
        <v>-5.3686573067365462E-2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5.5293946449359721</v>
      </c>
      <c r="D162" s="612">
        <f t="shared" si="18"/>
        <v>5.4227913109861889</v>
      </c>
      <c r="E162" s="613">
        <f t="shared" si="19"/>
        <v>-0.10660333394978316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4.8905535804977145</v>
      </c>
      <c r="D163" s="612">
        <f t="shared" si="18"/>
        <v>4.9108898250989403</v>
      </c>
      <c r="E163" s="613">
        <f t="shared" si="19"/>
        <v>2.033624460122585E-2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4.8905535804977145</v>
      </c>
      <c r="D164" s="612">
        <f t="shared" si="18"/>
        <v>4.9108898250989403</v>
      </c>
      <c r="E164" s="613">
        <f t="shared" si="19"/>
        <v>2.033624460122585E-2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4.25</v>
      </c>
      <c r="D166" s="612">
        <f t="shared" si="18"/>
        <v>3.0263157894736841</v>
      </c>
      <c r="E166" s="613">
        <f t="shared" si="19"/>
        <v>-1.2236842105263159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3.3510971786833856</v>
      </c>
      <c r="D167" s="612">
        <f t="shared" si="18"/>
        <v>3.6766917293233083</v>
      </c>
      <c r="E167" s="613">
        <f t="shared" si="19"/>
        <v>0.32559455063992271</v>
      </c>
    </row>
    <row r="168" spans="1:5" s="421" customFormat="1" x14ac:dyDescent="0.2">
      <c r="A168" s="588"/>
      <c r="B168" s="592" t="s">
        <v>811</v>
      </c>
      <c r="C168" s="614">
        <f t="shared" si="18"/>
        <v>5.2924267551133219</v>
      </c>
      <c r="D168" s="614">
        <f t="shared" si="18"/>
        <v>5.2349672909758942</v>
      </c>
      <c r="E168" s="615">
        <f t="shared" si="19"/>
        <v>-5.7459464137427751E-2</v>
      </c>
    </row>
    <row r="169" spans="1:5" s="421" customFormat="1" x14ac:dyDescent="0.2">
      <c r="A169" s="588"/>
      <c r="B169" s="592" t="s">
        <v>745</v>
      </c>
      <c r="C169" s="614">
        <f t="shared" si="18"/>
        <v>4.8622334635333289</v>
      </c>
      <c r="D169" s="614">
        <f t="shared" si="18"/>
        <v>4.8207511380880117</v>
      </c>
      <c r="E169" s="615">
        <f t="shared" si="19"/>
        <v>-4.1482325445317159E-2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1.4157</v>
      </c>
      <c r="D173" s="617">
        <f t="shared" si="20"/>
        <v>1.4554</v>
      </c>
      <c r="E173" s="618">
        <f t="shared" ref="E173:E181" si="21">D173-C173</f>
        <v>3.9700000000000069E-2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1.696</v>
      </c>
      <c r="D174" s="617">
        <f t="shared" si="20"/>
        <v>1.6785000000000003</v>
      </c>
      <c r="E174" s="618">
        <f t="shared" si="21"/>
        <v>-1.7499999999999627E-2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1.1567000000000001</v>
      </c>
      <c r="D175" s="617">
        <f t="shared" si="20"/>
        <v>1.2070000000000001</v>
      </c>
      <c r="E175" s="618">
        <f t="shared" si="21"/>
        <v>5.0300000000000011E-2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1.1567000000000001</v>
      </c>
      <c r="D176" s="617">
        <f t="shared" si="20"/>
        <v>1.2070000000000001</v>
      </c>
      <c r="E176" s="618">
        <f t="shared" si="21"/>
        <v>5.0300000000000011E-2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1.07</v>
      </c>
      <c r="D178" s="617">
        <f t="shared" si="20"/>
        <v>1.3247</v>
      </c>
      <c r="E178" s="618">
        <f t="shared" si="21"/>
        <v>0.25469999999999993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1.2447999999999999</v>
      </c>
      <c r="D179" s="617">
        <f t="shared" si="20"/>
        <v>1.2336</v>
      </c>
      <c r="E179" s="618">
        <f t="shared" si="21"/>
        <v>-1.1199999999999877E-2</v>
      </c>
    </row>
    <row r="180" spans="1:5" s="421" customFormat="1" x14ac:dyDescent="0.2">
      <c r="A180" s="588"/>
      <c r="B180" s="592" t="s">
        <v>813</v>
      </c>
      <c r="C180" s="619">
        <f t="shared" si="20"/>
        <v>1.4977958909157914</v>
      </c>
      <c r="D180" s="619">
        <f t="shared" si="20"/>
        <v>1.5118117528452371</v>
      </c>
      <c r="E180" s="620">
        <f t="shared" si="21"/>
        <v>1.4015861929445705E-2</v>
      </c>
    </row>
    <row r="181" spans="1:5" s="421" customFormat="1" x14ac:dyDescent="0.2">
      <c r="A181" s="588"/>
      <c r="B181" s="592" t="s">
        <v>724</v>
      </c>
      <c r="C181" s="619">
        <f t="shared" si="20"/>
        <v>1.4727576166997502</v>
      </c>
      <c r="D181" s="619">
        <f t="shared" si="20"/>
        <v>1.4952013878351036</v>
      </c>
      <c r="E181" s="620">
        <f t="shared" si="21"/>
        <v>2.2443771135353341E-2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558621454</v>
      </c>
      <c r="D185" s="589">
        <v>584513139</v>
      </c>
      <c r="E185" s="590">
        <f>D185-C185</f>
        <v>25891685</v>
      </c>
    </row>
    <row r="186" spans="1:5" s="421" customFormat="1" ht="25.5" x14ac:dyDescent="0.2">
      <c r="A186" s="588">
        <v>2</v>
      </c>
      <c r="B186" s="587" t="s">
        <v>816</v>
      </c>
      <c r="C186" s="589">
        <v>269000765</v>
      </c>
      <c r="D186" s="589">
        <v>285514532</v>
      </c>
      <c r="E186" s="590">
        <f>D186-C186</f>
        <v>16513767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289620689</v>
      </c>
      <c r="D188" s="622">
        <f>+D185-D186</f>
        <v>298998607</v>
      </c>
      <c r="E188" s="590">
        <f t="shared" ref="E188:E197" si="22">D188-C188</f>
        <v>9377918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0.51845607956188522</v>
      </c>
      <c r="D189" s="623">
        <f>IF(D185=0,0,+D188/D185)</f>
        <v>0.51153444986974017</v>
      </c>
      <c r="E189" s="599">
        <f t="shared" si="22"/>
        <v>-6.9216296921450482E-3</v>
      </c>
    </row>
    <row r="190" spans="1:5" s="421" customFormat="1" x14ac:dyDescent="0.2">
      <c r="A190" s="588">
        <v>5</v>
      </c>
      <c r="B190" s="587" t="s">
        <v>763</v>
      </c>
      <c r="C190" s="589">
        <v>24439253</v>
      </c>
      <c r="D190" s="589">
        <v>25885100</v>
      </c>
      <c r="E190" s="622">
        <f t="shared" si="22"/>
        <v>1445847</v>
      </c>
    </row>
    <row r="191" spans="1:5" s="421" customFormat="1" x14ac:dyDescent="0.2">
      <c r="A191" s="588">
        <v>6</v>
      </c>
      <c r="B191" s="587" t="s">
        <v>749</v>
      </c>
      <c r="C191" s="589">
        <v>14698892</v>
      </c>
      <c r="D191" s="589">
        <v>14570848</v>
      </c>
      <c r="E191" s="622">
        <f t="shared" si="22"/>
        <v>-128044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4494629</v>
      </c>
      <c r="D193" s="589">
        <v>4105108</v>
      </c>
      <c r="E193" s="622">
        <f t="shared" si="22"/>
        <v>-389521</v>
      </c>
    </row>
    <row r="194" spans="1:5" s="421" customFormat="1" x14ac:dyDescent="0.2">
      <c r="A194" s="588">
        <v>9</v>
      </c>
      <c r="B194" s="587" t="s">
        <v>819</v>
      </c>
      <c r="C194" s="589">
        <v>21847988</v>
      </c>
      <c r="D194" s="589">
        <v>20980833</v>
      </c>
      <c r="E194" s="622">
        <f t="shared" si="22"/>
        <v>-867155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26342617</v>
      </c>
      <c r="D195" s="589">
        <f>+D193+D194</f>
        <v>25085941</v>
      </c>
      <c r="E195" s="625">
        <f t="shared" si="22"/>
        <v>-1256676</v>
      </c>
    </row>
    <row r="196" spans="1:5" s="421" customFormat="1" x14ac:dyDescent="0.2">
      <c r="A196" s="588">
        <v>11</v>
      </c>
      <c r="B196" s="587" t="s">
        <v>821</v>
      </c>
      <c r="C196" s="589">
        <v>28501028</v>
      </c>
      <c r="D196" s="589">
        <v>31281747</v>
      </c>
      <c r="E196" s="622">
        <f t="shared" si="22"/>
        <v>2780719</v>
      </c>
    </row>
    <row r="197" spans="1:5" s="421" customFormat="1" x14ac:dyDescent="0.2">
      <c r="A197" s="588">
        <v>12</v>
      </c>
      <c r="B197" s="587" t="s">
        <v>711</v>
      </c>
      <c r="C197" s="589">
        <v>666788583</v>
      </c>
      <c r="D197" s="589">
        <v>681612332</v>
      </c>
      <c r="E197" s="622">
        <f t="shared" si="22"/>
        <v>14823749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13485.958199999999</v>
      </c>
      <c r="D203" s="629">
        <v>13555.595600000001</v>
      </c>
      <c r="E203" s="630">
        <f t="shared" ref="E203:E211" si="23">D203-C203</f>
        <v>69.637400000001435</v>
      </c>
    </row>
    <row r="204" spans="1:5" s="421" customFormat="1" x14ac:dyDescent="0.2">
      <c r="A204" s="588">
        <v>2</v>
      </c>
      <c r="B204" s="587" t="s">
        <v>636</v>
      </c>
      <c r="C204" s="629">
        <v>23309.824000000001</v>
      </c>
      <c r="D204" s="629">
        <v>24185.506500000003</v>
      </c>
      <c r="E204" s="630">
        <f t="shared" si="23"/>
        <v>875.68250000000262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9110.1692000000003</v>
      </c>
      <c r="D205" s="629">
        <f>D206+D207</f>
        <v>9454.4310000000005</v>
      </c>
      <c r="E205" s="630">
        <f t="shared" si="23"/>
        <v>344.26180000000022</v>
      </c>
    </row>
    <row r="206" spans="1:5" s="421" customFormat="1" x14ac:dyDescent="0.2">
      <c r="A206" s="588">
        <v>4</v>
      </c>
      <c r="B206" s="587" t="s">
        <v>115</v>
      </c>
      <c r="C206" s="629">
        <v>9110.1692000000003</v>
      </c>
      <c r="D206" s="629">
        <v>9454.4310000000005</v>
      </c>
      <c r="E206" s="630">
        <f t="shared" si="23"/>
        <v>344.26180000000022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94.160000000000011</v>
      </c>
      <c r="D208" s="629">
        <v>100.6772</v>
      </c>
      <c r="E208" s="630">
        <f t="shared" si="23"/>
        <v>6.5171999999999883</v>
      </c>
    </row>
    <row r="209" spans="1:5" s="421" customFormat="1" x14ac:dyDescent="0.2">
      <c r="A209" s="588">
        <v>7</v>
      </c>
      <c r="B209" s="587" t="s">
        <v>759</v>
      </c>
      <c r="C209" s="629">
        <v>397.09119999999996</v>
      </c>
      <c r="D209" s="629">
        <v>328.13760000000002</v>
      </c>
      <c r="E209" s="630">
        <f t="shared" si="23"/>
        <v>-68.953599999999938</v>
      </c>
    </row>
    <row r="210" spans="1:5" s="421" customFormat="1" x14ac:dyDescent="0.2">
      <c r="A210" s="588"/>
      <c r="B210" s="592" t="s">
        <v>824</v>
      </c>
      <c r="C210" s="631">
        <f>C204+C205+C208</f>
        <v>32514.153200000001</v>
      </c>
      <c r="D210" s="631">
        <f>D204+D205+D208</f>
        <v>33740.614699999998</v>
      </c>
      <c r="E210" s="632">
        <f t="shared" si="23"/>
        <v>1226.4614999999976</v>
      </c>
    </row>
    <row r="211" spans="1:5" s="421" customFormat="1" x14ac:dyDescent="0.2">
      <c r="A211" s="588"/>
      <c r="B211" s="592" t="s">
        <v>725</v>
      </c>
      <c r="C211" s="631">
        <f>C210+C203</f>
        <v>46000.111400000002</v>
      </c>
      <c r="D211" s="631">
        <f>D210+D203</f>
        <v>47296.210299999999</v>
      </c>
      <c r="E211" s="632">
        <f t="shared" si="23"/>
        <v>1296.0988999999972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11139.682482312584</v>
      </c>
      <c r="D215" s="633">
        <f>IF(D14*D137=0,0,D25/D14*D137)</f>
        <v>10188.862617477724</v>
      </c>
      <c r="E215" s="633">
        <f t="shared" ref="E215:E223" si="24">D215-C215</f>
        <v>-950.81986483486071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6355.2769277244624</v>
      </c>
      <c r="D216" s="633">
        <f>IF(D15*D138=0,0,D26/D15*D138)</f>
        <v>6387.3560568976172</v>
      </c>
      <c r="E216" s="633">
        <f t="shared" si="24"/>
        <v>32.079129173154797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7101.8425334903341</v>
      </c>
      <c r="D217" s="633">
        <f>D218+D219</f>
        <v>6995.6503733290238</v>
      </c>
      <c r="E217" s="633">
        <f t="shared" si="24"/>
        <v>-106.19216016131031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7101.8425334903341</v>
      </c>
      <c r="D218" s="633">
        <f t="shared" si="25"/>
        <v>6995.6503733290238</v>
      </c>
      <c r="E218" s="633">
        <f t="shared" si="24"/>
        <v>-106.19216016131031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102.85686927870627</v>
      </c>
      <c r="D220" s="633">
        <f t="shared" si="25"/>
        <v>114.16412552591964</v>
      </c>
      <c r="E220" s="633">
        <f t="shared" si="24"/>
        <v>11.307256247213374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873.0143680922522</v>
      </c>
      <c r="D221" s="633">
        <f t="shared" si="25"/>
        <v>747.64423922851222</v>
      </c>
      <c r="E221" s="633">
        <f t="shared" si="24"/>
        <v>-125.37012886373998</v>
      </c>
    </row>
    <row r="222" spans="1:5" s="421" customFormat="1" x14ac:dyDescent="0.2">
      <c r="A222" s="588"/>
      <c r="B222" s="592" t="s">
        <v>826</v>
      </c>
      <c r="C222" s="634">
        <f>C216+C218+C219+C220</f>
        <v>13559.976330493502</v>
      </c>
      <c r="D222" s="634">
        <f>D216+D218+D219+D220</f>
        <v>13497.17055575256</v>
      </c>
      <c r="E222" s="634">
        <f t="shared" si="24"/>
        <v>-62.80577474094207</v>
      </c>
    </row>
    <row r="223" spans="1:5" s="421" customFormat="1" x14ac:dyDescent="0.2">
      <c r="A223" s="588"/>
      <c r="B223" s="592" t="s">
        <v>827</v>
      </c>
      <c r="C223" s="634">
        <f>C215+C222</f>
        <v>24699.658812806087</v>
      </c>
      <c r="D223" s="634">
        <f>D215+D222</f>
        <v>23686.033173230284</v>
      </c>
      <c r="E223" s="634">
        <f t="shared" si="24"/>
        <v>-1013.6256395758028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11244.418657622713</v>
      </c>
      <c r="D227" s="636">
        <f t="shared" si="26"/>
        <v>12483.433040743705</v>
      </c>
      <c r="E227" s="636">
        <f t="shared" ref="E227:E235" si="27">D227-C227</f>
        <v>1239.0143831209916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9073.7687251521074</v>
      </c>
      <c r="D228" s="636">
        <f t="shared" si="26"/>
        <v>8432.9148533647603</v>
      </c>
      <c r="E228" s="636">
        <f t="shared" si="27"/>
        <v>-640.85387178734709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7110.2661847378204</v>
      </c>
      <c r="D229" s="636">
        <f t="shared" si="26"/>
        <v>5861.9228380851264</v>
      </c>
      <c r="E229" s="636">
        <f t="shared" si="27"/>
        <v>-1248.343346652694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7110.2661847378204</v>
      </c>
      <c r="D230" s="636">
        <f t="shared" si="26"/>
        <v>5861.9228380851264</v>
      </c>
      <c r="E230" s="636">
        <f t="shared" si="27"/>
        <v>-1248.343346652694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1216.2595581988103</v>
      </c>
      <c r="D232" s="636">
        <f t="shared" si="26"/>
        <v>6234.05299313052</v>
      </c>
      <c r="E232" s="636">
        <f t="shared" si="27"/>
        <v>5017.7934349317093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510.07929664520395</v>
      </c>
      <c r="D233" s="636">
        <f t="shared" si="26"/>
        <v>901.98136391562559</v>
      </c>
      <c r="E233" s="636">
        <f t="shared" si="27"/>
        <v>391.90206727042164</v>
      </c>
    </row>
    <row r="234" spans="1:5" x14ac:dyDescent="0.2">
      <c r="A234" s="588"/>
      <c r="B234" s="592" t="s">
        <v>829</v>
      </c>
      <c r="C234" s="637">
        <f t="shared" si="26"/>
        <v>8500.8581124603916</v>
      </c>
      <c r="D234" s="637">
        <f t="shared" si="26"/>
        <v>7705.9381197343746</v>
      </c>
      <c r="E234" s="637">
        <f t="shared" si="27"/>
        <v>-794.91999272601697</v>
      </c>
    </row>
    <row r="235" spans="1:5" s="421" customFormat="1" x14ac:dyDescent="0.2">
      <c r="A235" s="588"/>
      <c r="B235" s="592" t="s">
        <v>830</v>
      </c>
      <c r="C235" s="637">
        <f t="shared" si="26"/>
        <v>9305.1940522039695</v>
      </c>
      <c r="D235" s="637">
        <f t="shared" si="26"/>
        <v>9075.2188447538265</v>
      </c>
      <c r="E235" s="637">
        <f t="shared" si="27"/>
        <v>-229.97520745014299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12214.448501206567</v>
      </c>
      <c r="D239" s="636">
        <f t="shared" si="28"/>
        <v>13791.495604127202</v>
      </c>
      <c r="E239" s="638">
        <f t="shared" ref="E239:E247" si="29">D239-C239</f>
        <v>1577.0471029206346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10071.616662488748</v>
      </c>
      <c r="D240" s="636">
        <f t="shared" si="28"/>
        <v>9207.2318305305744</v>
      </c>
      <c r="E240" s="638">
        <f t="shared" si="29"/>
        <v>-864.38483195817389</v>
      </c>
    </row>
    <row r="241" spans="1:5" x14ac:dyDescent="0.2">
      <c r="A241" s="588">
        <v>3</v>
      </c>
      <c r="B241" s="587" t="s">
        <v>778</v>
      </c>
      <c r="C241" s="636">
        <f t="shared" si="28"/>
        <v>5169.4840918919635</v>
      </c>
      <c r="D241" s="636">
        <f t="shared" si="28"/>
        <v>6127.7297624010107</v>
      </c>
      <c r="E241" s="638">
        <f t="shared" si="29"/>
        <v>958.24567050904716</v>
      </c>
    </row>
    <row r="242" spans="1:5" x14ac:dyDescent="0.2">
      <c r="A242" s="588">
        <v>4</v>
      </c>
      <c r="B242" s="587" t="s">
        <v>115</v>
      </c>
      <c r="C242" s="636">
        <f t="shared" si="28"/>
        <v>5169.4840918919635</v>
      </c>
      <c r="D242" s="636">
        <f t="shared" si="28"/>
        <v>6127.7297624010107</v>
      </c>
      <c r="E242" s="638">
        <f t="shared" si="29"/>
        <v>958.24567050904716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2088.6208330713262</v>
      </c>
      <c r="D244" s="636">
        <f t="shared" si="28"/>
        <v>3536.7239764678034</v>
      </c>
      <c r="E244" s="638">
        <f t="shared" si="29"/>
        <v>1448.1031433964772</v>
      </c>
    </row>
    <row r="245" spans="1:5" x14ac:dyDescent="0.2">
      <c r="A245" s="588">
        <v>7</v>
      </c>
      <c r="B245" s="587" t="s">
        <v>759</v>
      </c>
      <c r="C245" s="636">
        <f t="shared" si="28"/>
        <v>610.95901682071474</v>
      </c>
      <c r="D245" s="636">
        <f t="shared" si="28"/>
        <v>1740.6567612196081</v>
      </c>
      <c r="E245" s="638">
        <f t="shared" si="29"/>
        <v>1129.6977443988935</v>
      </c>
    </row>
    <row r="246" spans="1:5" ht="25.5" x14ac:dyDescent="0.2">
      <c r="A246" s="588"/>
      <c r="B246" s="592" t="s">
        <v>832</v>
      </c>
      <c r="C246" s="637">
        <f t="shared" si="28"/>
        <v>7443.6416067347627</v>
      </c>
      <c r="D246" s="637">
        <f t="shared" si="28"/>
        <v>7563.1473706533652</v>
      </c>
      <c r="E246" s="639">
        <f t="shared" si="29"/>
        <v>119.5057639186025</v>
      </c>
    </row>
    <row r="247" spans="1:5" x14ac:dyDescent="0.2">
      <c r="A247" s="588"/>
      <c r="B247" s="592" t="s">
        <v>833</v>
      </c>
      <c r="C247" s="637">
        <f t="shared" si="28"/>
        <v>9595.301854012725</v>
      </c>
      <c r="D247" s="637">
        <f t="shared" si="28"/>
        <v>10242.354311746254</v>
      </c>
      <c r="E247" s="639">
        <f t="shared" si="29"/>
        <v>647.05245773352908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34814173.594672553</v>
      </c>
      <c r="D251" s="622">
        <f>((IF((IF(D15=0,0,D26/D15)*D138)=0,0,D59/(IF(D15=0,0,D26/D15)*D138)))-(IF((IF(D17=0,0,D28/D17)*D140)=0,0,D61/(IF(D17=0,0,D28/D17)*D140))))*(IF(D17=0,0,D28/D17)*D140)</f>
        <v>21543119.792578083</v>
      </c>
      <c r="E251" s="622">
        <f>D251-C251</f>
        <v>-13271053.802094471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11659855.767863134</v>
      </c>
      <c r="D253" s="622">
        <f>IF(D233=0,0,(D228-D233)*D209+IF(D221=0,0,(D240-D245)*D221))</f>
        <v>8053524.278325038</v>
      </c>
      <c r="E253" s="622">
        <f>D253-C253</f>
        <v>-3606331.4895380959</v>
      </c>
    </row>
    <row r="254" spans="1:5" ht="15" customHeight="1" x14ac:dyDescent="0.2">
      <c r="A254" s="588"/>
      <c r="B254" s="592" t="s">
        <v>760</v>
      </c>
      <c r="C254" s="640">
        <f>+C251+C252+C253</f>
        <v>46474029.362535685</v>
      </c>
      <c r="D254" s="640">
        <f>+D251+D252+D253</f>
        <v>29596644.070903122</v>
      </c>
      <c r="E254" s="640">
        <f>D254-C254</f>
        <v>-16877385.291632563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1988630574</v>
      </c>
      <c r="D258" s="625">
        <f>+D44</f>
        <v>2104370392</v>
      </c>
      <c r="E258" s="622">
        <f t="shared" ref="E258:E271" si="30">D258-C258</f>
        <v>115739818</v>
      </c>
    </row>
    <row r="259" spans="1:5" x14ac:dyDescent="0.2">
      <c r="A259" s="588">
        <v>2</v>
      </c>
      <c r="B259" s="587" t="s">
        <v>743</v>
      </c>
      <c r="C259" s="622">
        <f>+(C43-C76)</f>
        <v>959157049</v>
      </c>
      <c r="D259" s="625">
        <f>+(D43-D76)</f>
        <v>1075056392</v>
      </c>
      <c r="E259" s="622">
        <f t="shared" si="30"/>
        <v>115899343</v>
      </c>
    </row>
    <row r="260" spans="1:5" x14ac:dyDescent="0.2">
      <c r="A260" s="588">
        <v>3</v>
      </c>
      <c r="B260" s="587" t="s">
        <v>747</v>
      </c>
      <c r="C260" s="622">
        <f>C195</f>
        <v>26342617</v>
      </c>
      <c r="D260" s="622">
        <f>D195</f>
        <v>25085941</v>
      </c>
      <c r="E260" s="622">
        <f t="shared" si="30"/>
        <v>-1256676</v>
      </c>
    </row>
    <row r="261" spans="1:5" x14ac:dyDescent="0.2">
      <c r="A261" s="588">
        <v>4</v>
      </c>
      <c r="B261" s="587" t="s">
        <v>748</v>
      </c>
      <c r="C261" s="622">
        <f>C188</f>
        <v>289620689</v>
      </c>
      <c r="D261" s="622">
        <f>D188</f>
        <v>298998607</v>
      </c>
      <c r="E261" s="622">
        <f t="shared" si="30"/>
        <v>9377918</v>
      </c>
    </row>
    <row r="262" spans="1:5" x14ac:dyDescent="0.2">
      <c r="A262" s="588">
        <v>5</v>
      </c>
      <c r="B262" s="587" t="s">
        <v>749</v>
      </c>
      <c r="C262" s="622">
        <f>C191</f>
        <v>14698892</v>
      </c>
      <c r="D262" s="622">
        <f>D191</f>
        <v>14570848</v>
      </c>
      <c r="E262" s="622">
        <f t="shared" si="30"/>
        <v>-128044</v>
      </c>
    </row>
    <row r="263" spans="1:5" x14ac:dyDescent="0.2">
      <c r="A263" s="588">
        <v>6</v>
      </c>
      <c r="B263" s="587" t="s">
        <v>750</v>
      </c>
      <c r="C263" s="622">
        <f>+C259+C260+C261+C262</f>
        <v>1289819247</v>
      </c>
      <c r="D263" s="622">
        <f>+D259+D260+D261+D262</f>
        <v>1413711788</v>
      </c>
      <c r="E263" s="622">
        <f t="shared" si="30"/>
        <v>123892541</v>
      </c>
    </row>
    <row r="264" spans="1:5" x14ac:dyDescent="0.2">
      <c r="A264" s="588">
        <v>7</v>
      </c>
      <c r="B264" s="587" t="s">
        <v>655</v>
      </c>
      <c r="C264" s="622">
        <f>+C258-C263</f>
        <v>698811327</v>
      </c>
      <c r="D264" s="622">
        <f>+D258-D263</f>
        <v>690658604</v>
      </c>
      <c r="E264" s="622">
        <f t="shared" si="30"/>
        <v>-8152723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698811327</v>
      </c>
      <c r="D266" s="622">
        <f>+D264+D265</f>
        <v>690658604</v>
      </c>
      <c r="E266" s="641">
        <f t="shared" si="30"/>
        <v>-8152723</v>
      </c>
    </row>
    <row r="267" spans="1:5" x14ac:dyDescent="0.2">
      <c r="A267" s="588">
        <v>10</v>
      </c>
      <c r="B267" s="587" t="s">
        <v>838</v>
      </c>
      <c r="C267" s="642">
        <f>IF(C258=0,0,C266/C258)</f>
        <v>0.35140329035291196</v>
      </c>
      <c r="D267" s="642">
        <f>IF(D258=0,0,D266/D258)</f>
        <v>0.32820201549385797</v>
      </c>
      <c r="E267" s="643">
        <f t="shared" si="30"/>
        <v>-2.3201274859053989E-2</v>
      </c>
    </row>
    <row r="268" spans="1:5" x14ac:dyDescent="0.2">
      <c r="A268" s="588">
        <v>11</v>
      </c>
      <c r="B268" s="587" t="s">
        <v>717</v>
      </c>
      <c r="C268" s="622">
        <f>+C260*C267</f>
        <v>9256882.2903065551</v>
      </c>
      <c r="D268" s="644">
        <f>+D260*D267</f>
        <v>8233256.3967600064</v>
      </c>
      <c r="E268" s="622">
        <f t="shared" si="30"/>
        <v>-1023625.8935465487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50630553.602694213</v>
      </c>
      <c r="D269" s="644">
        <f>((D17+D18+D28+D29)*D267)-(D50+D51+D61+D62)</f>
        <v>53551211.049122781</v>
      </c>
      <c r="E269" s="622">
        <f t="shared" si="30"/>
        <v>2920657.4464285672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59887435.893000767</v>
      </c>
      <c r="D271" s="622">
        <f>+D268+D269+D270</f>
        <v>61784467.44588279</v>
      </c>
      <c r="E271" s="625">
        <f t="shared" si="30"/>
        <v>1897031.5528820232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0.50444908684797274</v>
      </c>
      <c r="D276" s="623">
        <f t="shared" si="31"/>
        <v>0.5310547771103451</v>
      </c>
      <c r="E276" s="650">
        <f t="shared" ref="E276:E284" si="32">D276-C276</f>
        <v>2.6605690262372361E-2</v>
      </c>
    </row>
    <row r="277" spans="1:5" x14ac:dyDescent="0.2">
      <c r="A277" s="588">
        <v>2</v>
      </c>
      <c r="B277" s="587" t="s">
        <v>636</v>
      </c>
      <c r="C277" s="623">
        <f t="shared" si="31"/>
        <v>0.34376990580467098</v>
      </c>
      <c r="D277" s="623">
        <f t="shared" si="31"/>
        <v>0.30360291491808661</v>
      </c>
      <c r="E277" s="650">
        <f t="shared" si="32"/>
        <v>-4.0166990886584375E-2</v>
      </c>
    </row>
    <row r="278" spans="1:5" x14ac:dyDescent="0.2">
      <c r="A278" s="588">
        <v>3</v>
      </c>
      <c r="B278" s="587" t="s">
        <v>778</v>
      </c>
      <c r="C278" s="623">
        <f t="shared" si="31"/>
        <v>0.2845625916204918</v>
      </c>
      <c r="D278" s="623">
        <f t="shared" si="31"/>
        <v>0.22677991188051555</v>
      </c>
      <c r="E278" s="650">
        <f t="shared" si="32"/>
        <v>-5.778267973997625E-2</v>
      </c>
    </row>
    <row r="279" spans="1:5" x14ac:dyDescent="0.2">
      <c r="A279" s="588">
        <v>4</v>
      </c>
      <c r="B279" s="587" t="s">
        <v>115</v>
      </c>
      <c r="C279" s="623">
        <f t="shared" si="31"/>
        <v>0.2845625916204918</v>
      </c>
      <c r="D279" s="623">
        <f t="shared" si="31"/>
        <v>0.22677991188051555</v>
      </c>
      <c r="E279" s="650">
        <f t="shared" si="32"/>
        <v>-5.778267973997625E-2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6.4657182506659194E-2</v>
      </c>
      <c r="D281" s="623">
        <f t="shared" si="31"/>
        <v>0.31876519859497432</v>
      </c>
      <c r="E281" s="650">
        <f t="shared" si="32"/>
        <v>0.25410801608831513</v>
      </c>
    </row>
    <row r="282" spans="1:5" x14ac:dyDescent="0.2">
      <c r="A282" s="588">
        <v>7</v>
      </c>
      <c r="B282" s="587" t="s">
        <v>759</v>
      </c>
      <c r="C282" s="623">
        <f t="shared" si="31"/>
        <v>2.328424835795859E-2</v>
      </c>
      <c r="D282" s="623">
        <f t="shared" si="31"/>
        <v>3.8800126530986259E-2</v>
      </c>
      <c r="E282" s="650">
        <f t="shared" si="32"/>
        <v>1.5515878173027669E-2</v>
      </c>
    </row>
    <row r="283" spans="1:5" ht="29.25" customHeight="1" x14ac:dyDescent="0.2">
      <c r="A283" s="588"/>
      <c r="B283" s="592" t="s">
        <v>845</v>
      </c>
      <c r="C283" s="651">
        <f t="shared" si="31"/>
        <v>0.32722854908646909</v>
      </c>
      <c r="D283" s="651">
        <f t="shared" si="31"/>
        <v>0.28318713090978315</v>
      </c>
      <c r="E283" s="652">
        <f t="shared" si="32"/>
        <v>-4.4041418176685942E-2</v>
      </c>
    </row>
    <row r="284" spans="1:5" x14ac:dyDescent="0.2">
      <c r="A284" s="588"/>
      <c r="B284" s="592" t="s">
        <v>846</v>
      </c>
      <c r="C284" s="651">
        <f t="shared" si="31"/>
        <v>0.37374500341397721</v>
      </c>
      <c r="D284" s="651">
        <f t="shared" si="31"/>
        <v>0.34704879908827019</v>
      </c>
      <c r="E284" s="652">
        <f t="shared" si="32"/>
        <v>-2.6696204325707018E-2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0.38706416348420258</v>
      </c>
      <c r="D287" s="623">
        <f t="shared" si="33"/>
        <v>0.40311993797537526</v>
      </c>
      <c r="E287" s="650">
        <f t="shared" ref="E287:E295" si="34">D287-C287</f>
        <v>1.6055774491172681E-2</v>
      </c>
    </row>
    <row r="288" spans="1:5" x14ac:dyDescent="0.2">
      <c r="A288" s="588">
        <v>2</v>
      </c>
      <c r="B288" s="587" t="s">
        <v>636</v>
      </c>
      <c r="C288" s="623">
        <f t="shared" si="33"/>
        <v>0.22498496117533137</v>
      </c>
      <c r="D288" s="623">
        <f t="shared" si="33"/>
        <v>0.19748583679005122</v>
      </c>
      <c r="E288" s="650">
        <f t="shared" si="34"/>
        <v>-2.7499124385280155E-2</v>
      </c>
    </row>
    <row r="289" spans="1:5" x14ac:dyDescent="0.2">
      <c r="A289" s="588">
        <v>3</v>
      </c>
      <c r="B289" s="587" t="s">
        <v>778</v>
      </c>
      <c r="C289" s="623">
        <f t="shared" si="33"/>
        <v>0.17886213709881843</v>
      </c>
      <c r="D289" s="623">
        <f t="shared" si="33"/>
        <v>0.19640693529091305</v>
      </c>
      <c r="E289" s="650">
        <f t="shared" si="34"/>
        <v>1.7544798192094618E-2</v>
      </c>
    </row>
    <row r="290" spans="1:5" x14ac:dyDescent="0.2">
      <c r="A290" s="588">
        <v>4</v>
      </c>
      <c r="B290" s="587" t="s">
        <v>115</v>
      </c>
      <c r="C290" s="623">
        <f t="shared" si="33"/>
        <v>0.17886213709881843</v>
      </c>
      <c r="D290" s="623">
        <f t="shared" si="33"/>
        <v>0.19640693529091305</v>
      </c>
      <c r="E290" s="650">
        <f t="shared" si="34"/>
        <v>1.7544798192094618E-2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0.10376869081684111</v>
      </c>
      <c r="D292" s="623">
        <f t="shared" si="33"/>
        <v>0.13651615302689635</v>
      </c>
      <c r="E292" s="650">
        <f t="shared" si="34"/>
        <v>3.2747462210055242E-2</v>
      </c>
    </row>
    <row r="293" spans="1:5" x14ac:dyDescent="0.2">
      <c r="A293" s="588">
        <v>7</v>
      </c>
      <c r="B293" s="587" t="s">
        <v>759</v>
      </c>
      <c r="C293" s="623">
        <f t="shared" si="33"/>
        <v>2.2404591274443011E-2</v>
      </c>
      <c r="D293" s="623">
        <f t="shared" si="33"/>
        <v>6.0697996739246633E-2</v>
      </c>
      <c r="E293" s="650">
        <f t="shared" si="34"/>
        <v>3.8293405464803622E-2</v>
      </c>
    </row>
    <row r="294" spans="1:5" ht="29.25" customHeight="1" x14ac:dyDescent="0.2">
      <c r="A294" s="588"/>
      <c r="B294" s="592" t="s">
        <v>848</v>
      </c>
      <c r="C294" s="651">
        <f t="shared" si="33"/>
        <v>0.20522592496291747</v>
      </c>
      <c r="D294" s="651">
        <f t="shared" si="33"/>
        <v>0.19668468232620451</v>
      </c>
      <c r="E294" s="652">
        <f t="shared" si="34"/>
        <v>-8.5412426367129646E-3</v>
      </c>
    </row>
    <row r="295" spans="1:5" x14ac:dyDescent="0.2">
      <c r="A295" s="588"/>
      <c r="B295" s="592" t="s">
        <v>849</v>
      </c>
      <c r="C295" s="651">
        <f t="shared" si="33"/>
        <v>0.28102031142920414</v>
      </c>
      <c r="D295" s="651">
        <f t="shared" si="33"/>
        <v>0.27962631328973958</v>
      </c>
      <c r="E295" s="652">
        <f t="shared" si="34"/>
        <v>-1.3939981394645584E-3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665040645</v>
      </c>
      <c r="D301" s="590">
        <f>+D48+D47+D50+D51+D52+D59+D58+D61+D62+D63</f>
        <v>671824203</v>
      </c>
      <c r="E301" s="590">
        <f>D301-C301</f>
        <v>6783558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665040645</v>
      </c>
      <c r="D303" s="593">
        <f>+D301+D302</f>
        <v>671824203</v>
      </c>
      <c r="E303" s="593">
        <f>D303-C303</f>
        <v>6783558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-16258906</v>
      </c>
      <c r="D305" s="654">
        <v>-22591203</v>
      </c>
      <c r="E305" s="655">
        <f>D305-C305</f>
        <v>-6332297</v>
      </c>
    </row>
    <row r="306" spans="1:5" x14ac:dyDescent="0.2">
      <c r="A306" s="588">
        <v>4</v>
      </c>
      <c r="B306" s="592" t="s">
        <v>856</v>
      </c>
      <c r="C306" s="593">
        <f>+C303+C305+C194+C190-C191</f>
        <v>680370088</v>
      </c>
      <c r="D306" s="593">
        <f>+D303+D305</f>
        <v>649233000</v>
      </c>
      <c r="E306" s="656">
        <f>D306-C306</f>
        <v>-31137088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648781738</v>
      </c>
      <c r="D308" s="589">
        <v>649233000</v>
      </c>
      <c r="E308" s="590">
        <f>D308-C308</f>
        <v>451262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31588350</v>
      </c>
      <c r="D310" s="658">
        <f>D306-D308</f>
        <v>0</v>
      </c>
      <c r="E310" s="656">
        <f>D310-C310</f>
        <v>-31588350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1988630574</v>
      </c>
      <c r="D314" s="590">
        <f>+D14+D15+D16+D19+D25+D26+D27+D30</f>
        <v>2104370392</v>
      </c>
      <c r="E314" s="590">
        <f>D314-C314</f>
        <v>115739818</v>
      </c>
    </row>
    <row r="315" spans="1:5" x14ac:dyDescent="0.2">
      <c r="A315" s="588">
        <v>2</v>
      </c>
      <c r="B315" s="659" t="s">
        <v>861</v>
      </c>
      <c r="C315" s="589">
        <v>60226057</v>
      </c>
      <c r="D315" s="589">
        <v>75695608</v>
      </c>
      <c r="E315" s="590">
        <f>D315-C315</f>
        <v>15469551</v>
      </c>
    </row>
    <row r="316" spans="1:5" x14ac:dyDescent="0.2">
      <c r="A316" s="588"/>
      <c r="B316" s="592" t="s">
        <v>862</v>
      </c>
      <c r="C316" s="657">
        <f>C314+C315</f>
        <v>2048856631</v>
      </c>
      <c r="D316" s="657">
        <f>D314+D315</f>
        <v>2180066000</v>
      </c>
      <c r="E316" s="593">
        <f>D316-C316</f>
        <v>131209369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2048856630</v>
      </c>
      <c r="D318" s="589">
        <v>2180066000</v>
      </c>
      <c r="E318" s="590">
        <f>D318-C318</f>
        <v>131209370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1</v>
      </c>
      <c r="D320" s="657">
        <f>D316-D318</f>
        <v>0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26342617</v>
      </c>
      <c r="D324" s="589">
        <f>+D193+D194</f>
        <v>25085941</v>
      </c>
      <c r="E324" s="590">
        <f>D324-C324</f>
        <v>-1256676</v>
      </c>
    </row>
    <row r="325" spans="1:5" x14ac:dyDescent="0.2">
      <c r="A325" s="588">
        <v>2</v>
      </c>
      <c r="B325" s="587" t="s">
        <v>866</v>
      </c>
      <c r="C325" s="589">
        <v>14423163</v>
      </c>
      <c r="D325" s="589">
        <v>11490059</v>
      </c>
      <c r="E325" s="590">
        <f>D325-C325</f>
        <v>-2933104</v>
      </c>
    </row>
    <row r="326" spans="1:5" x14ac:dyDescent="0.2">
      <c r="A326" s="588"/>
      <c r="B326" s="592" t="s">
        <v>867</v>
      </c>
      <c r="C326" s="657">
        <f>C324+C325</f>
        <v>40765780</v>
      </c>
      <c r="D326" s="657">
        <f>D324+D325</f>
        <v>36576000</v>
      </c>
      <c r="E326" s="593">
        <f>D326-C326</f>
        <v>-4189780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40765779</v>
      </c>
      <c r="D328" s="589">
        <v>36576000</v>
      </c>
      <c r="E328" s="590">
        <f>D328-C328</f>
        <v>-4189779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1</v>
      </c>
      <c r="D330" s="657">
        <f>D326-D328</f>
        <v>0</v>
      </c>
      <c r="E330" s="593">
        <f>D330-C330</f>
        <v>-1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FILING&amp;RSAINT FRANCIS HOSPITAL AND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318649558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671779838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244382955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244382955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1968932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7628171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918131725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1236781283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348580263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297792839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218258357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218258357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2957650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21440444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519008846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867589109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667229821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1437140571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2104370392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169220370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203954317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55421145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55421145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627627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295974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260003089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429223459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140519654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58809868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42867455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42867455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403767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1301392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102081090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242600744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309740024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362084179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671824203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9314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14409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7833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7833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76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266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22318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31632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1.4554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1.6785000000000001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1.2070000000000001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1.2070000000000001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1.3247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1.2336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1.5118117528452371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1.4952013878351036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584513139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285514532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298998607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0.51153444986974017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25885100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14570848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4105108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20980833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25085941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31281747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681612332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671824203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671824203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-22591203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649233000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649233000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2104370392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75695608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2180066000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2180066000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25085941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11490059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36576000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36576000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FILING&amp;RSAINT FRANCIS HOSPITAL AND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6687</v>
      </c>
      <c r="D12" s="185">
        <v>940</v>
      </c>
      <c r="E12" s="185">
        <f>+D12-C12</f>
        <v>-5747</v>
      </c>
      <c r="F12" s="77">
        <f>IF(C12=0,0,+E12/C12)</f>
        <v>-0.85942874233587563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6226</v>
      </c>
      <c r="D13" s="185">
        <v>579</v>
      </c>
      <c r="E13" s="185">
        <f>+D13-C13</f>
        <v>-5647</v>
      </c>
      <c r="F13" s="77">
        <f>IF(C13=0,0,+E13/C13)</f>
        <v>-0.90700289110183108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4494629</v>
      </c>
      <c r="D15" s="76">
        <v>4105108</v>
      </c>
      <c r="E15" s="76">
        <f>+D15-C15</f>
        <v>-389521</v>
      </c>
      <c r="F15" s="77">
        <f>IF(C15=0,0,+E15/C15)</f>
        <v>-8.666366011521752E-2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721.91278509476388</v>
      </c>
      <c r="D16" s="79">
        <f>IF(D13=0,0,+D15/+D13)</f>
        <v>7089.9965457685666</v>
      </c>
      <c r="E16" s="79">
        <f>+D16-C16</f>
        <v>6368.0837606738023</v>
      </c>
      <c r="F16" s="80">
        <f>IF(C16=0,0,+E16/C16)</f>
        <v>8.8211261694691814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0.33960099999999999</v>
      </c>
      <c r="D18" s="704">
        <v>0.330563</v>
      </c>
      <c r="E18" s="704">
        <f>+D18-C18</f>
        <v>-9.0379999999999905E-3</v>
      </c>
      <c r="F18" s="77">
        <f>IF(C18=0,0,+E18/C18)</f>
        <v>-2.661358476565143E-2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1526380.503029</v>
      </c>
      <c r="D19" s="79">
        <f>+D15*D18</f>
        <v>1356996.815804</v>
      </c>
      <c r="E19" s="79">
        <f>+D19-C19</f>
        <v>-169383.687225</v>
      </c>
      <c r="F19" s="80">
        <f>IF(C19=0,0,+E19/C19)</f>
        <v>-0.11097081421629103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245.16230373096693</v>
      </c>
      <c r="D20" s="79">
        <f>IF(D13=0,0,+D19/D13)</f>
        <v>2343.6905281588947</v>
      </c>
      <c r="E20" s="79">
        <f>+D20-C20</f>
        <v>2098.5282244279279</v>
      </c>
      <c r="F20" s="80">
        <f>IF(C20=0,0,+E20/C20)</f>
        <v>8.5597507956638559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1258496</v>
      </c>
      <c r="D22" s="76">
        <v>1268357</v>
      </c>
      <c r="E22" s="76">
        <f>+D22-C22</f>
        <v>9861</v>
      </c>
      <c r="F22" s="77">
        <f>IF(C22=0,0,+E22/C22)</f>
        <v>7.8355433787632225E-3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1168604</v>
      </c>
      <c r="D23" s="185">
        <v>2153242</v>
      </c>
      <c r="E23" s="185">
        <f>+D23-C23</f>
        <v>984638</v>
      </c>
      <c r="F23" s="77">
        <f>IF(C23=0,0,+E23/C23)</f>
        <v>0.84257627049026018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2067529</v>
      </c>
      <c r="D24" s="185">
        <v>683509</v>
      </c>
      <c r="E24" s="185">
        <f>+D24-C24</f>
        <v>-1384020</v>
      </c>
      <c r="F24" s="77">
        <f>IF(C24=0,0,+E24/C24)</f>
        <v>-0.66940778097913012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4494629</v>
      </c>
      <c r="D25" s="79">
        <f>+D22+D23+D24</f>
        <v>4105108</v>
      </c>
      <c r="E25" s="79">
        <f>+E22+E23+E24</f>
        <v>-389521</v>
      </c>
      <c r="F25" s="80">
        <f>IF(C25=0,0,+E25/C25)</f>
        <v>-8.666366011521752E-2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785</v>
      </c>
      <c r="D27" s="185">
        <v>818</v>
      </c>
      <c r="E27" s="185">
        <f>+D27-C27</f>
        <v>33</v>
      </c>
      <c r="F27" s="77">
        <f>IF(C27=0,0,+E27/C27)</f>
        <v>4.2038216560509552E-2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164</v>
      </c>
      <c r="D28" s="185">
        <v>162</v>
      </c>
      <c r="E28" s="185">
        <f>+D28-C28</f>
        <v>-2</v>
      </c>
      <c r="F28" s="77">
        <f>IF(C28=0,0,+E28/C28)</f>
        <v>-1.2195121951219513E-2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496</v>
      </c>
      <c r="D29" s="185">
        <v>431</v>
      </c>
      <c r="E29" s="185">
        <f>+D29-C29</f>
        <v>-65</v>
      </c>
      <c r="F29" s="77">
        <f>IF(C29=0,0,+E29/C29)</f>
        <v>-0.13104838709677419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2324</v>
      </c>
      <c r="D30" s="185">
        <v>1854</v>
      </c>
      <c r="E30" s="185">
        <f>+D30-C30</f>
        <v>-470</v>
      </c>
      <c r="F30" s="77">
        <f>IF(C30=0,0,+E30/C30)</f>
        <v>-0.20223752151462995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6117437</v>
      </c>
      <c r="D33" s="76">
        <v>7540268</v>
      </c>
      <c r="E33" s="76">
        <f>+D33-C33</f>
        <v>1422831</v>
      </c>
      <c r="F33" s="77">
        <f>IF(C33=0,0,+E33/C33)</f>
        <v>0.23258613043338247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5680477</v>
      </c>
      <c r="D34" s="185">
        <v>4334601</v>
      </c>
      <c r="E34" s="185">
        <f>+D34-C34</f>
        <v>-1345876</v>
      </c>
      <c r="F34" s="77">
        <f>IF(C34=0,0,+E34/C34)</f>
        <v>-0.2369301028769239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10050074</v>
      </c>
      <c r="D35" s="185">
        <v>9105964</v>
      </c>
      <c r="E35" s="185">
        <f>+D35-C35</f>
        <v>-944110</v>
      </c>
      <c r="F35" s="77">
        <f>IF(C35=0,0,+E35/C35)</f>
        <v>-9.3940601830394488E-2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21847988</v>
      </c>
      <c r="D36" s="79">
        <f>+D33+D34+D35</f>
        <v>20980833</v>
      </c>
      <c r="E36" s="79">
        <f>+E33+E34+E35</f>
        <v>-867155</v>
      </c>
      <c r="F36" s="80">
        <f>IF(C36=0,0,+E36/C36)</f>
        <v>-3.9690382473663022E-2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4494629</v>
      </c>
      <c r="D39" s="76">
        <f>+D25</f>
        <v>4105108</v>
      </c>
      <c r="E39" s="76">
        <f>+D39-C39</f>
        <v>-389521</v>
      </c>
      <c r="F39" s="77">
        <f>IF(C39=0,0,+E39/C39)</f>
        <v>-8.666366011521752E-2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21847988</v>
      </c>
      <c r="D40" s="185">
        <f>+D36</f>
        <v>20980833</v>
      </c>
      <c r="E40" s="185">
        <f>+D40-C40</f>
        <v>-867155</v>
      </c>
      <c r="F40" s="77">
        <f>IF(C40=0,0,+E40/C40)</f>
        <v>-3.9690382473663022E-2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26342617</v>
      </c>
      <c r="D41" s="79">
        <f>+D39+D40</f>
        <v>25085941</v>
      </c>
      <c r="E41" s="79">
        <f>+E39+E40</f>
        <v>-1256676</v>
      </c>
      <c r="F41" s="80">
        <f>IF(C41=0,0,+E41/C41)</f>
        <v>-4.7705055272222956E-2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7375933</v>
      </c>
      <c r="D43" s="76">
        <f t="shared" si="0"/>
        <v>8808625</v>
      </c>
      <c r="E43" s="76">
        <f>+D43-C43</f>
        <v>1432692</v>
      </c>
      <c r="F43" s="77">
        <f>IF(C43=0,0,+E43/C43)</f>
        <v>0.19423874918603518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6849081</v>
      </c>
      <c r="D44" s="185">
        <f t="shared" si="0"/>
        <v>6487843</v>
      </c>
      <c r="E44" s="185">
        <f>+D44-C44</f>
        <v>-361238</v>
      </c>
      <c r="F44" s="77">
        <f>IF(C44=0,0,+E44/C44)</f>
        <v>-5.2742550423918184E-2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12117603</v>
      </c>
      <c r="D45" s="185">
        <f t="shared" si="0"/>
        <v>9789473</v>
      </c>
      <c r="E45" s="185">
        <f>+D45-C45</f>
        <v>-2328130</v>
      </c>
      <c r="F45" s="77">
        <f>IF(C45=0,0,+E45/C45)</f>
        <v>-0.19212793157194538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26342617</v>
      </c>
      <c r="D46" s="79">
        <f>+D43+D44+D45</f>
        <v>25085941</v>
      </c>
      <c r="E46" s="79">
        <f>+E43+E44+E45</f>
        <v>-1256676</v>
      </c>
      <c r="F46" s="80">
        <f>IF(C46=0,0,+E46/C46)</f>
        <v>-4.7705055272222956E-2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FILING&amp;RSAINT FRANCIS HOSPITAL AND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558621454</v>
      </c>
      <c r="D15" s="76">
        <v>584513139</v>
      </c>
      <c r="E15" s="76">
        <f>+D15-C15</f>
        <v>25891685</v>
      </c>
      <c r="F15" s="77">
        <f>IF(C15=0,0,E15/C15)</f>
        <v>4.6349249235959344E-2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289620689</v>
      </c>
      <c r="D17" s="76">
        <v>298998607</v>
      </c>
      <c r="E17" s="76">
        <f>+D17-C17</f>
        <v>9377918</v>
      </c>
      <c r="F17" s="77">
        <f>IF(C17=0,0,E17/C17)</f>
        <v>3.2380000311372781E-2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269000765</v>
      </c>
      <c r="D19" s="79">
        <f>+D15-D17</f>
        <v>285514532</v>
      </c>
      <c r="E19" s="79">
        <f>+D19-C19</f>
        <v>16513767</v>
      </c>
      <c r="F19" s="80">
        <f>IF(C19=0,0,E19/C19)</f>
        <v>6.1389293818551037E-2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0.51845607956188522</v>
      </c>
      <c r="D21" s="720">
        <f>IF(D15=0,0,D17/D15)</f>
        <v>0.51153444986974017</v>
      </c>
      <c r="E21" s="720">
        <f>+D21-C21</f>
        <v>-6.9216296921450482E-3</v>
      </c>
      <c r="F21" s="80">
        <f>IF(C21=0,0,E21/C21)</f>
        <v>-1.3350464899541893E-2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FILING&amp;R&amp;12SAINT FRANCIS HOSPITAL AND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1101981674</v>
      </c>
      <c r="D10" s="744">
        <v>1145272737</v>
      </c>
      <c r="E10" s="744">
        <v>1236781283</v>
      </c>
    </row>
    <row r="11" spans="1:6" ht="26.1" customHeight="1" x14ac:dyDescent="0.25">
      <c r="A11" s="742">
        <v>2</v>
      </c>
      <c r="B11" s="743" t="s">
        <v>933</v>
      </c>
      <c r="C11" s="744">
        <v>828975422</v>
      </c>
      <c r="D11" s="744">
        <v>843357837</v>
      </c>
      <c r="E11" s="744">
        <v>867589109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1930957096</v>
      </c>
      <c r="D12" s="744">
        <f>+D11+D10</f>
        <v>1988630574</v>
      </c>
      <c r="E12" s="744">
        <f>+E11+E10</f>
        <v>2104370392</v>
      </c>
    </row>
    <row r="13" spans="1:6" ht="26.1" customHeight="1" x14ac:dyDescent="0.25">
      <c r="A13" s="742">
        <v>4</v>
      </c>
      <c r="B13" s="743" t="s">
        <v>507</v>
      </c>
      <c r="C13" s="744">
        <v>635118562</v>
      </c>
      <c r="D13" s="744">
        <v>648781738</v>
      </c>
      <c r="E13" s="744">
        <v>649231569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666258533</v>
      </c>
      <c r="D16" s="744">
        <v>666788583</v>
      </c>
      <c r="E16" s="744">
        <v>681612332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159375</v>
      </c>
      <c r="D19" s="747">
        <v>151867</v>
      </c>
      <c r="E19" s="747">
        <v>152490</v>
      </c>
    </row>
    <row r="20" spans="1:5" ht="26.1" customHeight="1" x14ac:dyDescent="0.25">
      <c r="A20" s="742">
        <v>2</v>
      </c>
      <c r="B20" s="743" t="s">
        <v>381</v>
      </c>
      <c r="C20" s="748">
        <v>32366</v>
      </c>
      <c r="D20" s="748">
        <v>31234</v>
      </c>
      <c r="E20" s="748">
        <v>31632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4.9241487981214851</v>
      </c>
      <c r="D21" s="749">
        <f>IF(D20=0,0,+D19/D20)</f>
        <v>4.8622334635333289</v>
      </c>
      <c r="E21" s="749">
        <f>IF(E20=0,0,+E19/E20)</f>
        <v>4.8207511380880117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279266.24773888936</v>
      </c>
      <c r="D22" s="748">
        <f>IF(D10=0,0,D19*(D12/D10))</f>
        <v>263699.07326420362</v>
      </c>
      <c r="E22" s="748">
        <f>IF(E10=0,0,E19*(E12/E10))</f>
        <v>259460.13695946269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56713.608623164815</v>
      </c>
      <c r="D23" s="748">
        <f>IF(D10=0,0,D20*(D12/D10))</f>
        <v>54234.144707764921</v>
      </c>
      <c r="E23" s="748">
        <f>IF(E10=0,0,E20*(E12/E10))</f>
        <v>53821.516507979046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1.4751311437928689</v>
      </c>
      <c r="D26" s="750">
        <v>1.4727576166997505</v>
      </c>
      <c r="E26" s="750">
        <v>1.4952013878351036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235099.02604198849</v>
      </c>
      <c r="D27" s="748">
        <f>D19*D26</f>
        <v>223663.28097534101</v>
      </c>
      <c r="E27" s="748">
        <f>E19*E26</f>
        <v>228003.25963097494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47744.094599999997</v>
      </c>
      <c r="D28" s="748">
        <f>D20*D26</f>
        <v>46000.111400000009</v>
      </c>
      <c r="E28" s="748">
        <f>E20*E26</f>
        <v>47296.210299999999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411954.33944981056</v>
      </c>
      <c r="D29" s="748">
        <f>D22*D26</f>
        <v>388364.8186665214</v>
      </c>
      <c r="E29" s="748">
        <f>E22*E26</f>
        <v>387945.15686967468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83660.010356910221</v>
      </c>
      <c r="D30" s="748">
        <f>D23*D26</f>
        <v>79873.749703557245</v>
      </c>
      <c r="E30" s="748">
        <f>E23*E26</f>
        <v>80474.006178120209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12115.809229803921</v>
      </c>
      <c r="D33" s="744">
        <f>IF(D19=0,0,D12/D19)</f>
        <v>13094.553615992942</v>
      </c>
      <c r="E33" s="744">
        <f>IF(E19=0,0,E12/E19)</f>
        <v>13800.055033116925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59660.04745720818</v>
      </c>
      <c r="D34" s="744">
        <f>IF(D20=0,0,D12/D20)</f>
        <v>63668.776781712237</v>
      </c>
      <c r="E34" s="744">
        <f>IF(E20=0,0,E12/E20)</f>
        <v>66526.631006575626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6914.3948172549017</v>
      </c>
      <c r="D35" s="744">
        <f>IF(D22=0,0,D12/D22)</f>
        <v>7541.2876859357202</v>
      </c>
      <c r="E35" s="744">
        <f>IF(E22=0,0,E12/E22)</f>
        <v>8110.5730408551381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34047.508929123156</v>
      </c>
      <c r="D36" s="744">
        <f>IF(D23=0,0,D12/D23)</f>
        <v>36667.501344688484</v>
      </c>
      <c r="E36" s="744">
        <f>IF(E23=0,0,E12/E23)</f>
        <v>39099.054217248355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4687.3085463279931</v>
      </c>
      <c r="D37" s="744">
        <f>IF(D29=0,0,D12/D29)</f>
        <v>5120.521938182007</v>
      </c>
      <c r="E37" s="744">
        <f>IF(E29=0,0,E12/E29)</f>
        <v>5424.4017607543865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23081.004744825557</v>
      </c>
      <c r="D38" s="744">
        <f>IF(D30=0,0,D12/D30)</f>
        <v>24897.173118585099</v>
      </c>
      <c r="E38" s="744">
        <f>IF(E30=0,0,E12/E30)</f>
        <v>26149.690961603323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3945.9894739243241</v>
      </c>
      <c r="D39" s="744">
        <f>IF(D22=0,0,D10/D22)</f>
        <v>4343.1048991686666</v>
      </c>
      <c r="E39" s="744">
        <f>IF(E22=0,0,E10/E22)</f>
        <v>4766.7487479713736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19430.639325424494</v>
      </c>
      <c r="D40" s="744">
        <f>IF(D23=0,0,D10/D23)</f>
        <v>21117.18997637344</v>
      </c>
      <c r="E40" s="744">
        <f>IF(E23=0,0,E10/E23)</f>
        <v>22979.309451762605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3985.0576439215688</v>
      </c>
      <c r="D43" s="744">
        <f>IF(D19=0,0,D13/D19)</f>
        <v>4272.03894196896</v>
      </c>
      <c r="E43" s="744">
        <f>IF(E19=0,0,E13/E19)</f>
        <v>4257.5353728113323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19623.016807761232</v>
      </c>
      <c r="D44" s="744">
        <f>IF(D20=0,0,D13/D20)</f>
        <v>20771.650701158993</v>
      </c>
      <c r="E44" s="744">
        <f>IF(E20=0,0,E13/E20)</f>
        <v>20524.518493930198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2274.2403249311687</v>
      </c>
      <c r="D45" s="744">
        <f>IF(D22=0,0,D13/D22)</f>
        <v>2460.311027904057</v>
      </c>
      <c r="E45" s="744">
        <f>IF(E22=0,0,E13/E22)</f>
        <v>2502.2401383432325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11198.697762649232</v>
      </c>
      <c r="D46" s="744">
        <f>IF(D23=0,0,D13/D23)</f>
        <v>11962.606610575189</v>
      </c>
      <c r="E46" s="744">
        <f>IF(E23=0,0,E13/E23)</f>
        <v>12062.676994687643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1541.7207714045164</v>
      </c>
      <c r="D47" s="744">
        <f>IF(D29=0,0,D13/D29)</f>
        <v>1670.5471423174706</v>
      </c>
      <c r="E47" s="744">
        <f>IF(E29=0,0,E13/E29)</f>
        <v>1673.5137879762246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7591.6624835504808</v>
      </c>
      <c r="D48" s="744">
        <f>IF(D30=0,0,D13/D30)</f>
        <v>8122.5902177859816</v>
      </c>
      <c r="E48" s="744">
        <f>IF(E30=0,0,E13/E30)</f>
        <v>8067.593497992365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4180.4456972549024</v>
      </c>
      <c r="D51" s="744">
        <f>IF(D19=0,0,D16/D19)</f>
        <v>4390.6087761001399</v>
      </c>
      <c r="E51" s="744">
        <f>IF(E19=0,0,E16/E19)</f>
        <v>4469.8821693225782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20585.136655749862</v>
      </c>
      <c r="D52" s="744">
        <f>IF(D20=0,0,D16/D20)</f>
        <v>21348.164916437217</v>
      </c>
      <c r="E52" s="744">
        <f>IF(E20=0,0,E16/E20)</f>
        <v>21548.189554881134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2385.7467144505908</v>
      </c>
      <c r="D53" s="744">
        <f>IF(D22=0,0,D16/D22)</f>
        <v>2528.5966110769591</v>
      </c>
      <c r="E53" s="744">
        <f>IF(E22=0,0,E16/E22)</f>
        <v>2627.0406698601764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11747.77181658416</v>
      </c>
      <c r="D54" s="744">
        <f>IF(D23=0,0,D16/D23)</f>
        <v>12294.627058155362</v>
      </c>
      <c r="E54" s="744">
        <f>IF(E23=0,0,E16/E23)</f>
        <v>12664.309299031938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1617.3116027611889</v>
      </c>
      <c r="D55" s="744">
        <f>IF(D29=0,0,D16/D29)</f>
        <v>1716.9129410060023</v>
      </c>
      <c r="E55" s="744">
        <f>IF(E29=0,0,E16/E29)</f>
        <v>1756.9811606875637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7963.882984924443</v>
      </c>
      <c r="D56" s="744">
        <f>IF(D30=0,0,D16/D30)</f>
        <v>8348.0315557328086</v>
      </c>
      <c r="E56" s="744">
        <f>IF(E30=0,0,E16/E30)</f>
        <v>8469.9689299837682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110581485</v>
      </c>
      <c r="D59" s="752">
        <v>100600169</v>
      </c>
      <c r="E59" s="752">
        <v>112764341</v>
      </c>
    </row>
    <row r="60" spans="1:6" ht="26.1" customHeight="1" x14ac:dyDescent="0.25">
      <c r="A60" s="742">
        <v>2</v>
      </c>
      <c r="B60" s="743" t="s">
        <v>969</v>
      </c>
      <c r="C60" s="752">
        <v>31316806</v>
      </c>
      <c r="D60" s="752">
        <v>27335819</v>
      </c>
      <c r="E60" s="752">
        <v>29800759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141898291</v>
      </c>
      <c r="D61" s="755">
        <f>D59+D60</f>
        <v>127935988</v>
      </c>
      <c r="E61" s="755">
        <f>E59+E60</f>
        <v>142565100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4569581</v>
      </c>
      <c r="D64" s="744">
        <v>5213156</v>
      </c>
      <c r="E64" s="752">
        <v>5224559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1286992</v>
      </c>
      <c r="D65" s="752">
        <v>1416557</v>
      </c>
      <c r="E65" s="752">
        <v>1380719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5856573</v>
      </c>
      <c r="D66" s="757">
        <f>D64+D65</f>
        <v>6629713</v>
      </c>
      <c r="E66" s="757">
        <f>E64+E65</f>
        <v>6605278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137408298</v>
      </c>
      <c r="D69" s="752">
        <v>148405212</v>
      </c>
      <c r="E69" s="752">
        <v>139632328</v>
      </c>
    </row>
    <row r="70" spans="1:6" ht="26.1" customHeight="1" x14ac:dyDescent="0.25">
      <c r="A70" s="742">
        <v>2</v>
      </c>
      <c r="B70" s="743" t="s">
        <v>977</v>
      </c>
      <c r="C70" s="752">
        <v>38895758</v>
      </c>
      <c r="D70" s="752">
        <v>40325757</v>
      </c>
      <c r="E70" s="752">
        <v>36901287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176304056</v>
      </c>
      <c r="D71" s="755">
        <f>D69+D70</f>
        <v>188730969</v>
      </c>
      <c r="E71" s="755">
        <f>E69+E70</f>
        <v>176533615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252559364</v>
      </c>
      <c r="D75" s="744">
        <f t="shared" si="0"/>
        <v>254218537</v>
      </c>
      <c r="E75" s="744">
        <f t="shared" si="0"/>
        <v>257621228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71499556</v>
      </c>
      <c r="D76" s="744">
        <f t="shared" si="0"/>
        <v>69078133</v>
      </c>
      <c r="E76" s="744">
        <f t="shared" si="0"/>
        <v>68082765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324058920</v>
      </c>
      <c r="D77" s="757">
        <f>D75+D76</f>
        <v>323296670</v>
      </c>
      <c r="E77" s="757">
        <f>E75+E76</f>
        <v>325703993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1396</v>
      </c>
      <c r="D80" s="749">
        <v>1322.9</v>
      </c>
      <c r="E80" s="749">
        <v>1402.6</v>
      </c>
    </row>
    <row r="81" spans="1:5" ht="26.1" customHeight="1" x14ac:dyDescent="0.25">
      <c r="A81" s="742">
        <v>2</v>
      </c>
      <c r="B81" s="743" t="s">
        <v>617</v>
      </c>
      <c r="C81" s="749">
        <v>40.5</v>
      </c>
      <c r="D81" s="749">
        <v>40</v>
      </c>
      <c r="E81" s="749">
        <v>38.799999999999997</v>
      </c>
    </row>
    <row r="82" spans="1:5" ht="26.1" customHeight="1" x14ac:dyDescent="0.25">
      <c r="A82" s="742">
        <v>3</v>
      </c>
      <c r="B82" s="743" t="s">
        <v>983</v>
      </c>
      <c r="C82" s="749">
        <v>2380.1</v>
      </c>
      <c r="D82" s="749">
        <v>2439.9</v>
      </c>
      <c r="E82" s="749">
        <v>2347.6999999999998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3816.6</v>
      </c>
      <c r="D83" s="759">
        <f>D80+D81+D82</f>
        <v>3802.8</v>
      </c>
      <c r="E83" s="759">
        <f>E80+E81+E82</f>
        <v>3789.0999999999995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79213.09813753581</v>
      </c>
      <c r="D86" s="752">
        <f>IF(D80=0,0,D59/D80)</f>
        <v>76045.180285735885</v>
      </c>
      <c r="E86" s="752">
        <f>IF(E80=0,0,E59/E80)</f>
        <v>80396.649793241129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22433.242120343839</v>
      </c>
      <c r="D87" s="752">
        <f>IF(D80=0,0,D60/D80)</f>
        <v>20663.55658024038</v>
      </c>
      <c r="E87" s="752">
        <f>IF(E80=0,0,E60/E80)</f>
        <v>21246.7980892628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101646.34025787965</v>
      </c>
      <c r="D88" s="755">
        <f>+D86+D87</f>
        <v>96708.736865976272</v>
      </c>
      <c r="E88" s="755">
        <f>+E86+E87</f>
        <v>101643.44788250393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112829.16049382716</v>
      </c>
      <c r="D91" s="744">
        <f>IF(D81=0,0,D64/D81)</f>
        <v>130328.9</v>
      </c>
      <c r="E91" s="744">
        <f>IF(E81=0,0,E64/E81)</f>
        <v>134653.5824742268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31777.580246913582</v>
      </c>
      <c r="D92" s="744">
        <f>IF(D81=0,0,D65/D81)</f>
        <v>35413.925000000003</v>
      </c>
      <c r="E92" s="744">
        <f>IF(E81=0,0,E65/E81)</f>
        <v>35585.541237113408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144606.74074074073</v>
      </c>
      <c r="D93" s="757">
        <f>+D91+D92</f>
        <v>165742.82500000001</v>
      </c>
      <c r="E93" s="757">
        <f>+E91+E92</f>
        <v>170239.12371134022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57732.153270870971</v>
      </c>
      <c r="D96" s="752">
        <f>IF(D82=0,0,D69/D82)</f>
        <v>60824.300995942453</v>
      </c>
      <c r="E96" s="752">
        <f>IF(E82=0,0,E69/E82)</f>
        <v>59476.222686033143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16342.068820637789</v>
      </c>
      <c r="D97" s="752">
        <f>IF(D82=0,0,D70/D82)</f>
        <v>16527.62695192426</v>
      </c>
      <c r="E97" s="752">
        <f>IF(E82=0,0,E70/E82)</f>
        <v>15718.058951314053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74074.222091508767</v>
      </c>
      <c r="D98" s="757">
        <f>+D96+D97</f>
        <v>77351.927947866716</v>
      </c>
      <c r="E98" s="757">
        <f>+E96+E97</f>
        <v>75194.281637347201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66173.915002882146</v>
      </c>
      <c r="D101" s="744">
        <f>IF(D83=0,0,D75/D83)</f>
        <v>66850.356842326699</v>
      </c>
      <c r="E101" s="744">
        <f>IF(E83=0,0,E75/E83)</f>
        <v>67990.084188857523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18733.835350835823</v>
      </c>
      <c r="D102" s="761">
        <f>IF(D83=0,0,D76/D83)</f>
        <v>18165.071263279689</v>
      </c>
      <c r="E102" s="761">
        <f>IF(E83=0,0,E76/E83)</f>
        <v>17968.057058404374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84907.750353717973</v>
      </c>
      <c r="D103" s="757">
        <f>+D101+D102</f>
        <v>85015.428105606392</v>
      </c>
      <c r="E103" s="757">
        <f>+E101+E102</f>
        <v>85958.141247261898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2033.3108705882353</v>
      </c>
      <c r="D108" s="744">
        <f>IF(D19=0,0,D77/D19)</f>
        <v>2128.8144889936589</v>
      </c>
      <c r="E108" s="744">
        <f>IF(E19=0,0,E77/E19)</f>
        <v>2135.9039477998558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10012.32527961441</v>
      </c>
      <c r="D109" s="744">
        <f>IF(D20=0,0,D77/D20)</f>
        <v>10350.793046039573</v>
      </c>
      <c r="E109" s="744">
        <f>IF(E20=0,0,E77/E20)</f>
        <v>10296.661387202832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1160.3941493960676</v>
      </c>
      <c r="D110" s="744">
        <f>IF(D22=0,0,D77/D22)</f>
        <v>1226.0060909508193</v>
      </c>
      <c r="E110" s="744">
        <f>IF(E22=0,0,E77/E22)</f>
        <v>1255.3141951470066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5713.95345609585</v>
      </c>
      <c r="D111" s="744">
        <f>IF(D23=0,0,D77/D23)</f>
        <v>5961.1278419167602</v>
      </c>
      <c r="E111" s="744">
        <f>IF(E23=0,0,E77/E23)</f>
        <v>6051.5573349129681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786.63795709204055</v>
      </c>
      <c r="D112" s="744">
        <f>IF(D29=0,0,D77/D29)</f>
        <v>832.45611976404666</v>
      </c>
      <c r="E112" s="744">
        <f>IF(E29=0,0,E77/E29)</f>
        <v>839.56195156063302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3873.5223509715129</v>
      </c>
      <c r="D113" s="744">
        <f>IF(D30=0,0,D77/D30)</f>
        <v>4047.5960024398569</v>
      </c>
      <c r="E113" s="744">
        <f>IF(E30=0,0,E77/E30)</f>
        <v>4047.3192334813139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FILING&amp;R&amp;"Arial,Bold"&amp;12SAINT FRANCIS HOSPITAL AND MEDICAL CENTER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1988630574</v>
      </c>
      <c r="D12" s="76">
        <v>2104370392</v>
      </c>
      <c r="E12" s="76">
        <f t="shared" ref="E12:E21" si="0">D12-C12</f>
        <v>115739818</v>
      </c>
      <c r="F12" s="77">
        <f t="shared" ref="F12:F21" si="1">IF(C12=0,0,E12/C12)</f>
        <v>5.8200763637660941E-2</v>
      </c>
    </row>
    <row r="13" spans="1:8" ht="23.1" customHeight="1" x14ac:dyDescent="0.2">
      <c r="A13" s="74">
        <v>2</v>
      </c>
      <c r="B13" s="75" t="s">
        <v>72</v>
      </c>
      <c r="C13" s="76">
        <v>1299294353</v>
      </c>
      <c r="D13" s="76">
        <v>1420599391</v>
      </c>
      <c r="E13" s="76">
        <f t="shared" si="0"/>
        <v>121305038</v>
      </c>
      <c r="F13" s="77">
        <f t="shared" si="1"/>
        <v>9.3362245221733836E-2</v>
      </c>
    </row>
    <row r="14" spans="1:8" ht="23.1" customHeight="1" x14ac:dyDescent="0.2">
      <c r="A14" s="74">
        <v>3</v>
      </c>
      <c r="B14" s="75" t="s">
        <v>73</v>
      </c>
      <c r="C14" s="76">
        <v>18706495</v>
      </c>
      <c r="D14" s="76">
        <v>13558599</v>
      </c>
      <c r="E14" s="76">
        <f t="shared" si="0"/>
        <v>-5147896</v>
      </c>
      <c r="F14" s="77">
        <f t="shared" si="1"/>
        <v>-0.2751929744187781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670629726</v>
      </c>
      <c r="D16" s="79">
        <f>D12-D13-D14-D15</f>
        <v>670212402</v>
      </c>
      <c r="E16" s="79">
        <f t="shared" si="0"/>
        <v>-417324</v>
      </c>
      <c r="F16" s="80">
        <f t="shared" si="1"/>
        <v>-6.2228676096591636E-4</v>
      </c>
    </row>
    <row r="17" spans="1:7" ht="23.1" customHeight="1" x14ac:dyDescent="0.2">
      <c r="A17" s="74">
        <v>5</v>
      </c>
      <c r="B17" s="75" t="s">
        <v>76</v>
      </c>
      <c r="C17" s="76">
        <v>21847988</v>
      </c>
      <c r="D17" s="76">
        <v>20980833</v>
      </c>
      <c r="E17" s="76">
        <f t="shared" si="0"/>
        <v>-867155</v>
      </c>
      <c r="F17" s="77">
        <f t="shared" si="1"/>
        <v>-3.9690382473663022E-2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648781738</v>
      </c>
      <c r="D18" s="79">
        <f>D16-D17</f>
        <v>649231569</v>
      </c>
      <c r="E18" s="79">
        <f t="shared" si="0"/>
        <v>449831</v>
      </c>
      <c r="F18" s="80">
        <f t="shared" si="1"/>
        <v>6.9334719775974952E-4</v>
      </c>
    </row>
    <row r="19" spans="1:7" ht="23.1" customHeight="1" x14ac:dyDescent="0.2">
      <c r="A19" s="74">
        <v>6</v>
      </c>
      <c r="B19" s="75" t="s">
        <v>78</v>
      </c>
      <c r="C19" s="76">
        <v>28501028</v>
      </c>
      <c r="D19" s="76">
        <v>31281747</v>
      </c>
      <c r="E19" s="76">
        <f t="shared" si="0"/>
        <v>2780719</v>
      </c>
      <c r="F19" s="77">
        <f t="shared" si="1"/>
        <v>9.756556851212525E-2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3927212</v>
      </c>
      <c r="D20" s="76">
        <v>4156122</v>
      </c>
      <c r="E20" s="76">
        <f t="shared" si="0"/>
        <v>228910</v>
      </c>
      <c r="F20" s="77">
        <f t="shared" si="1"/>
        <v>5.8288169826329721E-2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681209978</v>
      </c>
      <c r="D21" s="79">
        <f>SUM(D18:D20)</f>
        <v>684669438</v>
      </c>
      <c r="E21" s="79">
        <f t="shared" si="0"/>
        <v>3459460</v>
      </c>
      <c r="F21" s="80">
        <f t="shared" si="1"/>
        <v>5.0784047675825443E-3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254218537</v>
      </c>
      <c r="D24" s="76">
        <v>257621228</v>
      </c>
      <c r="E24" s="76">
        <f t="shared" ref="E24:E33" si="2">D24-C24</f>
        <v>3402691</v>
      </c>
      <c r="F24" s="77">
        <f t="shared" ref="F24:F33" si="3">IF(C24=0,0,E24/C24)</f>
        <v>1.3384905129872572E-2</v>
      </c>
    </row>
    <row r="25" spans="1:7" ht="23.1" customHeight="1" x14ac:dyDescent="0.2">
      <c r="A25" s="74">
        <v>2</v>
      </c>
      <c r="B25" s="75" t="s">
        <v>83</v>
      </c>
      <c r="C25" s="76">
        <v>69078133</v>
      </c>
      <c r="D25" s="76">
        <v>68082765</v>
      </c>
      <c r="E25" s="76">
        <f t="shared" si="2"/>
        <v>-995368</v>
      </c>
      <c r="F25" s="77">
        <f t="shared" si="3"/>
        <v>-1.4409306632534495E-2</v>
      </c>
    </row>
    <row r="26" spans="1:7" ht="23.1" customHeight="1" x14ac:dyDescent="0.2">
      <c r="A26" s="74">
        <v>3</v>
      </c>
      <c r="B26" s="75" t="s">
        <v>84</v>
      </c>
      <c r="C26" s="76">
        <v>48711341</v>
      </c>
      <c r="D26" s="76">
        <v>47535764</v>
      </c>
      <c r="E26" s="76">
        <f t="shared" si="2"/>
        <v>-1175577</v>
      </c>
      <c r="F26" s="77">
        <f t="shared" si="3"/>
        <v>-2.4133538019411125E-2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99173950</v>
      </c>
      <c r="D27" s="76">
        <v>99464711</v>
      </c>
      <c r="E27" s="76">
        <f t="shared" si="2"/>
        <v>290761</v>
      </c>
      <c r="F27" s="77">
        <f t="shared" si="3"/>
        <v>2.9318283682358121E-3</v>
      </c>
    </row>
    <row r="28" spans="1:7" ht="23.1" customHeight="1" x14ac:dyDescent="0.2">
      <c r="A28" s="74">
        <v>5</v>
      </c>
      <c r="B28" s="75" t="s">
        <v>86</v>
      </c>
      <c r="C28" s="76">
        <v>35799072</v>
      </c>
      <c r="D28" s="76">
        <v>37713710</v>
      </c>
      <c r="E28" s="76">
        <f t="shared" si="2"/>
        <v>1914638</v>
      </c>
      <c r="F28" s="77">
        <f t="shared" si="3"/>
        <v>5.3482894752132124E-2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11620321</v>
      </c>
      <c r="D30" s="76">
        <v>11151596</v>
      </c>
      <c r="E30" s="76">
        <f t="shared" si="2"/>
        <v>-468725</v>
      </c>
      <c r="F30" s="77">
        <f t="shared" si="3"/>
        <v>-4.0336665398485981E-2</v>
      </c>
    </row>
    <row r="31" spans="1:7" ht="23.1" customHeight="1" x14ac:dyDescent="0.2">
      <c r="A31" s="74">
        <v>8</v>
      </c>
      <c r="B31" s="75" t="s">
        <v>89</v>
      </c>
      <c r="C31" s="76">
        <v>8757025</v>
      </c>
      <c r="D31" s="76">
        <v>10303205</v>
      </c>
      <c r="E31" s="76">
        <f t="shared" si="2"/>
        <v>1546180</v>
      </c>
      <c r="F31" s="77">
        <f t="shared" si="3"/>
        <v>0.17656452962050467</v>
      </c>
    </row>
    <row r="32" spans="1:7" ht="23.1" customHeight="1" x14ac:dyDescent="0.2">
      <c r="A32" s="74">
        <v>9</v>
      </c>
      <c r="B32" s="75" t="s">
        <v>90</v>
      </c>
      <c r="C32" s="76">
        <v>139430204</v>
      </c>
      <c r="D32" s="76">
        <v>149739353</v>
      </c>
      <c r="E32" s="76">
        <f t="shared" si="2"/>
        <v>10309149</v>
      </c>
      <c r="F32" s="77">
        <f t="shared" si="3"/>
        <v>7.3937702909765521E-2</v>
      </c>
    </row>
    <row r="33" spans="1:6" ht="23.1" customHeight="1" x14ac:dyDescent="0.25">
      <c r="A33" s="71"/>
      <c r="B33" s="78" t="s">
        <v>91</v>
      </c>
      <c r="C33" s="79">
        <f>SUM(C24:C32)</f>
        <v>666788583</v>
      </c>
      <c r="D33" s="79">
        <f>SUM(D24:D32)</f>
        <v>681612332</v>
      </c>
      <c r="E33" s="79">
        <f t="shared" si="2"/>
        <v>14823749</v>
      </c>
      <c r="F33" s="80">
        <f t="shared" si="3"/>
        <v>2.2231557914962081E-2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14421395</v>
      </c>
      <c r="D35" s="79">
        <f>+D21-D33</f>
        <v>3057106</v>
      </c>
      <c r="E35" s="79">
        <f>D35-C35</f>
        <v>-11364289</v>
      </c>
      <c r="F35" s="80">
        <f>IF(C35=0,0,E35/C35)</f>
        <v>-0.78801593049770846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3622812</v>
      </c>
      <c r="D38" s="76">
        <v>-2527631</v>
      </c>
      <c r="E38" s="76">
        <f>D38-C38</f>
        <v>-6150443</v>
      </c>
      <c r="F38" s="77">
        <f>IF(C38=0,0,E38/C38)</f>
        <v>-1.6976986385161581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-2424088</v>
      </c>
      <c r="D40" s="76">
        <v>-17532605</v>
      </c>
      <c r="E40" s="76">
        <f>D40-C40</f>
        <v>-15108517</v>
      </c>
      <c r="F40" s="77">
        <f>IF(C40=0,0,E40/C40)</f>
        <v>6.2326602829600244</v>
      </c>
    </row>
    <row r="41" spans="1:6" ht="23.1" customHeight="1" x14ac:dyDescent="0.25">
      <c r="A41" s="83"/>
      <c r="B41" s="78" t="s">
        <v>97</v>
      </c>
      <c r="C41" s="79">
        <f>SUM(C38:C40)</f>
        <v>1198724</v>
      </c>
      <c r="D41" s="79">
        <f>SUM(D38:D40)</f>
        <v>-20060236</v>
      </c>
      <c r="E41" s="79">
        <f>D41-C41</f>
        <v>-21258960</v>
      </c>
      <c r="F41" s="80">
        <f>IF(C41=0,0,E41/C41)</f>
        <v>-17.734657852850198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15620119</v>
      </c>
      <c r="D43" s="79">
        <f>D35+D41</f>
        <v>-17003130</v>
      </c>
      <c r="E43" s="79">
        <f>D43-C43</f>
        <v>-32623249</v>
      </c>
      <c r="F43" s="80">
        <f>IF(C43=0,0,E43/C43)</f>
        <v>-2.088540362592628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15620119</v>
      </c>
      <c r="D50" s="79">
        <f>D43+D48</f>
        <v>-17003130</v>
      </c>
      <c r="E50" s="79">
        <f>D50-C50</f>
        <v>-32623249</v>
      </c>
      <c r="F50" s="80">
        <f>IF(C50=0,0,E50/C50)</f>
        <v>-2.088540362592628</v>
      </c>
    </row>
    <row r="51" spans="1:6" ht="23.1" customHeight="1" x14ac:dyDescent="0.2">
      <c r="A51" s="85"/>
      <c r="B51" s="75" t="s">
        <v>104</v>
      </c>
      <c r="C51" s="76">
        <v>8595000</v>
      </c>
      <c r="D51" s="76">
        <v>8785000</v>
      </c>
      <c r="E51" s="76">
        <f>D51-C51</f>
        <v>190000</v>
      </c>
      <c r="F51" s="77">
        <f>IF(C51=0,0,E51/C51)</f>
        <v>2.2105875509016871E-2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452375721</v>
      </c>
      <c r="D14" s="113">
        <v>485425305</v>
      </c>
      <c r="E14" s="113">
        <f t="shared" ref="E14:E25" si="0">D14-C14</f>
        <v>33049584</v>
      </c>
      <c r="F14" s="114">
        <f t="shared" ref="F14:F25" si="1">IF(C14=0,0,E14/C14)</f>
        <v>7.3057820006215579E-2</v>
      </c>
    </row>
    <row r="15" spans="1:6" x14ac:dyDescent="0.2">
      <c r="A15" s="115">
        <v>2</v>
      </c>
      <c r="B15" s="116" t="s">
        <v>114</v>
      </c>
      <c r="C15" s="113">
        <v>162884511</v>
      </c>
      <c r="D15" s="113">
        <v>186354533</v>
      </c>
      <c r="E15" s="113">
        <f t="shared" si="0"/>
        <v>23470022</v>
      </c>
      <c r="F15" s="114">
        <f t="shared" si="1"/>
        <v>0.1440899558583566</v>
      </c>
    </row>
    <row r="16" spans="1:6" x14ac:dyDescent="0.2">
      <c r="A16" s="115">
        <v>3</v>
      </c>
      <c r="B16" s="116" t="s">
        <v>115</v>
      </c>
      <c r="C16" s="113">
        <v>227632619</v>
      </c>
      <c r="D16" s="113">
        <v>244382955</v>
      </c>
      <c r="E16" s="113">
        <f t="shared" si="0"/>
        <v>16750336</v>
      </c>
      <c r="F16" s="114">
        <f t="shared" si="1"/>
        <v>7.3584954887330981E-2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1771234</v>
      </c>
      <c r="D18" s="113">
        <v>1968932</v>
      </c>
      <c r="E18" s="113">
        <f t="shared" si="0"/>
        <v>197698</v>
      </c>
      <c r="F18" s="114">
        <f t="shared" si="1"/>
        <v>0.1116159694314811</v>
      </c>
    </row>
    <row r="19" spans="1:6" x14ac:dyDescent="0.2">
      <c r="A19" s="115">
        <v>6</v>
      </c>
      <c r="B19" s="116" t="s">
        <v>118</v>
      </c>
      <c r="C19" s="113">
        <v>18259429</v>
      </c>
      <c r="D19" s="113">
        <v>15198993</v>
      </c>
      <c r="E19" s="113">
        <f t="shared" si="0"/>
        <v>-3060436</v>
      </c>
      <c r="F19" s="114">
        <f t="shared" si="1"/>
        <v>-0.16760852707935173</v>
      </c>
    </row>
    <row r="20" spans="1:6" x14ac:dyDescent="0.2">
      <c r="A20" s="115">
        <v>7</v>
      </c>
      <c r="B20" s="116" t="s">
        <v>119</v>
      </c>
      <c r="C20" s="113">
        <v>268141260</v>
      </c>
      <c r="D20" s="113">
        <v>289785095</v>
      </c>
      <c r="E20" s="113">
        <f t="shared" si="0"/>
        <v>21643835</v>
      </c>
      <c r="F20" s="114">
        <f t="shared" si="1"/>
        <v>8.0718032726481551E-2</v>
      </c>
    </row>
    <row r="21" spans="1:6" x14ac:dyDescent="0.2">
      <c r="A21" s="115">
        <v>8</v>
      </c>
      <c r="B21" s="116" t="s">
        <v>120</v>
      </c>
      <c r="C21" s="113">
        <v>5509035</v>
      </c>
      <c r="D21" s="113">
        <v>6037299</v>
      </c>
      <c r="E21" s="113">
        <f t="shared" si="0"/>
        <v>528264</v>
      </c>
      <c r="F21" s="114">
        <f t="shared" si="1"/>
        <v>9.5890478096436124E-2</v>
      </c>
    </row>
    <row r="22" spans="1:6" x14ac:dyDescent="0.2">
      <c r="A22" s="115">
        <v>9</v>
      </c>
      <c r="B22" s="116" t="s">
        <v>121</v>
      </c>
      <c r="C22" s="113">
        <v>8698928</v>
      </c>
      <c r="D22" s="113">
        <v>7628171</v>
      </c>
      <c r="E22" s="113">
        <f t="shared" si="0"/>
        <v>-1070757</v>
      </c>
      <c r="F22" s="114">
        <f t="shared" si="1"/>
        <v>-0.12309068427741901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1145272737</v>
      </c>
      <c r="D25" s="119">
        <f>SUM(D14:D24)</f>
        <v>1236781283</v>
      </c>
      <c r="E25" s="119">
        <f t="shared" si="0"/>
        <v>91508546</v>
      </c>
      <c r="F25" s="120">
        <f t="shared" si="1"/>
        <v>7.990109520960334E-2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199759243</v>
      </c>
      <c r="D27" s="113">
        <v>200813167</v>
      </c>
      <c r="E27" s="113">
        <f t="shared" ref="E27:E38" si="2">D27-C27</f>
        <v>1053924</v>
      </c>
      <c r="F27" s="114">
        <f t="shared" ref="F27:F38" si="3">IF(C27=0,0,E27/C27)</f>
        <v>5.2759711349126409E-3</v>
      </c>
    </row>
    <row r="28" spans="1:6" x14ac:dyDescent="0.2">
      <c r="A28" s="115">
        <v>2</v>
      </c>
      <c r="B28" s="116" t="s">
        <v>114</v>
      </c>
      <c r="C28" s="113">
        <v>84739386</v>
      </c>
      <c r="D28" s="113">
        <v>96979672</v>
      </c>
      <c r="E28" s="113">
        <f t="shared" si="2"/>
        <v>12240286</v>
      </c>
      <c r="F28" s="114">
        <f t="shared" si="3"/>
        <v>0.14444624368649545</v>
      </c>
    </row>
    <row r="29" spans="1:6" x14ac:dyDescent="0.2">
      <c r="A29" s="115">
        <v>3</v>
      </c>
      <c r="B29" s="116" t="s">
        <v>115</v>
      </c>
      <c r="C29" s="113">
        <v>205257874</v>
      </c>
      <c r="D29" s="113">
        <v>218258357</v>
      </c>
      <c r="E29" s="113">
        <f t="shared" si="2"/>
        <v>13000483</v>
      </c>
      <c r="F29" s="114">
        <f t="shared" si="3"/>
        <v>6.3337316842714639E-2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2070268</v>
      </c>
      <c r="D31" s="113">
        <v>2957650</v>
      </c>
      <c r="E31" s="113">
        <f t="shared" si="2"/>
        <v>887382</v>
      </c>
      <c r="F31" s="114">
        <f t="shared" si="3"/>
        <v>0.42863146220682541</v>
      </c>
    </row>
    <row r="32" spans="1:6" x14ac:dyDescent="0.2">
      <c r="A32" s="115">
        <v>6</v>
      </c>
      <c r="B32" s="116" t="s">
        <v>118</v>
      </c>
      <c r="C32" s="113">
        <v>29560318</v>
      </c>
      <c r="D32" s="113">
        <v>23654818</v>
      </c>
      <c r="E32" s="113">
        <f t="shared" si="2"/>
        <v>-5905500</v>
      </c>
      <c r="F32" s="114">
        <f t="shared" si="3"/>
        <v>-0.19977795908690835</v>
      </c>
    </row>
    <row r="33" spans="1:6" x14ac:dyDescent="0.2">
      <c r="A33" s="115">
        <v>7</v>
      </c>
      <c r="B33" s="116" t="s">
        <v>119</v>
      </c>
      <c r="C33" s="113">
        <v>290480194</v>
      </c>
      <c r="D33" s="113">
        <v>294728044</v>
      </c>
      <c r="E33" s="113">
        <f t="shared" si="2"/>
        <v>4247850</v>
      </c>
      <c r="F33" s="114">
        <f t="shared" si="3"/>
        <v>1.4623544350841351E-2</v>
      </c>
    </row>
    <row r="34" spans="1:6" x14ac:dyDescent="0.2">
      <c r="A34" s="115">
        <v>8</v>
      </c>
      <c r="B34" s="116" t="s">
        <v>120</v>
      </c>
      <c r="C34" s="113">
        <v>7684005</v>
      </c>
      <c r="D34" s="113">
        <v>8756957</v>
      </c>
      <c r="E34" s="113">
        <f t="shared" si="2"/>
        <v>1072952</v>
      </c>
      <c r="F34" s="114">
        <f t="shared" si="3"/>
        <v>0.13963447447001923</v>
      </c>
    </row>
    <row r="35" spans="1:6" x14ac:dyDescent="0.2">
      <c r="A35" s="115">
        <v>9</v>
      </c>
      <c r="B35" s="116" t="s">
        <v>121</v>
      </c>
      <c r="C35" s="113">
        <v>23806549</v>
      </c>
      <c r="D35" s="113">
        <v>21440444</v>
      </c>
      <c r="E35" s="113">
        <f t="shared" si="2"/>
        <v>-2366105</v>
      </c>
      <c r="F35" s="114">
        <f t="shared" si="3"/>
        <v>-9.9388827838927857E-2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843357837</v>
      </c>
      <c r="D38" s="119">
        <f>SUM(D27:D37)</f>
        <v>867589109</v>
      </c>
      <c r="E38" s="119">
        <f t="shared" si="2"/>
        <v>24231272</v>
      </c>
      <c r="F38" s="120">
        <f t="shared" si="3"/>
        <v>2.8731898770509676E-2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652134964</v>
      </c>
      <c r="D41" s="119">
        <f t="shared" si="4"/>
        <v>686238472</v>
      </c>
      <c r="E41" s="123">
        <f t="shared" ref="E41:E52" si="5">D41-C41</f>
        <v>34103508</v>
      </c>
      <c r="F41" s="124">
        <f t="shared" ref="F41:F52" si="6">IF(C41=0,0,E41/C41)</f>
        <v>5.2295168765096302E-2</v>
      </c>
    </row>
    <row r="42" spans="1:6" ht="15.75" x14ac:dyDescent="0.25">
      <c r="A42" s="121">
        <v>2</v>
      </c>
      <c r="B42" s="122" t="s">
        <v>114</v>
      </c>
      <c r="C42" s="119">
        <f t="shared" si="4"/>
        <v>247623897</v>
      </c>
      <c r="D42" s="119">
        <f t="shared" si="4"/>
        <v>283334205</v>
      </c>
      <c r="E42" s="123">
        <f t="shared" si="5"/>
        <v>35710308</v>
      </c>
      <c r="F42" s="124">
        <f t="shared" si="6"/>
        <v>0.14421188113358865</v>
      </c>
    </row>
    <row r="43" spans="1:6" ht="15.75" x14ac:dyDescent="0.25">
      <c r="A43" s="121">
        <v>3</v>
      </c>
      <c r="B43" s="122" t="s">
        <v>115</v>
      </c>
      <c r="C43" s="119">
        <f t="shared" si="4"/>
        <v>432890493</v>
      </c>
      <c r="D43" s="119">
        <f t="shared" si="4"/>
        <v>462641312</v>
      </c>
      <c r="E43" s="123">
        <f t="shared" si="5"/>
        <v>29750819</v>
      </c>
      <c r="F43" s="124">
        <f t="shared" si="6"/>
        <v>6.8725969918678714E-2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3841502</v>
      </c>
      <c r="D45" s="119">
        <f t="shared" si="4"/>
        <v>4926582</v>
      </c>
      <c r="E45" s="123">
        <f t="shared" si="5"/>
        <v>1085080</v>
      </c>
      <c r="F45" s="124">
        <f t="shared" si="6"/>
        <v>0.28246243266305732</v>
      </c>
    </row>
    <row r="46" spans="1:6" ht="15.75" x14ac:dyDescent="0.25">
      <c r="A46" s="121">
        <v>6</v>
      </c>
      <c r="B46" s="122" t="s">
        <v>118</v>
      </c>
      <c r="C46" s="119">
        <f t="shared" si="4"/>
        <v>47819747</v>
      </c>
      <c r="D46" s="119">
        <f t="shared" si="4"/>
        <v>38853811</v>
      </c>
      <c r="E46" s="123">
        <f t="shared" si="5"/>
        <v>-8965936</v>
      </c>
      <c r="F46" s="124">
        <f t="shared" si="6"/>
        <v>-0.18749442568150768</v>
      </c>
    </row>
    <row r="47" spans="1:6" ht="15.75" x14ac:dyDescent="0.25">
      <c r="A47" s="121">
        <v>7</v>
      </c>
      <c r="B47" s="122" t="s">
        <v>119</v>
      </c>
      <c r="C47" s="119">
        <f t="shared" si="4"/>
        <v>558621454</v>
      </c>
      <c r="D47" s="119">
        <f t="shared" si="4"/>
        <v>584513139</v>
      </c>
      <c r="E47" s="123">
        <f t="shared" si="5"/>
        <v>25891685</v>
      </c>
      <c r="F47" s="124">
        <f t="shared" si="6"/>
        <v>4.6349249235959344E-2</v>
      </c>
    </row>
    <row r="48" spans="1:6" ht="15.75" x14ac:dyDescent="0.25">
      <c r="A48" s="121">
        <v>8</v>
      </c>
      <c r="B48" s="122" t="s">
        <v>120</v>
      </c>
      <c r="C48" s="119">
        <f t="shared" si="4"/>
        <v>13193040</v>
      </c>
      <c r="D48" s="119">
        <f t="shared" si="4"/>
        <v>14794256</v>
      </c>
      <c r="E48" s="123">
        <f t="shared" si="5"/>
        <v>1601216</v>
      </c>
      <c r="F48" s="124">
        <f t="shared" si="6"/>
        <v>0.12136823658535106</v>
      </c>
    </row>
    <row r="49" spans="1:6" ht="15.75" x14ac:dyDescent="0.25">
      <c r="A49" s="121">
        <v>9</v>
      </c>
      <c r="B49" s="122" t="s">
        <v>121</v>
      </c>
      <c r="C49" s="119">
        <f t="shared" si="4"/>
        <v>32505477</v>
      </c>
      <c r="D49" s="119">
        <f t="shared" si="4"/>
        <v>29068615</v>
      </c>
      <c r="E49" s="123">
        <f t="shared" si="5"/>
        <v>-3436862</v>
      </c>
      <c r="F49" s="124">
        <f t="shared" si="6"/>
        <v>-0.10573178175481011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1988630574</v>
      </c>
      <c r="D52" s="128">
        <f>SUM(D41:D51)</f>
        <v>2104370392</v>
      </c>
      <c r="E52" s="127">
        <f t="shared" si="5"/>
        <v>115739818</v>
      </c>
      <c r="F52" s="129">
        <f t="shared" si="6"/>
        <v>5.8200763637660941E-2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156823914</v>
      </c>
      <c r="D57" s="113">
        <v>150461981</v>
      </c>
      <c r="E57" s="113">
        <f t="shared" ref="E57:E68" si="7">D57-C57</f>
        <v>-6361933</v>
      </c>
      <c r="F57" s="114">
        <f t="shared" ref="F57:F68" si="8">IF(C57=0,0,E57/C57)</f>
        <v>-4.0567365255276051E-2</v>
      </c>
    </row>
    <row r="58" spans="1:6" x14ac:dyDescent="0.2">
      <c r="A58" s="115">
        <v>2</v>
      </c>
      <c r="B58" s="116" t="s">
        <v>114</v>
      </c>
      <c r="C58" s="113">
        <v>54684038</v>
      </c>
      <c r="D58" s="113">
        <v>53492336</v>
      </c>
      <c r="E58" s="113">
        <f t="shared" si="7"/>
        <v>-1191702</v>
      </c>
      <c r="F58" s="114">
        <f t="shared" si="8"/>
        <v>-2.1792501863157947E-2</v>
      </c>
    </row>
    <row r="59" spans="1:6" x14ac:dyDescent="0.2">
      <c r="A59" s="115">
        <v>3</v>
      </c>
      <c r="B59" s="116" t="s">
        <v>115</v>
      </c>
      <c r="C59" s="113">
        <v>64775728</v>
      </c>
      <c r="D59" s="113">
        <v>55421145</v>
      </c>
      <c r="E59" s="113">
        <f t="shared" si="7"/>
        <v>-9354583</v>
      </c>
      <c r="F59" s="114">
        <f t="shared" si="8"/>
        <v>-0.14441494196715166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114523</v>
      </c>
      <c r="D61" s="113">
        <v>627627</v>
      </c>
      <c r="E61" s="113">
        <f t="shared" si="7"/>
        <v>513104</v>
      </c>
      <c r="F61" s="114">
        <f t="shared" si="8"/>
        <v>4.4803576574137942</v>
      </c>
    </row>
    <row r="62" spans="1:6" x14ac:dyDescent="0.2">
      <c r="A62" s="115">
        <v>6</v>
      </c>
      <c r="B62" s="116" t="s">
        <v>118</v>
      </c>
      <c r="C62" s="113">
        <v>5820811</v>
      </c>
      <c r="D62" s="113">
        <v>9599885</v>
      </c>
      <c r="E62" s="113">
        <f t="shared" si="7"/>
        <v>3779074</v>
      </c>
      <c r="F62" s="114">
        <f t="shared" si="8"/>
        <v>0.64923496055790164</v>
      </c>
    </row>
    <row r="63" spans="1:6" x14ac:dyDescent="0.2">
      <c r="A63" s="115">
        <v>7</v>
      </c>
      <c r="B63" s="116" t="s">
        <v>119</v>
      </c>
      <c r="C63" s="113">
        <v>141405768</v>
      </c>
      <c r="D63" s="113">
        <v>154995712</v>
      </c>
      <c r="E63" s="113">
        <f t="shared" si="7"/>
        <v>13589944</v>
      </c>
      <c r="F63" s="114">
        <f t="shared" si="8"/>
        <v>9.6106008914714144E-2</v>
      </c>
    </row>
    <row r="64" spans="1:6" x14ac:dyDescent="0.2">
      <c r="A64" s="115">
        <v>8</v>
      </c>
      <c r="B64" s="116" t="s">
        <v>120</v>
      </c>
      <c r="C64" s="113">
        <v>4212633</v>
      </c>
      <c r="D64" s="113">
        <v>4328799</v>
      </c>
      <c r="E64" s="113">
        <f t="shared" si="7"/>
        <v>116166</v>
      </c>
      <c r="F64" s="114">
        <f t="shared" si="8"/>
        <v>2.7575627879285948E-2</v>
      </c>
    </row>
    <row r="65" spans="1:6" x14ac:dyDescent="0.2">
      <c r="A65" s="115">
        <v>9</v>
      </c>
      <c r="B65" s="116" t="s">
        <v>121</v>
      </c>
      <c r="C65" s="113">
        <v>202548</v>
      </c>
      <c r="D65" s="113">
        <v>295974</v>
      </c>
      <c r="E65" s="113">
        <f t="shared" si="7"/>
        <v>93426</v>
      </c>
      <c r="F65" s="114">
        <f t="shared" si="8"/>
        <v>0.46125362876947684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428039963</v>
      </c>
      <c r="D68" s="119">
        <f>SUM(D57:D67)</f>
        <v>429223459</v>
      </c>
      <c r="E68" s="119">
        <f t="shared" si="7"/>
        <v>1183496</v>
      </c>
      <c r="F68" s="120">
        <f t="shared" si="8"/>
        <v>2.7649194054341136E-3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44106799</v>
      </c>
      <c r="D70" s="113">
        <v>40740412</v>
      </c>
      <c r="E70" s="113">
        <f t="shared" ref="E70:E81" si="9">D70-C70</f>
        <v>-3366387</v>
      </c>
      <c r="F70" s="114">
        <f t="shared" ref="F70:F81" si="10">IF(C70=0,0,E70/C70)</f>
        <v>-7.6323539144157793E-2</v>
      </c>
    </row>
    <row r="71" spans="1:6" x14ac:dyDescent="0.2">
      <c r="A71" s="115">
        <v>2</v>
      </c>
      <c r="B71" s="116" t="s">
        <v>114</v>
      </c>
      <c r="C71" s="113">
        <v>19901114</v>
      </c>
      <c r="D71" s="113">
        <v>18069456</v>
      </c>
      <c r="E71" s="113">
        <f t="shared" si="9"/>
        <v>-1831658</v>
      </c>
      <c r="F71" s="114">
        <f t="shared" si="10"/>
        <v>-9.2037963301953851E-2</v>
      </c>
    </row>
    <row r="72" spans="1:6" x14ac:dyDescent="0.2">
      <c r="A72" s="115">
        <v>3</v>
      </c>
      <c r="B72" s="116" t="s">
        <v>115</v>
      </c>
      <c r="C72" s="113">
        <v>36712862</v>
      </c>
      <c r="D72" s="113">
        <v>42867455</v>
      </c>
      <c r="E72" s="113">
        <f t="shared" si="9"/>
        <v>6154593</v>
      </c>
      <c r="F72" s="114">
        <f t="shared" si="10"/>
        <v>0.16764132962447875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214829</v>
      </c>
      <c r="D74" s="113">
        <v>403767</v>
      </c>
      <c r="E74" s="113">
        <f t="shared" si="9"/>
        <v>188938</v>
      </c>
      <c r="F74" s="114">
        <f t="shared" si="10"/>
        <v>0.8794808894516104</v>
      </c>
    </row>
    <row r="75" spans="1:6" x14ac:dyDescent="0.2">
      <c r="A75" s="115">
        <v>6</v>
      </c>
      <c r="B75" s="116" t="s">
        <v>118</v>
      </c>
      <c r="C75" s="113">
        <v>12479891</v>
      </c>
      <c r="D75" s="113">
        <v>10431185</v>
      </c>
      <c r="E75" s="113">
        <f t="shared" si="9"/>
        <v>-2048706</v>
      </c>
      <c r="F75" s="114">
        <f t="shared" si="10"/>
        <v>-0.16416056838957968</v>
      </c>
    </row>
    <row r="76" spans="1:6" x14ac:dyDescent="0.2">
      <c r="A76" s="115">
        <v>7</v>
      </c>
      <c r="B76" s="116" t="s">
        <v>119</v>
      </c>
      <c r="C76" s="113">
        <v>117580128</v>
      </c>
      <c r="D76" s="113">
        <v>122470467</v>
      </c>
      <c r="E76" s="113">
        <f t="shared" si="9"/>
        <v>4890339</v>
      </c>
      <c r="F76" s="114">
        <f t="shared" si="10"/>
        <v>4.1591543428154798E-2</v>
      </c>
    </row>
    <row r="77" spans="1:6" x14ac:dyDescent="0.2">
      <c r="A77" s="115">
        <v>8</v>
      </c>
      <c r="B77" s="116" t="s">
        <v>120</v>
      </c>
      <c r="C77" s="113">
        <v>5471683</v>
      </c>
      <c r="D77" s="113">
        <v>6316610</v>
      </c>
      <c r="E77" s="113">
        <f t="shared" si="9"/>
        <v>844927</v>
      </c>
      <c r="F77" s="114">
        <f t="shared" si="10"/>
        <v>0.15441811961694418</v>
      </c>
    </row>
    <row r="78" spans="1:6" x14ac:dyDescent="0.2">
      <c r="A78" s="115">
        <v>9</v>
      </c>
      <c r="B78" s="116" t="s">
        <v>121</v>
      </c>
      <c r="C78" s="113">
        <v>533376</v>
      </c>
      <c r="D78" s="113">
        <v>1301392</v>
      </c>
      <c r="E78" s="113">
        <f t="shared" si="9"/>
        <v>768016</v>
      </c>
      <c r="F78" s="114">
        <f t="shared" si="10"/>
        <v>1.4399148068154548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237000682</v>
      </c>
      <c r="D81" s="119">
        <f>SUM(D70:D80)</f>
        <v>242600744</v>
      </c>
      <c r="E81" s="119">
        <f t="shared" si="9"/>
        <v>5600062</v>
      </c>
      <c r="F81" s="120">
        <f t="shared" si="10"/>
        <v>2.3628885591139355E-2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200930713</v>
      </c>
      <c r="D84" s="119">
        <f t="shared" si="11"/>
        <v>191202393</v>
      </c>
      <c r="E84" s="119">
        <f t="shared" ref="E84:E95" si="12">D84-C84</f>
        <v>-9728320</v>
      </c>
      <c r="F84" s="120">
        <f t="shared" ref="F84:F95" si="13">IF(C84=0,0,E84/C84)</f>
        <v>-4.8416291639795259E-2</v>
      </c>
    </row>
    <row r="85" spans="1:6" ht="15.75" x14ac:dyDescent="0.25">
      <c r="A85" s="130">
        <v>2</v>
      </c>
      <c r="B85" s="122" t="s">
        <v>114</v>
      </c>
      <c r="C85" s="119">
        <f t="shared" si="11"/>
        <v>74585152</v>
      </c>
      <c r="D85" s="119">
        <f t="shared" si="11"/>
        <v>71561792</v>
      </c>
      <c r="E85" s="119">
        <f t="shared" si="12"/>
        <v>-3023360</v>
      </c>
      <c r="F85" s="120">
        <f t="shared" si="13"/>
        <v>-4.053568195449947E-2</v>
      </c>
    </row>
    <row r="86" spans="1:6" ht="15.75" x14ac:dyDescent="0.25">
      <c r="A86" s="130">
        <v>3</v>
      </c>
      <c r="B86" s="122" t="s">
        <v>115</v>
      </c>
      <c r="C86" s="119">
        <f t="shared" si="11"/>
        <v>101488590</v>
      </c>
      <c r="D86" s="119">
        <f t="shared" si="11"/>
        <v>98288600</v>
      </c>
      <c r="E86" s="119">
        <f t="shared" si="12"/>
        <v>-3199990</v>
      </c>
      <c r="F86" s="120">
        <f t="shared" si="13"/>
        <v>-3.1530539541440077E-2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329352</v>
      </c>
      <c r="D88" s="119">
        <f t="shared" si="11"/>
        <v>1031394</v>
      </c>
      <c r="E88" s="119">
        <f t="shared" si="12"/>
        <v>702042</v>
      </c>
      <c r="F88" s="120">
        <f t="shared" si="13"/>
        <v>2.1315856591124391</v>
      </c>
    </row>
    <row r="89" spans="1:6" ht="15.75" x14ac:dyDescent="0.25">
      <c r="A89" s="130">
        <v>6</v>
      </c>
      <c r="B89" s="122" t="s">
        <v>118</v>
      </c>
      <c r="C89" s="119">
        <f t="shared" si="11"/>
        <v>18300702</v>
      </c>
      <c r="D89" s="119">
        <f t="shared" si="11"/>
        <v>20031070</v>
      </c>
      <c r="E89" s="119">
        <f t="shared" si="12"/>
        <v>1730368</v>
      </c>
      <c r="F89" s="120">
        <f t="shared" si="13"/>
        <v>9.4552001338527883E-2</v>
      </c>
    </row>
    <row r="90" spans="1:6" ht="15.75" x14ac:dyDescent="0.25">
      <c r="A90" s="130">
        <v>7</v>
      </c>
      <c r="B90" s="122" t="s">
        <v>119</v>
      </c>
      <c r="C90" s="119">
        <f t="shared" si="11"/>
        <v>258985896</v>
      </c>
      <c r="D90" s="119">
        <f t="shared" si="11"/>
        <v>277466179</v>
      </c>
      <c r="E90" s="119">
        <f t="shared" si="12"/>
        <v>18480283</v>
      </c>
      <c r="F90" s="120">
        <f t="shared" si="13"/>
        <v>7.1356329767085072E-2</v>
      </c>
    </row>
    <row r="91" spans="1:6" ht="15.75" x14ac:dyDescent="0.25">
      <c r="A91" s="130">
        <v>8</v>
      </c>
      <c r="B91" s="122" t="s">
        <v>120</v>
      </c>
      <c r="C91" s="119">
        <f t="shared" si="11"/>
        <v>9684316</v>
      </c>
      <c r="D91" s="119">
        <f t="shared" si="11"/>
        <v>10645409</v>
      </c>
      <c r="E91" s="119">
        <f t="shared" si="12"/>
        <v>961093</v>
      </c>
      <c r="F91" s="120">
        <f t="shared" si="13"/>
        <v>9.9242218035842697E-2</v>
      </c>
    </row>
    <row r="92" spans="1:6" ht="15.75" x14ac:dyDescent="0.25">
      <c r="A92" s="130">
        <v>9</v>
      </c>
      <c r="B92" s="122" t="s">
        <v>121</v>
      </c>
      <c r="C92" s="119">
        <f t="shared" si="11"/>
        <v>735924</v>
      </c>
      <c r="D92" s="119">
        <f t="shared" si="11"/>
        <v>1597366</v>
      </c>
      <c r="E92" s="119">
        <f t="shared" si="12"/>
        <v>861442</v>
      </c>
      <c r="F92" s="120">
        <f t="shared" si="13"/>
        <v>1.1705583728754601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665040645</v>
      </c>
      <c r="D95" s="128">
        <f>SUM(D84:D94)</f>
        <v>671824203</v>
      </c>
      <c r="E95" s="128">
        <f t="shared" si="12"/>
        <v>6783558</v>
      </c>
      <c r="F95" s="129">
        <f t="shared" si="13"/>
        <v>1.0200215657495642E-2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10298</v>
      </c>
      <c r="D100" s="133">
        <v>10660</v>
      </c>
      <c r="E100" s="133">
        <f t="shared" ref="E100:E111" si="14">D100-C100</f>
        <v>362</v>
      </c>
      <c r="F100" s="114">
        <f t="shared" ref="F100:F111" si="15">IF(C100=0,0,E100/C100)</f>
        <v>3.5152456787725772E-2</v>
      </c>
    </row>
    <row r="101" spans="1:6" x14ac:dyDescent="0.2">
      <c r="A101" s="115">
        <v>2</v>
      </c>
      <c r="B101" s="116" t="s">
        <v>114</v>
      </c>
      <c r="C101" s="133">
        <v>3446</v>
      </c>
      <c r="D101" s="133">
        <v>3749</v>
      </c>
      <c r="E101" s="133">
        <f t="shared" si="14"/>
        <v>303</v>
      </c>
      <c r="F101" s="114">
        <f t="shared" si="15"/>
        <v>8.7928032501450953E-2</v>
      </c>
    </row>
    <row r="102" spans="1:6" x14ac:dyDescent="0.2">
      <c r="A102" s="115">
        <v>3</v>
      </c>
      <c r="B102" s="116" t="s">
        <v>115</v>
      </c>
      <c r="C102" s="133">
        <v>7876</v>
      </c>
      <c r="D102" s="133">
        <v>7833</v>
      </c>
      <c r="E102" s="133">
        <f t="shared" si="14"/>
        <v>-43</v>
      </c>
      <c r="F102" s="114">
        <f t="shared" si="15"/>
        <v>-5.4596241747079735E-3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88</v>
      </c>
      <c r="D104" s="133">
        <v>76</v>
      </c>
      <c r="E104" s="133">
        <f t="shared" si="14"/>
        <v>-12</v>
      </c>
      <c r="F104" s="114">
        <f t="shared" si="15"/>
        <v>-0.13636363636363635</v>
      </c>
    </row>
    <row r="105" spans="1:6" x14ac:dyDescent="0.2">
      <c r="A105" s="115">
        <v>6</v>
      </c>
      <c r="B105" s="116" t="s">
        <v>118</v>
      </c>
      <c r="C105" s="133">
        <v>583</v>
      </c>
      <c r="D105" s="133">
        <v>468</v>
      </c>
      <c r="E105" s="133">
        <f t="shared" si="14"/>
        <v>-115</v>
      </c>
      <c r="F105" s="114">
        <f t="shared" si="15"/>
        <v>-0.19725557461406518</v>
      </c>
    </row>
    <row r="106" spans="1:6" x14ac:dyDescent="0.2">
      <c r="A106" s="115">
        <v>7</v>
      </c>
      <c r="B106" s="116" t="s">
        <v>119</v>
      </c>
      <c r="C106" s="133">
        <v>8498</v>
      </c>
      <c r="D106" s="133">
        <v>8446</v>
      </c>
      <c r="E106" s="133">
        <f t="shared" si="14"/>
        <v>-52</v>
      </c>
      <c r="F106" s="114">
        <f t="shared" si="15"/>
        <v>-6.1190868439632857E-3</v>
      </c>
    </row>
    <row r="107" spans="1:6" x14ac:dyDescent="0.2">
      <c r="A107" s="115">
        <v>8</v>
      </c>
      <c r="B107" s="116" t="s">
        <v>120</v>
      </c>
      <c r="C107" s="133">
        <v>126</v>
      </c>
      <c r="D107" s="133">
        <v>134</v>
      </c>
      <c r="E107" s="133">
        <f t="shared" si="14"/>
        <v>8</v>
      </c>
      <c r="F107" s="114">
        <f t="shared" si="15"/>
        <v>6.3492063492063489E-2</v>
      </c>
    </row>
    <row r="108" spans="1:6" x14ac:dyDescent="0.2">
      <c r="A108" s="115">
        <v>9</v>
      </c>
      <c r="B108" s="116" t="s">
        <v>121</v>
      </c>
      <c r="C108" s="133">
        <v>319</v>
      </c>
      <c r="D108" s="133">
        <v>266</v>
      </c>
      <c r="E108" s="133">
        <f t="shared" si="14"/>
        <v>-53</v>
      </c>
      <c r="F108" s="114">
        <f t="shared" si="15"/>
        <v>-0.16614420062695925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31234</v>
      </c>
      <c r="D111" s="134">
        <f>SUM(D100:D110)</f>
        <v>31632</v>
      </c>
      <c r="E111" s="134">
        <f t="shared" si="14"/>
        <v>398</v>
      </c>
      <c r="F111" s="120">
        <f t="shared" si="15"/>
        <v>1.2742524172376257E-2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56534</v>
      </c>
      <c r="D113" s="133">
        <v>57188</v>
      </c>
      <c r="E113" s="133">
        <f t="shared" ref="E113:E124" si="16">D113-C113</f>
        <v>654</v>
      </c>
      <c r="F113" s="114">
        <f t="shared" ref="F113:F124" si="17">IF(C113=0,0,E113/C113)</f>
        <v>1.1568259808256978E-2</v>
      </c>
    </row>
    <row r="114" spans="1:6" x14ac:dyDescent="0.2">
      <c r="A114" s="115">
        <v>2</v>
      </c>
      <c r="B114" s="116" t="s">
        <v>114</v>
      </c>
      <c r="C114" s="133">
        <v>19462</v>
      </c>
      <c r="D114" s="133">
        <v>20949</v>
      </c>
      <c r="E114" s="133">
        <f t="shared" si="16"/>
        <v>1487</v>
      </c>
      <c r="F114" s="114">
        <f t="shared" si="17"/>
        <v>7.6405302641044087E-2</v>
      </c>
    </row>
    <row r="115" spans="1:6" x14ac:dyDescent="0.2">
      <c r="A115" s="115">
        <v>3</v>
      </c>
      <c r="B115" s="116" t="s">
        <v>115</v>
      </c>
      <c r="C115" s="133">
        <v>38518</v>
      </c>
      <c r="D115" s="133">
        <v>38467</v>
      </c>
      <c r="E115" s="133">
        <f t="shared" si="16"/>
        <v>-51</v>
      </c>
      <c r="F115" s="114">
        <f t="shared" si="17"/>
        <v>-1.3240562853730723E-3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374</v>
      </c>
      <c r="D117" s="133">
        <v>230</v>
      </c>
      <c r="E117" s="133">
        <f t="shared" si="16"/>
        <v>-144</v>
      </c>
      <c r="F117" s="114">
        <f t="shared" si="17"/>
        <v>-0.38502673796791442</v>
      </c>
    </row>
    <row r="118" spans="1:6" x14ac:dyDescent="0.2">
      <c r="A118" s="115">
        <v>6</v>
      </c>
      <c r="B118" s="116" t="s">
        <v>118</v>
      </c>
      <c r="C118" s="133">
        <v>2406</v>
      </c>
      <c r="D118" s="133">
        <v>1775</v>
      </c>
      <c r="E118" s="133">
        <f t="shared" si="16"/>
        <v>-631</v>
      </c>
      <c r="F118" s="114">
        <f t="shared" si="17"/>
        <v>-0.26226101413133834</v>
      </c>
    </row>
    <row r="119" spans="1:6" x14ac:dyDescent="0.2">
      <c r="A119" s="115">
        <v>7</v>
      </c>
      <c r="B119" s="116" t="s">
        <v>119</v>
      </c>
      <c r="C119" s="133">
        <v>33137</v>
      </c>
      <c r="D119" s="133">
        <v>32566</v>
      </c>
      <c r="E119" s="133">
        <f t="shared" si="16"/>
        <v>-571</v>
      </c>
      <c r="F119" s="114">
        <f t="shared" si="17"/>
        <v>-1.7231493496695536E-2</v>
      </c>
    </row>
    <row r="120" spans="1:6" x14ac:dyDescent="0.2">
      <c r="A120" s="115">
        <v>8</v>
      </c>
      <c r="B120" s="116" t="s">
        <v>120</v>
      </c>
      <c r="C120" s="133">
        <v>367</v>
      </c>
      <c r="D120" s="133">
        <v>337</v>
      </c>
      <c r="E120" s="133">
        <f t="shared" si="16"/>
        <v>-30</v>
      </c>
      <c r="F120" s="114">
        <f t="shared" si="17"/>
        <v>-8.1743869209809264E-2</v>
      </c>
    </row>
    <row r="121" spans="1:6" x14ac:dyDescent="0.2">
      <c r="A121" s="115">
        <v>9</v>
      </c>
      <c r="B121" s="116" t="s">
        <v>121</v>
      </c>
      <c r="C121" s="133">
        <v>1069</v>
      </c>
      <c r="D121" s="133">
        <v>978</v>
      </c>
      <c r="E121" s="133">
        <f t="shared" si="16"/>
        <v>-91</v>
      </c>
      <c r="F121" s="114">
        <f t="shared" si="17"/>
        <v>-8.5126286248830688E-2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151867</v>
      </c>
      <c r="D124" s="134">
        <f>SUM(D113:D123)</f>
        <v>152490</v>
      </c>
      <c r="E124" s="134">
        <f t="shared" si="16"/>
        <v>623</v>
      </c>
      <c r="F124" s="120">
        <f t="shared" si="17"/>
        <v>4.1022737000138282E-3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48968</v>
      </c>
      <c r="D126" s="133">
        <v>45602</v>
      </c>
      <c r="E126" s="133">
        <f t="shared" ref="E126:E137" si="18">D126-C126</f>
        <v>-3366</v>
      </c>
      <c r="F126" s="114">
        <f t="shared" ref="F126:F137" si="19">IF(C126=0,0,E126/C126)</f>
        <v>-6.8738768175134787E-2</v>
      </c>
    </row>
    <row r="127" spans="1:6" x14ac:dyDescent="0.2">
      <c r="A127" s="115">
        <v>2</v>
      </c>
      <c r="B127" s="116" t="s">
        <v>114</v>
      </c>
      <c r="C127" s="133">
        <v>21791</v>
      </c>
      <c r="D127" s="133">
        <v>22570</v>
      </c>
      <c r="E127" s="133">
        <f t="shared" si="18"/>
        <v>779</v>
      </c>
      <c r="F127" s="114">
        <f t="shared" si="19"/>
        <v>3.5748703593226565E-2</v>
      </c>
    </row>
    <row r="128" spans="1:6" x14ac:dyDescent="0.2">
      <c r="A128" s="115">
        <v>3</v>
      </c>
      <c r="B128" s="116" t="s">
        <v>115</v>
      </c>
      <c r="C128" s="133">
        <v>96637</v>
      </c>
      <c r="D128" s="133">
        <v>89312</v>
      </c>
      <c r="E128" s="133">
        <f t="shared" si="18"/>
        <v>-7325</v>
      </c>
      <c r="F128" s="114">
        <f t="shared" si="19"/>
        <v>-7.5799124558916353E-2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769</v>
      </c>
      <c r="D130" s="133">
        <v>719</v>
      </c>
      <c r="E130" s="133">
        <f t="shared" si="18"/>
        <v>-50</v>
      </c>
      <c r="F130" s="114">
        <f t="shared" si="19"/>
        <v>-6.5019505851755532E-2</v>
      </c>
    </row>
    <row r="131" spans="1:6" x14ac:dyDescent="0.2">
      <c r="A131" s="115">
        <v>6</v>
      </c>
      <c r="B131" s="116" t="s">
        <v>118</v>
      </c>
      <c r="C131" s="133">
        <v>8402</v>
      </c>
      <c r="D131" s="133">
        <v>6787</v>
      </c>
      <c r="E131" s="133">
        <f t="shared" si="18"/>
        <v>-1615</v>
      </c>
      <c r="F131" s="114">
        <f t="shared" si="19"/>
        <v>-0.19221613901452037</v>
      </c>
    </row>
    <row r="132" spans="1:6" x14ac:dyDescent="0.2">
      <c r="A132" s="115">
        <v>7</v>
      </c>
      <c r="B132" s="116" t="s">
        <v>119</v>
      </c>
      <c r="C132" s="133">
        <v>77572</v>
      </c>
      <c r="D132" s="133">
        <v>72029</v>
      </c>
      <c r="E132" s="133">
        <f t="shared" si="18"/>
        <v>-5543</v>
      </c>
      <c r="F132" s="114">
        <f t="shared" si="19"/>
        <v>-7.1456195534471204E-2</v>
      </c>
    </row>
    <row r="133" spans="1:6" x14ac:dyDescent="0.2">
      <c r="A133" s="115">
        <v>8</v>
      </c>
      <c r="B133" s="116" t="s">
        <v>120</v>
      </c>
      <c r="C133" s="133">
        <v>2165</v>
      </c>
      <c r="D133" s="133">
        <v>2207</v>
      </c>
      <c r="E133" s="133">
        <f t="shared" si="18"/>
        <v>42</v>
      </c>
      <c r="F133" s="114">
        <f t="shared" si="19"/>
        <v>1.9399538106235566E-2</v>
      </c>
    </row>
    <row r="134" spans="1:6" x14ac:dyDescent="0.2">
      <c r="A134" s="115">
        <v>9</v>
      </c>
      <c r="B134" s="116" t="s">
        <v>121</v>
      </c>
      <c r="C134" s="133">
        <v>11721</v>
      </c>
      <c r="D134" s="133">
        <v>10236</v>
      </c>
      <c r="E134" s="133">
        <f t="shared" si="18"/>
        <v>-1485</v>
      </c>
      <c r="F134" s="114">
        <f t="shared" si="19"/>
        <v>-0.12669567443050933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268025</v>
      </c>
      <c r="D137" s="134">
        <f>SUM(D126:D136)</f>
        <v>249462</v>
      </c>
      <c r="E137" s="134">
        <f t="shared" si="18"/>
        <v>-18563</v>
      </c>
      <c r="F137" s="120">
        <f t="shared" si="19"/>
        <v>-6.9258464695457517E-2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46938021</v>
      </c>
      <c r="D142" s="113">
        <v>48516920</v>
      </c>
      <c r="E142" s="113">
        <f t="shared" ref="E142:E153" si="20">D142-C142</f>
        <v>1578899</v>
      </c>
      <c r="F142" s="114">
        <f t="shared" ref="F142:F153" si="21">IF(C142=0,0,E142/C142)</f>
        <v>3.3637954186436621E-2</v>
      </c>
    </row>
    <row r="143" spans="1:6" x14ac:dyDescent="0.2">
      <c r="A143" s="115">
        <v>2</v>
      </c>
      <c r="B143" s="116" t="s">
        <v>114</v>
      </c>
      <c r="C143" s="113">
        <v>22100424</v>
      </c>
      <c r="D143" s="113">
        <v>26203899</v>
      </c>
      <c r="E143" s="113">
        <f t="shared" si="20"/>
        <v>4103475</v>
      </c>
      <c r="F143" s="114">
        <f t="shared" si="21"/>
        <v>0.18567403955688813</v>
      </c>
    </row>
    <row r="144" spans="1:6" x14ac:dyDescent="0.2">
      <c r="A144" s="115">
        <v>3</v>
      </c>
      <c r="B144" s="116" t="s">
        <v>115</v>
      </c>
      <c r="C144" s="113">
        <v>110467489</v>
      </c>
      <c r="D144" s="113">
        <v>119276038</v>
      </c>
      <c r="E144" s="113">
        <f t="shared" si="20"/>
        <v>8808549</v>
      </c>
      <c r="F144" s="114">
        <f t="shared" si="21"/>
        <v>7.973883610226716E-2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516295</v>
      </c>
      <c r="D146" s="113">
        <v>577476</v>
      </c>
      <c r="E146" s="113">
        <f t="shared" si="20"/>
        <v>61181</v>
      </c>
      <c r="F146" s="114">
        <f t="shared" si="21"/>
        <v>0.11850008231727985</v>
      </c>
    </row>
    <row r="147" spans="1:6" x14ac:dyDescent="0.2">
      <c r="A147" s="115">
        <v>6</v>
      </c>
      <c r="B147" s="116" t="s">
        <v>118</v>
      </c>
      <c r="C147" s="113">
        <v>8764032</v>
      </c>
      <c r="D147" s="113">
        <v>6381661</v>
      </c>
      <c r="E147" s="113">
        <f t="shared" si="20"/>
        <v>-2382371</v>
      </c>
      <c r="F147" s="114">
        <f t="shared" si="21"/>
        <v>-0.27183504122303526</v>
      </c>
    </row>
    <row r="148" spans="1:6" x14ac:dyDescent="0.2">
      <c r="A148" s="115">
        <v>7</v>
      </c>
      <c r="B148" s="116" t="s">
        <v>119</v>
      </c>
      <c r="C148" s="113">
        <v>57151734</v>
      </c>
      <c r="D148" s="113">
        <v>61801036</v>
      </c>
      <c r="E148" s="113">
        <f t="shared" si="20"/>
        <v>4649302</v>
      </c>
      <c r="F148" s="114">
        <f t="shared" si="21"/>
        <v>8.1350147661311559E-2</v>
      </c>
    </row>
    <row r="149" spans="1:6" x14ac:dyDescent="0.2">
      <c r="A149" s="115">
        <v>8</v>
      </c>
      <c r="B149" s="116" t="s">
        <v>120</v>
      </c>
      <c r="C149" s="113">
        <v>3757848</v>
      </c>
      <c r="D149" s="113">
        <v>4147384</v>
      </c>
      <c r="E149" s="113">
        <f t="shared" si="20"/>
        <v>389536</v>
      </c>
      <c r="F149" s="114">
        <f t="shared" si="21"/>
        <v>0.10365932842414062</v>
      </c>
    </row>
    <row r="150" spans="1:6" x14ac:dyDescent="0.2">
      <c r="A150" s="115">
        <v>9</v>
      </c>
      <c r="B150" s="116" t="s">
        <v>121</v>
      </c>
      <c r="C150" s="113">
        <v>14501254</v>
      </c>
      <c r="D150" s="113">
        <v>14170654</v>
      </c>
      <c r="E150" s="113">
        <f t="shared" si="20"/>
        <v>-330600</v>
      </c>
      <c r="F150" s="114">
        <f t="shared" si="21"/>
        <v>-2.2798028363616003E-2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264197097</v>
      </c>
      <c r="D153" s="119">
        <f>SUM(D142:D152)</f>
        <v>281075068</v>
      </c>
      <c r="E153" s="119">
        <f t="shared" si="20"/>
        <v>16877971</v>
      </c>
      <c r="F153" s="120">
        <f t="shared" si="21"/>
        <v>6.3884013835322342E-2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7248511</v>
      </c>
      <c r="D155" s="113">
        <v>7188208</v>
      </c>
      <c r="E155" s="113">
        <f t="shared" ref="E155:E166" si="22">D155-C155</f>
        <v>-60303</v>
      </c>
      <c r="F155" s="114">
        <f t="shared" ref="F155:F166" si="23">IF(C155=0,0,E155/C155)</f>
        <v>-8.3193637976130552E-3</v>
      </c>
    </row>
    <row r="156" spans="1:6" x14ac:dyDescent="0.2">
      <c r="A156" s="115">
        <v>2</v>
      </c>
      <c r="B156" s="116" t="s">
        <v>114</v>
      </c>
      <c r="C156" s="113">
        <v>3406371</v>
      </c>
      <c r="D156" s="113">
        <v>3853311</v>
      </c>
      <c r="E156" s="113">
        <f t="shared" si="22"/>
        <v>446940</v>
      </c>
      <c r="F156" s="114">
        <f t="shared" si="23"/>
        <v>0.13120708225850913</v>
      </c>
    </row>
    <row r="157" spans="1:6" x14ac:dyDescent="0.2">
      <c r="A157" s="115">
        <v>3</v>
      </c>
      <c r="B157" s="116" t="s">
        <v>115</v>
      </c>
      <c r="C157" s="113">
        <v>11900639</v>
      </c>
      <c r="D157" s="113">
        <v>12671710</v>
      </c>
      <c r="E157" s="113">
        <f t="shared" si="22"/>
        <v>771071</v>
      </c>
      <c r="F157" s="114">
        <f t="shared" si="23"/>
        <v>6.4792403164233445E-2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80577</v>
      </c>
      <c r="D159" s="113">
        <v>81164</v>
      </c>
      <c r="E159" s="113">
        <f t="shared" si="22"/>
        <v>587</v>
      </c>
      <c r="F159" s="114">
        <f t="shared" si="23"/>
        <v>7.2849572458642048E-3</v>
      </c>
    </row>
    <row r="160" spans="1:6" x14ac:dyDescent="0.2">
      <c r="A160" s="115">
        <v>6</v>
      </c>
      <c r="B160" s="116" t="s">
        <v>118</v>
      </c>
      <c r="C160" s="113">
        <v>3610778</v>
      </c>
      <c r="D160" s="113">
        <v>2898178</v>
      </c>
      <c r="E160" s="113">
        <f t="shared" si="22"/>
        <v>-712600</v>
      </c>
      <c r="F160" s="114">
        <f t="shared" si="23"/>
        <v>-0.19735358972498449</v>
      </c>
    </row>
    <row r="161" spans="1:6" x14ac:dyDescent="0.2">
      <c r="A161" s="115">
        <v>7</v>
      </c>
      <c r="B161" s="116" t="s">
        <v>119</v>
      </c>
      <c r="C161" s="113">
        <v>25007460</v>
      </c>
      <c r="D161" s="113">
        <v>28463169</v>
      </c>
      <c r="E161" s="113">
        <f t="shared" si="22"/>
        <v>3455709</v>
      </c>
      <c r="F161" s="114">
        <f t="shared" si="23"/>
        <v>0.13818712496191138</v>
      </c>
    </row>
    <row r="162" spans="1:6" x14ac:dyDescent="0.2">
      <c r="A162" s="115">
        <v>8</v>
      </c>
      <c r="B162" s="116" t="s">
        <v>120</v>
      </c>
      <c r="C162" s="113">
        <v>2419408</v>
      </c>
      <c r="D162" s="113">
        <v>2487321</v>
      </c>
      <c r="E162" s="113">
        <f t="shared" si="22"/>
        <v>67913</v>
      </c>
      <c r="F162" s="114">
        <f t="shared" si="23"/>
        <v>2.8070089873225186E-2</v>
      </c>
    </row>
    <row r="163" spans="1:6" x14ac:dyDescent="0.2">
      <c r="A163" s="115">
        <v>9</v>
      </c>
      <c r="B163" s="116" t="s">
        <v>121</v>
      </c>
      <c r="C163" s="113">
        <v>180360</v>
      </c>
      <c r="D163" s="113">
        <v>194026</v>
      </c>
      <c r="E163" s="113">
        <f t="shared" si="22"/>
        <v>13666</v>
      </c>
      <c r="F163" s="114">
        <f t="shared" si="23"/>
        <v>7.5770680860501219E-2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53854104</v>
      </c>
      <c r="D166" s="119">
        <f>SUM(D155:D165)</f>
        <v>57837087</v>
      </c>
      <c r="E166" s="119">
        <f t="shared" si="22"/>
        <v>3982983</v>
      </c>
      <c r="F166" s="120">
        <f t="shared" si="23"/>
        <v>7.3958764591088549E-2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9358</v>
      </c>
      <c r="D168" s="133">
        <v>9206</v>
      </c>
      <c r="E168" s="133">
        <f t="shared" ref="E168:E179" si="24">D168-C168</f>
        <v>-152</v>
      </c>
      <c r="F168" s="114">
        <f t="shared" ref="F168:F179" si="25">IF(C168=0,0,E168/C168)</f>
        <v>-1.6242786920282113E-2</v>
      </c>
    </row>
    <row r="169" spans="1:6" x14ac:dyDescent="0.2">
      <c r="A169" s="115">
        <v>2</v>
      </c>
      <c r="B169" s="116" t="s">
        <v>114</v>
      </c>
      <c r="C169" s="133">
        <v>3938</v>
      </c>
      <c r="D169" s="133">
        <v>4429</v>
      </c>
      <c r="E169" s="133">
        <f t="shared" si="24"/>
        <v>491</v>
      </c>
      <c r="F169" s="114">
        <f t="shared" si="25"/>
        <v>0.12468257998984256</v>
      </c>
    </row>
    <row r="170" spans="1:6" x14ac:dyDescent="0.2">
      <c r="A170" s="115">
        <v>3</v>
      </c>
      <c r="B170" s="116" t="s">
        <v>115</v>
      </c>
      <c r="C170" s="133">
        <v>31977</v>
      </c>
      <c r="D170" s="133">
        <v>32138</v>
      </c>
      <c r="E170" s="133">
        <f t="shared" si="24"/>
        <v>161</v>
      </c>
      <c r="F170" s="114">
        <f t="shared" si="25"/>
        <v>5.0348688119585955E-3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140</v>
      </c>
      <c r="D172" s="133">
        <v>131</v>
      </c>
      <c r="E172" s="133">
        <f t="shared" si="24"/>
        <v>-9</v>
      </c>
      <c r="F172" s="114">
        <f t="shared" si="25"/>
        <v>-6.4285714285714279E-2</v>
      </c>
    </row>
    <row r="173" spans="1:6" x14ac:dyDescent="0.2">
      <c r="A173" s="115">
        <v>6</v>
      </c>
      <c r="B173" s="116" t="s">
        <v>118</v>
      </c>
      <c r="C173" s="133">
        <v>2006</v>
      </c>
      <c r="D173" s="133">
        <v>1342</v>
      </c>
      <c r="E173" s="133">
        <f t="shared" si="24"/>
        <v>-664</v>
      </c>
      <c r="F173" s="114">
        <f t="shared" si="25"/>
        <v>-0.33100697906281157</v>
      </c>
    </row>
    <row r="174" spans="1:6" x14ac:dyDescent="0.2">
      <c r="A174" s="115">
        <v>7</v>
      </c>
      <c r="B174" s="116" t="s">
        <v>119</v>
      </c>
      <c r="C174" s="133">
        <v>12186</v>
      </c>
      <c r="D174" s="133">
        <v>12743</v>
      </c>
      <c r="E174" s="133">
        <f t="shared" si="24"/>
        <v>557</v>
      </c>
      <c r="F174" s="114">
        <f t="shared" si="25"/>
        <v>4.5708189725914984E-2</v>
      </c>
    </row>
    <row r="175" spans="1:6" x14ac:dyDescent="0.2">
      <c r="A175" s="115">
        <v>8</v>
      </c>
      <c r="B175" s="116" t="s">
        <v>120</v>
      </c>
      <c r="C175" s="133">
        <v>1330</v>
      </c>
      <c r="D175" s="133">
        <v>1317</v>
      </c>
      <c r="E175" s="133">
        <f t="shared" si="24"/>
        <v>-13</v>
      </c>
      <c r="F175" s="114">
        <f t="shared" si="25"/>
        <v>-9.7744360902255641E-3</v>
      </c>
    </row>
    <row r="176" spans="1:6" x14ac:dyDescent="0.2">
      <c r="A176" s="115">
        <v>9</v>
      </c>
      <c r="B176" s="116" t="s">
        <v>121</v>
      </c>
      <c r="C176" s="133">
        <v>4380</v>
      </c>
      <c r="D176" s="133">
        <v>4058</v>
      </c>
      <c r="E176" s="133">
        <f t="shared" si="24"/>
        <v>-322</v>
      </c>
      <c r="F176" s="114">
        <f t="shared" si="25"/>
        <v>-7.3515981735159816E-2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65315</v>
      </c>
      <c r="D179" s="134">
        <f>SUM(D168:D178)</f>
        <v>65364</v>
      </c>
      <c r="E179" s="134">
        <f t="shared" si="24"/>
        <v>49</v>
      </c>
      <c r="F179" s="120">
        <f t="shared" si="25"/>
        <v>7.5021051825767437E-4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100600169</v>
      </c>
      <c r="D15" s="157">
        <v>112764341</v>
      </c>
      <c r="E15" s="157">
        <f>+D15-C15</f>
        <v>12164172</v>
      </c>
      <c r="F15" s="161">
        <f>IF(C15=0,0,E15/C15)</f>
        <v>0.12091601953471867</v>
      </c>
    </row>
    <row r="16" spans="1:6" ht="15" customHeight="1" x14ac:dyDescent="0.2">
      <c r="A16" s="147">
        <v>2</v>
      </c>
      <c r="B16" s="160" t="s">
        <v>157</v>
      </c>
      <c r="C16" s="157">
        <v>5213156</v>
      </c>
      <c r="D16" s="157">
        <v>5224559</v>
      </c>
      <c r="E16" s="157">
        <f>+D16-C16</f>
        <v>11403</v>
      </c>
      <c r="F16" s="161">
        <f>IF(C16=0,0,E16/C16)</f>
        <v>2.187350618320265E-3</v>
      </c>
    </row>
    <row r="17" spans="1:6" ht="15" customHeight="1" x14ac:dyDescent="0.2">
      <c r="A17" s="147">
        <v>3</v>
      </c>
      <c r="B17" s="160" t="s">
        <v>158</v>
      </c>
      <c r="C17" s="157">
        <v>148405212</v>
      </c>
      <c r="D17" s="157">
        <v>139632328</v>
      </c>
      <c r="E17" s="157">
        <f>+D17-C17</f>
        <v>-8772884</v>
      </c>
      <c r="F17" s="161">
        <f>IF(C17=0,0,E17/C17)</f>
        <v>-5.9114392828737039E-2</v>
      </c>
    </row>
    <row r="18" spans="1:6" ht="15.75" customHeight="1" x14ac:dyDescent="0.25">
      <c r="A18" s="147"/>
      <c r="B18" s="162" t="s">
        <v>159</v>
      </c>
      <c r="C18" s="158">
        <f>SUM(C15:C17)</f>
        <v>254218537</v>
      </c>
      <c r="D18" s="158">
        <f>SUM(D15:D17)</f>
        <v>257621228</v>
      </c>
      <c r="E18" s="158">
        <f>+D18-C18</f>
        <v>3402691</v>
      </c>
      <c r="F18" s="159">
        <f>IF(C18=0,0,E18/C18)</f>
        <v>1.3384905129872572E-2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27335819</v>
      </c>
      <c r="D21" s="157">
        <v>29800759</v>
      </c>
      <c r="E21" s="157">
        <f>+D21-C21</f>
        <v>2464940</v>
      </c>
      <c r="F21" s="161">
        <f>IF(C21=0,0,E21/C21)</f>
        <v>9.0172531505275183E-2</v>
      </c>
    </row>
    <row r="22" spans="1:6" ht="15" customHeight="1" x14ac:dyDescent="0.2">
      <c r="A22" s="147">
        <v>2</v>
      </c>
      <c r="B22" s="160" t="s">
        <v>162</v>
      </c>
      <c r="C22" s="157">
        <v>1416557</v>
      </c>
      <c r="D22" s="157">
        <v>1380719</v>
      </c>
      <c r="E22" s="157">
        <f>+D22-C22</f>
        <v>-35838</v>
      </c>
      <c r="F22" s="161">
        <f>IF(C22=0,0,E22/C22)</f>
        <v>-2.5299370233601612E-2</v>
      </c>
    </row>
    <row r="23" spans="1:6" ht="15" customHeight="1" x14ac:dyDescent="0.2">
      <c r="A23" s="147">
        <v>3</v>
      </c>
      <c r="B23" s="160" t="s">
        <v>163</v>
      </c>
      <c r="C23" s="157">
        <v>40325757</v>
      </c>
      <c r="D23" s="157">
        <v>36901287</v>
      </c>
      <c r="E23" s="157">
        <f>+D23-C23</f>
        <v>-3424470</v>
      </c>
      <c r="F23" s="161">
        <f>IF(C23=0,0,E23/C23)</f>
        <v>-8.4920166532769611E-2</v>
      </c>
    </row>
    <row r="24" spans="1:6" ht="15.75" customHeight="1" x14ac:dyDescent="0.25">
      <c r="A24" s="147"/>
      <c r="B24" s="162" t="s">
        <v>164</v>
      </c>
      <c r="C24" s="158">
        <f>SUM(C21:C23)</f>
        <v>69078133</v>
      </c>
      <c r="D24" s="158">
        <f>SUM(D21:D23)</f>
        <v>68082765</v>
      </c>
      <c r="E24" s="158">
        <f>+D24-C24</f>
        <v>-995368</v>
      </c>
      <c r="F24" s="159">
        <f>IF(C24=0,0,E24/C24)</f>
        <v>-1.4409306632534495E-2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2404916</v>
      </c>
      <c r="D27" s="157">
        <v>3021592</v>
      </c>
      <c r="E27" s="157">
        <f>+D27-C27</f>
        <v>616676</v>
      </c>
      <c r="F27" s="161">
        <f>IF(C27=0,0,E27/C27)</f>
        <v>0.2564230933637599</v>
      </c>
    </row>
    <row r="28" spans="1:6" ht="15" customHeight="1" x14ac:dyDescent="0.2">
      <c r="A28" s="147">
        <v>2</v>
      </c>
      <c r="B28" s="160" t="s">
        <v>167</v>
      </c>
      <c r="C28" s="157">
        <v>48711341</v>
      </c>
      <c r="D28" s="157">
        <v>47535764</v>
      </c>
      <c r="E28" s="157">
        <f>+D28-C28</f>
        <v>-1175577</v>
      </c>
      <c r="F28" s="161">
        <f>IF(C28=0,0,E28/C28)</f>
        <v>-2.4133538019411125E-2</v>
      </c>
    </row>
    <row r="29" spans="1:6" ht="15" customHeight="1" x14ac:dyDescent="0.2">
      <c r="A29" s="147">
        <v>3</v>
      </c>
      <c r="B29" s="160" t="s">
        <v>168</v>
      </c>
      <c r="C29" s="157">
        <v>11793982</v>
      </c>
      <c r="D29" s="157">
        <v>11574127</v>
      </c>
      <c r="E29" s="157">
        <f>+D29-C29</f>
        <v>-219855</v>
      </c>
      <c r="F29" s="161">
        <f>IF(C29=0,0,E29/C29)</f>
        <v>-1.8641286717242744E-2</v>
      </c>
    </row>
    <row r="30" spans="1:6" ht="15.75" customHeight="1" x14ac:dyDescent="0.25">
      <c r="A30" s="147"/>
      <c r="B30" s="162" t="s">
        <v>169</v>
      </c>
      <c r="C30" s="158">
        <f>SUM(C27:C29)</f>
        <v>62910239</v>
      </c>
      <c r="D30" s="158">
        <f>SUM(D27:D29)</f>
        <v>62131483</v>
      </c>
      <c r="E30" s="158">
        <f>+D30-C30</f>
        <v>-778756</v>
      </c>
      <c r="F30" s="159">
        <f>IF(C30=0,0,E30/C30)</f>
        <v>-1.2378843450268882E-2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70298935</v>
      </c>
      <c r="D33" s="157">
        <v>70091969</v>
      </c>
      <c r="E33" s="157">
        <f>+D33-C33</f>
        <v>-206966</v>
      </c>
      <c r="F33" s="161">
        <f>IF(C33=0,0,E33/C33)</f>
        <v>-2.9440844302975572E-3</v>
      </c>
    </row>
    <row r="34" spans="1:6" ht="15" customHeight="1" x14ac:dyDescent="0.2">
      <c r="A34" s="147">
        <v>2</v>
      </c>
      <c r="B34" s="160" t="s">
        <v>173</v>
      </c>
      <c r="C34" s="157">
        <v>28875015</v>
      </c>
      <c r="D34" s="157">
        <v>29372742</v>
      </c>
      <c r="E34" s="157">
        <f>+D34-C34</f>
        <v>497727</v>
      </c>
      <c r="F34" s="161">
        <f>IF(C34=0,0,E34/C34)</f>
        <v>1.7237289746862471E-2</v>
      </c>
    </row>
    <row r="35" spans="1:6" ht="15.75" customHeight="1" x14ac:dyDescent="0.25">
      <c r="A35" s="147"/>
      <c r="B35" s="162" t="s">
        <v>174</v>
      </c>
      <c r="C35" s="158">
        <f>SUM(C33:C34)</f>
        <v>99173950</v>
      </c>
      <c r="D35" s="158">
        <f>SUM(D33:D34)</f>
        <v>99464711</v>
      </c>
      <c r="E35" s="158">
        <f>+D35-C35</f>
        <v>290761</v>
      </c>
      <c r="F35" s="159">
        <f>IF(C35=0,0,E35/C35)</f>
        <v>2.9318283682358121E-3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13219925</v>
      </c>
      <c r="D38" s="157">
        <v>13831599</v>
      </c>
      <c r="E38" s="157">
        <f>+D38-C38</f>
        <v>611674</v>
      </c>
      <c r="F38" s="161">
        <f>IF(C38=0,0,E38/C38)</f>
        <v>4.6269097593216298E-2</v>
      </c>
    </row>
    <row r="39" spans="1:6" ht="15" customHeight="1" x14ac:dyDescent="0.2">
      <c r="A39" s="147">
        <v>2</v>
      </c>
      <c r="B39" s="160" t="s">
        <v>178</v>
      </c>
      <c r="C39" s="157">
        <v>22157892</v>
      </c>
      <c r="D39" s="157">
        <v>23473172</v>
      </c>
      <c r="E39" s="157">
        <f>+D39-C39</f>
        <v>1315280</v>
      </c>
      <c r="F39" s="161">
        <f>IF(C39=0,0,E39/C39)</f>
        <v>5.935943726054807E-2</v>
      </c>
    </row>
    <row r="40" spans="1:6" ht="15" customHeight="1" x14ac:dyDescent="0.2">
      <c r="A40" s="147">
        <v>3</v>
      </c>
      <c r="B40" s="160" t="s">
        <v>179</v>
      </c>
      <c r="C40" s="157">
        <v>421255</v>
      </c>
      <c r="D40" s="157">
        <v>408939</v>
      </c>
      <c r="E40" s="157">
        <f>+D40-C40</f>
        <v>-12316</v>
      </c>
      <c r="F40" s="161">
        <f>IF(C40=0,0,E40/C40)</f>
        <v>-2.9236448232068463E-2</v>
      </c>
    </row>
    <row r="41" spans="1:6" ht="15.75" customHeight="1" x14ac:dyDescent="0.25">
      <c r="A41" s="147"/>
      <c r="B41" s="162" t="s">
        <v>180</v>
      </c>
      <c r="C41" s="158">
        <f>SUM(C38:C40)</f>
        <v>35799072</v>
      </c>
      <c r="D41" s="158">
        <f>SUM(D38:D40)</f>
        <v>37713710</v>
      </c>
      <c r="E41" s="158">
        <f>+D41-C41</f>
        <v>1914638</v>
      </c>
      <c r="F41" s="159">
        <f>IF(C41=0,0,E41/C41)</f>
        <v>5.3482894752132124E-2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11620321</v>
      </c>
      <c r="D47" s="157">
        <v>11151596</v>
      </c>
      <c r="E47" s="157">
        <f>+D47-C47</f>
        <v>-468725</v>
      </c>
      <c r="F47" s="161">
        <f>IF(C47=0,0,E47/C47)</f>
        <v>-4.0336665398485981E-2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8757025</v>
      </c>
      <c r="D50" s="157">
        <v>10303205</v>
      </c>
      <c r="E50" s="157">
        <f>+D50-C50</f>
        <v>1546180</v>
      </c>
      <c r="F50" s="161">
        <f>IF(C50=0,0,E50/C50)</f>
        <v>0.17656452962050467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1023948</v>
      </c>
      <c r="D53" s="157">
        <v>921343</v>
      </c>
      <c r="E53" s="157">
        <f t="shared" ref="E53:E59" si="0">+D53-C53</f>
        <v>-102605</v>
      </c>
      <c r="F53" s="161">
        <f t="shared" ref="F53:F59" si="1">IF(C53=0,0,E53/C53)</f>
        <v>-0.10020528386207112</v>
      </c>
    </row>
    <row r="54" spans="1:6" ht="15" customHeight="1" x14ac:dyDescent="0.2">
      <c r="A54" s="147">
        <v>2</v>
      </c>
      <c r="B54" s="160" t="s">
        <v>189</v>
      </c>
      <c r="C54" s="157">
        <v>3051138</v>
      </c>
      <c r="D54" s="157">
        <v>3191276</v>
      </c>
      <c r="E54" s="157">
        <f t="shared" si="0"/>
        <v>140138</v>
      </c>
      <c r="F54" s="161">
        <f t="shared" si="1"/>
        <v>4.5929748179203957E-2</v>
      </c>
    </row>
    <row r="55" spans="1:6" ht="15" customHeight="1" x14ac:dyDescent="0.2">
      <c r="A55" s="147">
        <v>3</v>
      </c>
      <c r="B55" s="160" t="s">
        <v>190</v>
      </c>
      <c r="C55" s="157">
        <v>36255</v>
      </c>
      <c r="D55" s="157">
        <v>19611</v>
      </c>
      <c r="E55" s="157">
        <f t="shared" si="0"/>
        <v>-16644</v>
      </c>
      <c r="F55" s="161">
        <f t="shared" si="1"/>
        <v>-0.45908150599917252</v>
      </c>
    </row>
    <row r="56" spans="1:6" ht="15" customHeight="1" x14ac:dyDescent="0.2">
      <c r="A56" s="147">
        <v>4</v>
      </c>
      <c r="B56" s="160" t="s">
        <v>191</v>
      </c>
      <c r="C56" s="157">
        <v>6921173</v>
      </c>
      <c r="D56" s="157">
        <v>7072327</v>
      </c>
      <c r="E56" s="157">
        <f t="shared" si="0"/>
        <v>151154</v>
      </c>
      <c r="F56" s="161">
        <f t="shared" si="1"/>
        <v>2.1839361622661362E-2</v>
      </c>
    </row>
    <row r="57" spans="1:6" ht="15" customHeight="1" x14ac:dyDescent="0.2">
      <c r="A57" s="147">
        <v>5</v>
      </c>
      <c r="B57" s="160" t="s">
        <v>192</v>
      </c>
      <c r="C57" s="157">
        <v>1509847</v>
      </c>
      <c r="D57" s="157">
        <v>1623999</v>
      </c>
      <c r="E57" s="157">
        <f t="shared" si="0"/>
        <v>114152</v>
      </c>
      <c r="F57" s="161">
        <f t="shared" si="1"/>
        <v>7.5605011633629107E-2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12542361</v>
      </c>
      <c r="D59" s="158">
        <f>SUM(D53:D58)</f>
        <v>12828556</v>
      </c>
      <c r="E59" s="158">
        <f t="shared" si="0"/>
        <v>286195</v>
      </c>
      <c r="F59" s="159">
        <f t="shared" si="1"/>
        <v>2.281827161568703E-2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619984</v>
      </c>
      <c r="D62" s="157">
        <v>615565</v>
      </c>
      <c r="E62" s="157">
        <f t="shared" ref="E62:E90" si="2">+D62-C62</f>
        <v>-4419</v>
      </c>
      <c r="F62" s="161">
        <f t="shared" ref="F62:F90" si="3">IF(C62=0,0,E62/C62)</f>
        <v>-7.1276032929882063E-3</v>
      </c>
    </row>
    <row r="63" spans="1:6" ht="15" customHeight="1" x14ac:dyDescent="0.2">
      <c r="A63" s="147">
        <v>2</v>
      </c>
      <c r="B63" s="160" t="s">
        <v>198</v>
      </c>
      <c r="C63" s="157">
        <v>969189</v>
      </c>
      <c r="D63" s="157">
        <v>2329779</v>
      </c>
      <c r="E63" s="157">
        <f t="shared" si="2"/>
        <v>1360590</v>
      </c>
      <c r="F63" s="161">
        <f t="shared" si="3"/>
        <v>1.4038438323175355</v>
      </c>
    </row>
    <row r="64" spans="1:6" ht="15" customHeight="1" x14ac:dyDescent="0.2">
      <c r="A64" s="147">
        <v>3</v>
      </c>
      <c r="B64" s="160" t="s">
        <v>199</v>
      </c>
      <c r="C64" s="157">
        <v>7489097</v>
      </c>
      <c r="D64" s="157">
        <v>10613420</v>
      </c>
      <c r="E64" s="157">
        <f t="shared" si="2"/>
        <v>3124323</v>
      </c>
      <c r="F64" s="161">
        <f t="shared" si="3"/>
        <v>0.41718287264806425</v>
      </c>
    </row>
    <row r="65" spans="1:6" ht="15" customHeight="1" x14ac:dyDescent="0.2">
      <c r="A65" s="147">
        <v>4</v>
      </c>
      <c r="B65" s="160" t="s">
        <v>200</v>
      </c>
      <c r="C65" s="157">
        <v>2549791</v>
      </c>
      <c r="D65" s="157">
        <v>2217392</v>
      </c>
      <c r="E65" s="157">
        <f t="shared" si="2"/>
        <v>-332399</v>
      </c>
      <c r="F65" s="161">
        <f t="shared" si="3"/>
        <v>-0.13036323369248695</v>
      </c>
    </row>
    <row r="66" spans="1:6" ht="15" customHeight="1" x14ac:dyDescent="0.2">
      <c r="A66" s="147">
        <v>5</v>
      </c>
      <c r="B66" s="160" t="s">
        <v>201</v>
      </c>
      <c r="C66" s="157">
        <v>2837352</v>
      </c>
      <c r="D66" s="157">
        <v>3553318</v>
      </c>
      <c r="E66" s="157">
        <f t="shared" si="2"/>
        <v>715966</v>
      </c>
      <c r="F66" s="161">
        <f t="shared" si="3"/>
        <v>0.2523359808723063</v>
      </c>
    </row>
    <row r="67" spans="1:6" ht="15" customHeight="1" x14ac:dyDescent="0.2">
      <c r="A67" s="147">
        <v>6</v>
      </c>
      <c r="B67" s="160" t="s">
        <v>202</v>
      </c>
      <c r="C67" s="157">
        <v>4221879</v>
      </c>
      <c r="D67" s="157">
        <v>4828080</v>
      </c>
      <c r="E67" s="157">
        <f t="shared" si="2"/>
        <v>606201</v>
      </c>
      <c r="F67" s="161">
        <f t="shared" si="3"/>
        <v>0.14358559304991925</v>
      </c>
    </row>
    <row r="68" spans="1:6" ht="15" customHeight="1" x14ac:dyDescent="0.2">
      <c r="A68" s="147">
        <v>7</v>
      </c>
      <c r="B68" s="160" t="s">
        <v>203</v>
      </c>
      <c r="C68" s="157">
        <v>13040686</v>
      </c>
      <c r="D68" s="157">
        <v>12665795</v>
      </c>
      <c r="E68" s="157">
        <f t="shared" si="2"/>
        <v>-374891</v>
      </c>
      <c r="F68" s="161">
        <f t="shared" si="3"/>
        <v>-2.8747797470163764E-2</v>
      </c>
    </row>
    <row r="69" spans="1:6" ht="15" customHeight="1" x14ac:dyDescent="0.2">
      <c r="A69" s="147">
        <v>8</v>
      </c>
      <c r="B69" s="160" t="s">
        <v>204</v>
      </c>
      <c r="C69" s="157">
        <v>1183713</v>
      </c>
      <c r="D69" s="157">
        <v>1377743</v>
      </c>
      <c r="E69" s="157">
        <f t="shared" si="2"/>
        <v>194030</v>
      </c>
      <c r="F69" s="161">
        <f t="shared" si="3"/>
        <v>0.16391642230844808</v>
      </c>
    </row>
    <row r="70" spans="1:6" ht="15" customHeight="1" x14ac:dyDescent="0.2">
      <c r="A70" s="147">
        <v>9</v>
      </c>
      <c r="B70" s="160" t="s">
        <v>205</v>
      </c>
      <c r="C70" s="157">
        <v>1195662</v>
      </c>
      <c r="D70" s="157">
        <v>1399156</v>
      </c>
      <c r="E70" s="157">
        <f t="shared" si="2"/>
        <v>203494</v>
      </c>
      <c r="F70" s="161">
        <f t="shared" si="3"/>
        <v>0.17019358313637131</v>
      </c>
    </row>
    <row r="71" spans="1:6" ht="15" customHeight="1" x14ac:dyDescent="0.2">
      <c r="A71" s="147">
        <v>10</v>
      </c>
      <c r="B71" s="160" t="s">
        <v>206</v>
      </c>
      <c r="C71" s="157">
        <v>564181</v>
      </c>
      <c r="D71" s="157">
        <v>727955</v>
      </c>
      <c r="E71" s="157">
        <f t="shared" si="2"/>
        <v>163774</v>
      </c>
      <c r="F71" s="161">
        <f t="shared" si="3"/>
        <v>0.2902862733768064</v>
      </c>
    </row>
    <row r="72" spans="1:6" ht="15" customHeight="1" x14ac:dyDescent="0.2">
      <c r="A72" s="147">
        <v>11</v>
      </c>
      <c r="B72" s="160" t="s">
        <v>207</v>
      </c>
      <c r="C72" s="157">
        <v>1610768</v>
      </c>
      <c r="D72" s="157">
        <v>2111955</v>
      </c>
      <c r="E72" s="157">
        <f t="shared" si="2"/>
        <v>501187</v>
      </c>
      <c r="F72" s="161">
        <f t="shared" si="3"/>
        <v>0.3111478499697039</v>
      </c>
    </row>
    <row r="73" spans="1:6" ht="15" customHeight="1" x14ac:dyDescent="0.2">
      <c r="A73" s="147">
        <v>12</v>
      </c>
      <c r="B73" s="160" t="s">
        <v>208</v>
      </c>
      <c r="C73" s="157">
        <v>4052763</v>
      </c>
      <c r="D73" s="157">
        <v>3856318</v>
      </c>
      <c r="E73" s="157">
        <f t="shared" si="2"/>
        <v>-196445</v>
      </c>
      <c r="F73" s="161">
        <f t="shared" si="3"/>
        <v>-4.8471869684953206E-2</v>
      </c>
    </row>
    <row r="74" spans="1:6" ht="15" customHeight="1" x14ac:dyDescent="0.2">
      <c r="A74" s="147">
        <v>13</v>
      </c>
      <c r="B74" s="160" t="s">
        <v>209</v>
      </c>
      <c r="C74" s="157">
        <v>548475</v>
      </c>
      <c r="D74" s="157">
        <v>479725</v>
      </c>
      <c r="E74" s="157">
        <f t="shared" si="2"/>
        <v>-68750</v>
      </c>
      <c r="F74" s="161">
        <f t="shared" si="3"/>
        <v>-0.12534755458316241</v>
      </c>
    </row>
    <row r="75" spans="1:6" ht="15" customHeight="1" x14ac:dyDescent="0.2">
      <c r="A75" s="147">
        <v>14</v>
      </c>
      <c r="B75" s="160" t="s">
        <v>210</v>
      </c>
      <c r="C75" s="157">
        <v>527733</v>
      </c>
      <c r="D75" s="157">
        <v>696720</v>
      </c>
      <c r="E75" s="157">
        <f t="shared" si="2"/>
        <v>168987</v>
      </c>
      <c r="F75" s="161">
        <f t="shared" si="3"/>
        <v>0.32021306228717933</v>
      </c>
    </row>
    <row r="76" spans="1:6" ht="15" customHeight="1" x14ac:dyDescent="0.2">
      <c r="A76" s="147">
        <v>15</v>
      </c>
      <c r="B76" s="160" t="s">
        <v>211</v>
      </c>
      <c r="C76" s="157">
        <v>1878420</v>
      </c>
      <c r="D76" s="157">
        <v>1682924</v>
      </c>
      <c r="E76" s="157">
        <f t="shared" si="2"/>
        <v>-195496</v>
      </c>
      <c r="F76" s="161">
        <f t="shared" si="3"/>
        <v>-0.10407470107856603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11898606</v>
      </c>
      <c r="D78" s="157">
        <v>13352198</v>
      </c>
      <c r="E78" s="157">
        <f t="shared" si="2"/>
        <v>1453592</v>
      </c>
      <c r="F78" s="161">
        <f t="shared" si="3"/>
        <v>0.12216489898060327</v>
      </c>
    </row>
    <row r="79" spans="1:6" ht="15" customHeight="1" x14ac:dyDescent="0.2">
      <c r="A79" s="147">
        <v>18</v>
      </c>
      <c r="B79" s="160" t="s">
        <v>214</v>
      </c>
      <c r="C79" s="157">
        <v>417786</v>
      </c>
      <c r="D79" s="157">
        <v>1168479</v>
      </c>
      <c r="E79" s="157">
        <f t="shared" si="2"/>
        <v>750693</v>
      </c>
      <c r="F79" s="161">
        <f t="shared" si="3"/>
        <v>1.7968361792879608</v>
      </c>
    </row>
    <row r="80" spans="1:6" ht="15" customHeight="1" x14ac:dyDescent="0.2">
      <c r="A80" s="147">
        <v>19</v>
      </c>
      <c r="B80" s="160" t="s">
        <v>215</v>
      </c>
      <c r="C80" s="157">
        <v>3650179</v>
      </c>
      <c r="D80" s="157">
        <v>5618300</v>
      </c>
      <c r="E80" s="157">
        <f t="shared" si="2"/>
        <v>1968121</v>
      </c>
      <c r="F80" s="161">
        <f t="shared" si="3"/>
        <v>0.53918479066369074</v>
      </c>
    </row>
    <row r="81" spans="1:6" ht="15" customHeight="1" x14ac:dyDescent="0.2">
      <c r="A81" s="147">
        <v>20</v>
      </c>
      <c r="B81" s="160" t="s">
        <v>216</v>
      </c>
      <c r="C81" s="157">
        <v>5062962</v>
      </c>
      <c r="D81" s="157">
        <v>4133968</v>
      </c>
      <c r="E81" s="157">
        <f t="shared" si="2"/>
        <v>-928994</v>
      </c>
      <c r="F81" s="161">
        <f t="shared" si="3"/>
        <v>-0.18348824265321367</v>
      </c>
    </row>
    <row r="82" spans="1:6" ht="15" customHeight="1" x14ac:dyDescent="0.2">
      <c r="A82" s="147">
        <v>21</v>
      </c>
      <c r="B82" s="160" t="s">
        <v>217</v>
      </c>
      <c r="C82" s="157">
        <v>2493618</v>
      </c>
      <c r="D82" s="157">
        <v>2856315</v>
      </c>
      <c r="E82" s="157">
        <f t="shared" si="2"/>
        <v>362697</v>
      </c>
      <c r="F82" s="161">
        <f t="shared" si="3"/>
        <v>0.14545010502811578</v>
      </c>
    </row>
    <row r="83" spans="1:6" ht="15" customHeight="1" x14ac:dyDescent="0.2">
      <c r="A83" s="147">
        <v>22</v>
      </c>
      <c r="B83" s="160" t="s">
        <v>218</v>
      </c>
      <c r="C83" s="157">
        <v>860416</v>
      </c>
      <c r="D83" s="157">
        <v>635599</v>
      </c>
      <c r="E83" s="157">
        <f t="shared" si="2"/>
        <v>-224817</v>
      </c>
      <c r="F83" s="161">
        <f t="shared" si="3"/>
        <v>-0.26128872545373399</v>
      </c>
    </row>
    <row r="84" spans="1:6" ht="15" customHeight="1" x14ac:dyDescent="0.2">
      <c r="A84" s="147">
        <v>23</v>
      </c>
      <c r="B84" s="160" t="s">
        <v>219</v>
      </c>
      <c r="C84" s="157">
        <v>695670</v>
      </c>
      <c r="D84" s="157">
        <v>1625930</v>
      </c>
      <c r="E84" s="157">
        <f t="shared" si="2"/>
        <v>930260</v>
      </c>
      <c r="F84" s="161">
        <f t="shared" si="3"/>
        <v>1.3372144838788507</v>
      </c>
    </row>
    <row r="85" spans="1:6" ht="15" customHeight="1" x14ac:dyDescent="0.2">
      <c r="A85" s="147">
        <v>24</v>
      </c>
      <c r="B85" s="160" t="s">
        <v>220</v>
      </c>
      <c r="C85" s="157">
        <v>1738951</v>
      </c>
      <c r="D85" s="157">
        <v>1504826</v>
      </c>
      <c r="E85" s="157">
        <f t="shared" si="2"/>
        <v>-234125</v>
      </c>
      <c r="F85" s="161">
        <f t="shared" si="3"/>
        <v>-0.1346357660451617</v>
      </c>
    </row>
    <row r="86" spans="1:6" ht="15" customHeight="1" x14ac:dyDescent="0.2">
      <c r="A86" s="147">
        <v>25</v>
      </c>
      <c r="B86" s="160" t="s">
        <v>221</v>
      </c>
      <c r="C86" s="157">
        <v>9364</v>
      </c>
      <c r="D86" s="157">
        <v>1466601</v>
      </c>
      <c r="E86" s="157">
        <f t="shared" si="2"/>
        <v>1457237</v>
      </c>
      <c r="F86" s="161">
        <f t="shared" si="3"/>
        <v>155.62120888509185</v>
      </c>
    </row>
    <row r="87" spans="1:6" ht="15" customHeight="1" x14ac:dyDescent="0.2">
      <c r="A87" s="147">
        <v>26</v>
      </c>
      <c r="B87" s="160" t="s">
        <v>222</v>
      </c>
      <c r="C87" s="157">
        <v>542300</v>
      </c>
      <c r="D87" s="157">
        <v>510909</v>
      </c>
      <c r="E87" s="157">
        <f t="shared" si="2"/>
        <v>-31391</v>
      </c>
      <c r="F87" s="161">
        <f t="shared" si="3"/>
        <v>-5.7884934538078553E-2</v>
      </c>
    </row>
    <row r="88" spans="1:6" ht="15" customHeight="1" x14ac:dyDescent="0.2">
      <c r="A88" s="147">
        <v>27</v>
      </c>
      <c r="B88" s="160" t="s">
        <v>223</v>
      </c>
      <c r="C88" s="157">
        <v>1954973</v>
      </c>
      <c r="D88" s="157">
        <v>1461150</v>
      </c>
      <c r="E88" s="157">
        <f t="shared" si="2"/>
        <v>-493823</v>
      </c>
      <c r="F88" s="161">
        <f t="shared" si="3"/>
        <v>-0.25259837348137287</v>
      </c>
    </row>
    <row r="89" spans="1:6" ht="15" customHeight="1" x14ac:dyDescent="0.2">
      <c r="A89" s="147">
        <v>28</v>
      </c>
      <c r="B89" s="160" t="s">
        <v>224</v>
      </c>
      <c r="C89" s="157">
        <v>6532421</v>
      </c>
      <c r="D89" s="157">
        <v>6102067</v>
      </c>
      <c r="E89" s="157">
        <f t="shared" si="2"/>
        <v>-430354</v>
      </c>
      <c r="F89" s="161">
        <f t="shared" si="3"/>
        <v>-6.5879709834990738E-2</v>
      </c>
    </row>
    <row r="90" spans="1:6" ht="15.75" customHeight="1" x14ac:dyDescent="0.25">
      <c r="A90" s="147"/>
      <c r="B90" s="162" t="s">
        <v>225</v>
      </c>
      <c r="C90" s="158">
        <f>SUM(C62:C89)</f>
        <v>79146939</v>
      </c>
      <c r="D90" s="158">
        <f>SUM(D62:D89)</f>
        <v>89592187</v>
      </c>
      <c r="E90" s="158">
        <f t="shared" si="2"/>
        <v>10445248</v>
      </c>
      <c r="F90" s="159">
        <f t="shared" si="3"/>
        <v>0.13197286126251831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33542006</v>
      </c>
      <c r="D93" s="157">
        <v>32722891</v>
      </c>
      <c r="E93" s="157">
        <f>+D93-C93</f>
        <v>-819115</v>
      </c>
      <c r="F93" s="161">
        <f>IF(C93=0,0,E93/C93)</f>
        <v>-2.4420572818453376E-2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666788583</v>
      </c>
      <c r="D95" s="158">
        <f>+D93+D90+D59+D50+D47+D44+D41+D35+D30+D24+D18</f>
        <v>681612332</v>
      </c>
      <c r="E95" s="158">
        <f>+D95-C95</f>
        <v>14823749</v>
      </c>
      <c r="F95" s="159">
        <f>IF(C95=0,0,E95/C95)</f>
        <v>2.2231557914962081E-2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87472639</v>
      </c>
      <c r="D103" s="157">
        <v>91759854</v>
      </c>
      <c r="E103" s="157">
        <f t="shared" ref="E103:E121" si="4">D103-C103</f>
        <v>4287215</v>
      </c>
      <c r="F103" s="161">
        <f t="shared" ref="F103:F121" si="5">IF(C103=0,0,E103/C103)</f>
        <v>4.9012068791019325E-2</v>
      </c>
    </row>
    <row r="104" spans="1:6" ht="15" customHeight="1" x14ac:dyDescent="0.2">
      <c r="A104" s="147">
        <v>2</v>
      </c>
      <c r="B104" s="169" t="s">
        <v>234</v>
      </c>
      <c r="C104" s="157">
        <v>2604510</v>
      </c>
      <c r="D104" s="157">
        <v>3129580</v>
      </c>
      <c r="E104" s="157">
        <f t="shared" si="4"/>
        <v>525070</v>
      </c>
      <c r="F104" s="161">
        <f t="shared" si="5"/>
        <v>0.20160030101631402</v>
      </c>
    </row>
    <row r="105" spans="1:6" ht="15" customHeight="1" x14ac:dyDescent="0.2">
      <c r="A105" s="147">
        <v>3</v>
      </c>
      <c r="B105" s="169" t="s">
        <v>235</v>
      </c>
      <c r="C105" s="157">
        <v>8631520</v>
      </c>
      <c r="D105" s="157">
        <v>8154927</v>
      </c>
      <c r="E105" s="157">
        <f t="shared" si="4"/>
        <v>-476593</v>
      </c>
      <c r="F105" s="161">
        <f t="shared" si="5"/>
        <v>-5.521541976384229E-2</v>
      </c>
    </row>
    <row r="106" spans="1:6" ht="15" customHeight="1" x14ac:dyDescent="0.2">
      <c r="A106" s="147">
        <v>4</v>
      </c>
      <c r="B106" s="169" t="s">
        <v>236</v>
      </c>
      <c r="C106" s="157">
        <v>3676612</v>
      </c>
      <c r="D106" s="157">
        <v>3560167</v>
      </c>
      <c r="E106" s="157">
        <f t="shared" si="4"/>
        <v>-116445</v>
      </c>
      <c r="F106" s="161">
        <f t="shared" si="5"/>
        <v>-3.1671821775047244E-2</v>
      </c>
    </row>
    <row r="107" spans="1:6" ht="15" customHeight="1" x14ac:dyDescent="0.2">
      <c r="A107" s="147">
        <v>5</v>
      </c>
      <c r="B107" s="169" t="s">
        <v>237</v>
      </c>
      <c r="C107" s="157">
        <v>19600459</v>
      </c>
      <c r="D107" s="157">
        <v>22090779</v>
      </c>
      <c r="E107" s="157">
        <f t="shared" si="4"/>
        <v>2490320</v>
      </c>
      <c r="F107" s="161">
        <f t="shared" si="5"/>
        <v>0.12705416745597642</v>
      </c>
    </row>
    <row r="108" spans="1:6" ht="15" customHeight="1" x14ac:dyDescent="0.2">
      <c r="A108" s="147">
        <v>6</v>
      </c>
      <c r="B108" s="169" t="s">
        <v>238</v>
      </c>
      <c r="C108" s="157">
        <v>12829094</v>
      </c>
      <c r="D108" s="157">
        <v>12956535</v>
      </c>
      <c r="E108" s="157">
        <f t="shared" si="4"/>
        <v>127441</v>
      </c>
      <c r="F108" s="161">
        <f t="shared" si="5"/>
        <v>9.9337490238983368E-3</v>
      </c>
    </row>
    <row r="109" spans="1:6" ht="15" customHeight="1" x14ac:dyDescent="0.2">
      <c r="A109" s="147">
        <v>7</v>
      </c>
      <c r="B109" s="169" t="s">
        <v>239</v>
      </c>
      <c r="C109" s="157">
        <v>5260632</v>
      </c>
      <c r="D109" s="157">
        <v>5833771</v>
      </c>
      <c r="E109" s="157">
        <f t="shared" si="4"/>
        <v>573139</v>
      </c>
      <c r="F109" s="161">
        <f t="shared" si="5"/>
        <v>0.10894869665850035</v>
      </c>
    </row>
    <row r="110" spans="1:6" ht="15" customHeight="1" x14ac:dyDescent="0.2">
      <c r="A110" s="147">
        <v>8</v>
      </c>
      <c r="B110" s="169" t="s">
        <v>240</v>
      </c>
      <c r="C110" s="157">
        <v>2578326</v>
      </c>
      <c r="D110" s="157">
        <v>2046933</v>
      </c>
      <c r="E110" s="157">
        <f t="shared" si="4"/>
        <v>-531393</v>
      </c>
      <c r="F110" s="161">
        <f t="shared" si="5"/>
        <v>-0.20610000442147347</v>
      </c>
    </row>
    <row r="111" spans="1:6" ht="15" customHeight="1" x14ac:dyDescent="0.2">
      <c r="A111" s="147">
        <v>9</v>
      </c>
      <c r="B111" s="169" t="s">
        <v>241</v>
      </c>
      <c r="C111" s="157">
        <v>3567869</v>
      </c>
      <c r="D111" s="157">
        <v>3171762</v>
      </c>
      <c r="E111" s="157">
        <f t="shared" si="4"/>
        <v>-396107</v>
      </c>
      <c r="F111" s="161">
        <f t="shared" si="5"/>
        <v>-0.11102061202359167</v>
      </c>
    </row>
    <row r="112" spans="1:6" ht="15" customHeight="1" x14ac:dyDescent="0.2">
      <c r="A112" s="147">
        <v>10</v>
      </c>
      <c r="B112" s="169" t="s">
        <v>242</v>
      </c>
      <c r="C112" s="157">
        <v>7178513</v>
      </c>
      <c r="D112" s="157">
        <v>9471360</v>
      </c>
      <c r="E112" s="157">
        <f t="shared" si="4"/>
        <v>2292847</v>
      </c>
      <c r="F112" s="161">
        <f t="shared" si="5"/>
        <v>0.31940417186679193</v>
      </c>
    </row>
    <row r="113" spans="1:6" ht="15" customHeight="1" x14ac:dyDescent="0.2">
      <c r="A113" s="147">
        <v>11</v>
      </c>
      <c r="B113" s="169" t="s">
        <v>243</v>
      </c>
      <c r="C113" s="157">
        <v>9119041</v>
      </c>
      <c r="D113" s="157">
        <v>9213880</v>
      </c>
      <c r="E113" s="157">
        <f t="shared" si="4"/>
        <v>94839</v>
      </c>
      <c r="F113" s="161">
        <f t="shared" si="5"/>
        <v>1.0400106765612744E-2</v>
      </c>
    </row>
    <row r="114" spans="1:6" ht="15" customHeight="1" x14ac:dyDescent="0.2">
      <c r="A114" s="147">
        <v>12</v>
      </c>
      <c r="B114" s="169" t="s">
        <v>244</v>
      </c>
      <c r="C114" s="157">
        <v>4154559</v>
      </c>
      <c r="D114" s="157">
        <v>4544812</v>
      </c>
      <c r="E114" s="157">
        <f t="shared" si="4"/>
        <v>390253</v>
      </c>
      <c r="F114" s="161">
        <f t="shared" si="5"/>
        <v>9.3933676233747071E-2</v>
      </c>
    </row>
    <row r="115" spans="1:6" ht="15" customHeight="1" x14ac:dyDescent="0.2">
      <c r="A115" s="147">
        <v>13</v>
      </c>
      <c r="B115" s="169" t="s">
        <v>245</v>
      </c>
      <c r="C115" s="157">
        <v>18989388</v>
      </c>
      <c r="D115" s="157">
        <v>19966356</v>
      </c>
      <c r="E115" s="157">
        <f t="shared" si="4"/>
        <v>976968</v>
      </c>
      <c r="F115" s="161">
        <f t="shared" si="5"/>
        <v>5.1448103540777619E-2</v>
      </c>
    </row>
    <row r="116" spans="1:6" ht="15" customHeight="1" x14ac:dyDescent="0.2">
      <c r="A116" s="147">
        <v>14</v>
      </c>
      <c r="B116" s="169" t="s">
        <v>246</v>
      </c>
      <c r="C116" s="157">
        <v>3283337</v>
      </c>
      <c r="D116" s="157">
        <v>3474089</v>
      </c>
      <c r="E116" s="157">
        <f t="shared" si="4"/>
        <v>190752</v>
      </c>
      <c r="F116" s="161">
        <f t="shared" si="5"/>
        <v>5.8096990957675072E-2</v>
      </c>
    </row>
    <row r="117" spans="1:6" ht="15" customHeight="1" x14ac:dyDescent="0.2">
      <c r="A117" s="147">
        <v>15</v>
      </c>
      <c r="B117" s="169" t="s">
        <v>203</v>
      </c>
      <c r="C117" s="157">
        <v>7598085</v>
      </c>
      <c r="D117" s="157">
        <v>8918316</v>
      </c>
      <c r="E117" s="157">
        <f t="shared" si="4"/>
        <v>1320231</v>
      </c>
      <c r="F117" s="161">
        <f t="shared" si="5"/>
        <v>0.17375838780429542</v>
      </c>
    </row>
    <row r="118" spans="1:6" ht="15" customHeight="1" x14ac:dyDescent="0.2">
      <c r="A118" s="147">
        <v>16</v>
      </c>
      <c r="B118" s="169" t="s">
        <v>247</v>
      </c>
      <c r="C118" s="157">
        <v>4444054</v>
      </c>
      <c r="D118" s="157">
        <v>4541794</v>
      </c>
      <c r="E118" s="157">
        <f t="shared" si="4"/>
        <v>97740</v>
      </c>
      <c r="F118" s="161">
        <f t="shared" si="5"/>
        <v>2.1993432123012007E-2</v>
      </c>
    </row>
    <row r="119" spans="1:6" ht="15" customHeight="1" x14ac:dyDescent="0.2">
      <c r="A119" s="147">
        <v>17</v>
      </c>
      <c r="B119" s="169" t="s">
        <v>248</v>
      </c>
      <c r="C119" s="157">
        <v>37025388</v>
      </c>
      <c r="D119" s="157">
        <v>36591140</v>
      </c>
      <c r="E119" s="157">
        <f t="shared" si="4"/>
        <v>-434248</v>
      </c>
      <c r="F119" s="161">
        <f t="shared" si="5"/>
        <v>-1.1728384858519241E-2</v>
      </c>
    </row>
    <row r="120" spans="1:6" ht="15" customHeight="1" x14ac:dyDescent="0.2">
      <c r="A120" s="147">
        <v>18</v>
      </c>
      <c r="B120" s="169" t="s">
        <v>249</v>
      </c>
      <c r="C120" s="157">
        <v>71325359</v>
      </c>
      <c r="D120" s="157">
        <v>69655000</v>
      </c>
      <c r="E120" s="157">
        <f t="shared" si="4"/>
        <v>-1670359</v>
      </c>
      <c r="F120" s="161">
        <f t="shared" si="5"/>
        <v>-2.3418865651976598E-2</v>
      </c>
    </row>
    <row r="121" spans="1:6" ht="15.75" customHeight="1" x14ac:dyDescent="0.25">
      <c r="A121" s="147"/>
      <c r="B121" s="165" t="s">
        <v>250</v>
      </c>
      <c r="C121" s="158">
        <f>SUM(C103:C120)</f>
        <v>309339385</v>
      </c>
      <c r="D121" s="158">
        <f>SUM(D103:D120)</f>
        <v>319081055</v>
      </c>
      <c r="E121" s="158">
        <f t="shared" si="4"/>
        <v>9741670</v>
      </c>
      <c r="F121" s="159">
        <f t="shared" si="5"/>
        <v>3.1491851579132091E-2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26994276</v>
      </c>
      <c r="D124" s="157">
        <v>26258606</v>
      </c>
      <c r="E124" s="157">
        <f t="shared" ref="E124:E130" si="6">D124-C124</f>
        <v>-735670</v>
      </c>
      <c r="F124" s="161">
        <f t="shared" ref="F124:F130" si="7">IF(C124=0,0,E124/C124)</f>
        <v>-2.7252814633739391E-2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9606181</v>
      </c>
      <c r="D126" s="157">
        <v>13266849</v>
      </c>
      <c r="E126" s="157">
        <f t="shared" si="6"/>
        <v>3660668</v>
      </c>
      <c r="F126" s="161">
        <f t="shared" si="7"/>
        <v>0.38107422710440286</v>
      </c>
    </row>
    <row r="127" spans="1:6" ht="15" customHeight="1" x14ac:dyDescent="0.2">
      <c r="A127" s="147">
        <v>4</v>
      </c>
      <c r="B127" s="169" t="s">
        <v>255</v>
      </c>
      <c r="C127" s="157">
        <v>6399612</v>
      </c>
      <c r="D127" s="157">
        <v>5105584</v>
      </c>
      <c r="E127" s="157">
        <f t="shared" si="6"/>
        <v>-1294028</v>
      </c>
      <c r="F127" s="161">
        <f t="shared" si="7"/>
        <v>-0.20220413362560105</v>
      </c>
    </row>
    <row r="128" spans="1:6" ht="15" customHeight="1" x14ac:dyDescent="0.2">
      <c r="A128" s="147">
        <v>5</v>
      </c>
      <c r="B128" s="169" t="s">
        <v>256</v>
      </c>
      <c r="C128" s="157">
        <v>4895948</v>
      </c>
      <c r="D128" s="157">
        <v>4649253</v>
      </c>
      <c r="E128" s="157">
        <f t="shared" si="6"/>
        <v>-246695</v>
      </c>
      <c r="F128" s="161">
        <f t="shared" si="7"/>
        <v>-5.0387585815862425E-2</v>
      </c>
    </row>
    <row r="129" spans="1:6" ht="15" customHeight="1" x14ac:dyDescent="0.2">
      <c r="A129" s="147">
        <v>6</v>
      </c>
      <c r="B129" s="169" t="s">
        <v>257</v>
      </c>
      <c r="C129" s="157">
        <v>26233538</v>
      </c>
      <c r="D129" s="157">
        <v>25582454</v>
      </c>
      <c r="E129" s="157">
        <f t="shared" si="6"/>
        <v>-651084</v>
      </c>
      <c r="F129" s="161">
        <f t="shared" si="7"/>
        <v>-2.4818764438102096E-2</v>
      </c>
    </row>
    <row r="130" spans="1:6" ht="15.75" customHeight="1" x14ac:dyDescent="0.25">
      <c r="A130" s="147"/>
      <c r="B130" s="165" t="s">
        <v>258</v>
      </c>
      <c r="C130" s="158">
        <f>SUM(C124:C129)</f>
        <v>74129555</v>
      </c>
      <c r="D130" s="158">
        <f>SUM(D124:D129)</f>
        <v>74862746</v>
      </c>
      <c r="E130" s="158">
        <f t="shared" si="6"/>
        <v>733191</v>
      </c>
      <c r="F130" s="159">
        <f t="shared" si="7"/>
        <v>9.8906704620039879E-3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48194662</v>
      </c>
      <c r="D133" s="157">
        <v>49076827</v>
      </c>
      <c r="E133" s="157">
        <f t="shared" ref="E133:E167" si="8">D133-C133</f>
        <v>882165</v>
      </c>
      <c r="F133" s="161">
        <f t="shared" ref="F133:F167" si="9">IF(C133=0,0,E133/C133)</f>
        <v>1.8304205557038662E-2</v>
      </c>
    </row>
    <row r="134" spans="1:6" ht="15" customHeight="1" x14ac:dyDescent="0.2">
      <c r="A134" s="147">
        <v>2</v>
      </c>
      <c r="B134" s="169" t="s">
        <v>261</v>
      </c>
      <c r="C134" s="157">
        <v>3154810</v>
      </c>
      <c r="D134" s="157">
        <v>3190315</v>
      </c>
      <c r="E134" s="157">
        <f t="shared" si="8"/>
        <v>35505</v>
      </c>
      <c r="F134" s="161">
        <f t="shared" si="9"/>
        <v>1.1254243520211994E-2</v>
      </c>
    </row>
    <row r="135" spans="1:6" ht="15" customHeight="1" x14ac:dyDescent="0.2">
      <c r="A135" s="147">
        <v>3</v>
      </c>
      <c r="B135" s="169" t="s">
        <v>262</v>
      </c>
      <c r="C135" s="157">
        <v>2538303</v>
      </c>
      <c r="D135" s="157">
        <v>2602363</v>
      </c>
      <c r="E135" s="157">
        <f t="shared" si="8"/>
        <v>64060</v>
      </c>
      <c r="F135" s="161">
        <f t="shared" si="9"/>
        <v>2.5237333761966164E-2</v>
      </c>
    </row>
    <row r="136" spans="1:6" ht="15" customHeight="1" x14ac:dyDescent="0.2">
      <c r="A136" s="147">
        <v>4</v>
      </c>
      <c r="B136" s="169" t="s">
        <v>263</v>
      </c>
      <c r="C136" s="157">
        <v>5106291</v>
      </c>
      <c r="D136" s="157">
        <v>5263698</v>
      </c>
      <c r="E136" s="157">
        <f t="shared" si="8"/>
        <v>157407</v>
      </c>
      <c r="F136" s="161">
        <f t="shared" si="9"/>
        <v>3.0826092754995749E-2</v>
      </c>
    </row>
    <row r="137" spans="1:6" ht="15" customHeight="1" x14ac:dyDescent="0.2">
      <c r="A137" s="147">
        <v>5</v>
      </c>
      <c r="B137" s="169" t="s">
        <v>264</v>
      </c>
      <c r="C137" s="157">
        <v>9564155</v>
      </c>
      <c r="D137" s="157">
        <v>9247480</v>
      </c>
      <c r="E137" s="157">
        <f t="shared" si="8"/>
        <v>-316675</v>
      </c>
      <c r="F137" s="161">
        <f t="shared" si="9"/>
        <v>-3.3110609353361589E-2</v>
      </c>
    </row>
    <row r="138" spans="1:6" ht="15" customHeight="1" x14ac:dyDescent="0.2">
      <c r="A138" s="147">
        <v>6</v>
      </c>
      <c r="B138" s="169" t="s">
        <v>265</v>
      </c>
      <c r="C138" s="157">
        <v>2496327</v>
      </c>
      <c r="D138" s="157">
        <v>2442605</v>
      </c>
      <c r="E138" s="157">
        <f t="shared" si="8"/>
        <v>-53722</v>
      </c>
      <c r="F138" s="161">
        <f t="shared" si="9"/>
        <v>-2.1520417797828571E-2</v>
      </c>
    </row>
    <row r="139" spans="1:6" ht="15" customHeight="1" x14ac:dyDescent="0.2">
      <c r="A139" s="147">
        <v>7</v>
      </c>
      <c r="B139" s="169" t="s">
        <v>266</v>
      </c>
      <c r="C139" s="157">
        <v>4328895</v>
      </c>
      <c r="D139" s="157">
        <v>4123063</v>
      </c>
      <c r="E139" s="157">
        <f t="shared" si="8"/>
        <v>-205832</v>
      </c>
      <c r="F139" s="161">
        <f t="shared" si="9"/>
        <v>-4.7548392834661037E-2</v>
      </c>
    </row>
    <row r="140" spans="1:6" ht="15" customHeight="1" x14ac:dyDescent="0.2">
      <c r="A140" s="147">
        <v>8</v>
      </c>
      <c r="B140" s="169" t="s">
        <v>267</v>
      </c>
      <c r="C140" s="157">
        <v>1540714</v>
      </c>
      <c r="D140" s="157">
        <v>1718178</v>
      </c>
      <c r="E140" s="157">
        <f t="shared" si="8"/>
        <v>177464</v>
      </c>
      <c r="F140" s="161">
        <f t="shared" si="9"/>
        <v>0.11518296062734551</v>
      </c>
    </row>
    <row r="141" spans="1:6" ht="15" customHeight="1" x14ac:dyDescent="0.2">
      <c r="A141" s="147">
        <v>9</v>
      </c>
      <c r="B141" s="169" t="s">
        <v>268</v>
      </c>
      <c r="C141" s="157">
        <v>2429934</v>
      </c>
      <c r="D141" s="157">
        <v>2341241</v>
      </c>
      <c r="E141" s="157">
        <f t="shared" si="8"/>
        <v>-88693</v>
      </c>
      <c r="F141" s="161">
        <f t="shared" si="9"/>
        <v>-3.6500168317328781E-2</v>
      </c>
    </row>
    <row r="142" spans="1:6" ht="15" customHeight="1" x14ac:dyDescent="0.2">
      <c r="A142" s="147">
        <v>10</v>
      </c>
      <c r="B142" s="169" t="s">
        <v>269</v>
      </c>
      <c r="C142" s="157">
        <v>23643253</v>
      </c>
      <c r="D142" s="157">
        <v>21690614</v>
      </c>
      <c r="E142" s="157">
        <f t="shared" si="8"/>
        <v>-1952639</v>
      </c>
      <c r="F142" s="161">
        <f t="shared" si="9"/>
        <v>-8.2587577944540885E-2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19518403</v>
      </c>
      <c r="D144" s="157">
        <v>19699097</v>
      </c>
      <c r="E144" s="157">
        <f t="shared" si="8"/>
        <v>180694</v>
      </c>
      <c r="F144" s="161">
        <f t="shared" si="9"/>
        <v>9.2576221527960051E-3</v>
      </c>
    </row>
    <row r="145" spans="1:6" ht="15" customHeight="1" x14ac:dyDescent="0.2">
      <c r="A145" s="147">
        <v>13</v>
      </c>
      <c r="B145" s="169" t="s">
        <v>272</v>
      </c>
      <c r="C145" s="157">
        <v>342354</v>
      </c>
      <c r="D145" s="157">
        <v>308007</v>
      </c>
      <c r="E145" s="157">
        <f t="shared" si="8"/>
        <v>-34347</v>
      </c>
      <c r="F145" s="161">
        <f t="shared" si="9"/>
        <v>-0.10032597837326276</v>
      </c>
    </row>
    <row r="146" spans="1:6" ht="15" customHeight="1" x14ac:dyDescent="0.2">
      <c r="A146" s="147">
        <v>14</v>
      </c>
      <c r="B146" s="169" t="s">
        <v>273</v>
      </c>
      <c r="C146" s="157">
        <v>567265</v>
      </c>
      <c r="D146" s="157">
        <v>303053</v>
      </c>
      <c r="E146" s="157">
        <f t="shared" si="8"/>
        <v>-264212</v>
      </c>
      <c r="F146" s="161">
        <f t="shared" si="9"/>
        <v>-0.46576467788423398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3345709</v>
      </c>
      <c r="D150" s="157">
        <v>3295920</v>
      </c>
      <c r="E150" s="157">
        <f t="shared" si="8"/>
        <v>-49789</v>
      </c>
      <c r="F150" s="161">
        <f t="shared" si="9"/>
        <v>-1.4881449641914464E-2</v>
      </c>
    </row>
    <row r="151" spans="1:6" ht="15" customHeight="1" x14ac:dyDescent="0.2">
      <c r="A151" s="147">
        <v>19</v>
      </c>
      <c r="B151" s="169" t="s">
        <v>278</v>
      </c>
      <c r="C151" s="157">
        <v>1348620</v>
      </c>
      <c r="D151" s="157">
        <v>1167066</v>
      </c>
      <c r="E151" s="157">
        <f t="shared" si="8"/>
        <v>-181554</v>
      </c>
      <c r="F151" s="161">
        <f t="shared" si="9"/>
        <v>-0.13462205810383948</v>
      </c>
    </row>
    <row r="152" spans="1:6" ht="15" customHeight="1" x14ac:dyDescent="0.2">
      <c r="A152" s="147">
        <v>20</v>
      </c>
      <c r="B152" s="169" t="s">
        <v>279</v>
      </c>
      <c r="C152" s="157">
        <v>1591713</v>
      </c>
      <c r="D152" s="157">
        <v>1628105</v>
      </c>
      <c r="E152" s="157">
        <f t="shared" si="8"/>
        <v>36392</v>
      </c>
      <c r="F152" s="161">
        <f t="shared" si="9"/>
        <v>2.2863418216726255E-2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711584</v>
      </c>
      <c r="D154" s="157">
        <v>706437</v>
      </c>
      <c r="E154" s="157">
        <f t="shared" si="8"/>
        <v>-5147</v>
      </c>
      <c r="F154" s="161">
        <f t="shared" si="9"/>
        <v>-7.2331586994648558E-3</v>
      </c>
    </row>
    <row r="155" spans="1:6" ht="15" customHeight="1" x14ac:dyDescent="0.2">
      <c r="A155" s="147">
        <v>23</v>
      </c>
      <c r="B155" s="169" t="s">
        <v>282</v>
      </c>
      <c r="C155" s="157">
        <v>1388629</v>
      </c>
      <c r="D155" s="157">
        <v>1523944</v>
      </c>
      <c r="E155" s="157">
        <f t="shared" si="8"/>
        <v>135315</v>
      </c>
      <c r="F155" s="161">
        <f t="shared" si="9"/>
        <v>9.7445033914746126E-2</v>
      </c>
    </row>
    <row r="156" spans="1:6" ht="15" customHeight="1" x14ac:dyDescent="0.2">
      <c r="A156" s="147">
        <v>24</v>
      </c>
      <c r="B156" s="169" t="s">
        <v>283</v>
      </c>
      <c r="C156" s="157">
        <v>16628141</v>
      </c>
      <c r="D156" s="157">
        <v>17252641</v>
      </c>
      <c r="E156" s="157">
        <f t="shared" si="8"/>
        <v>624500</v>
      </c>
      <c r="F156" s="161">
        <f t="shared" si="9"/>
        <v>3.7556814078013895E-2</v>
      </c>
    </row>
    <row r="157" spans="1:6" ht="15" customHeight="1" x14ac:dyDescent="0.2">
      <c r="A157" s="147">
        <v>25</v>
      </c>
      <c r="B157" s="169" t="s">
        <v>284</v>
      </c>
      <c r="C157" s="157">
        <v>2208909</v>
      </c>
      <c r="D157" s="157">
        <v>2193483</v>
      </c>
      <c r="E157" s="157">
        <f t="shared" si="8"/>
        <v>-15426</v>
      </c>
      <c r="F157" s="161">
        <f t="shared" si="9"/>
        <v>-6.983538027143717E-3</v>
      </c>
    </row>
    <row r="158" spans="1:6" ht="15" customHeight="1" x14ac:dyDescent="0.2">
      <c r="A158" s="147">
        <v>26</v>
      </c>
      <c r="B158" s="169" t="s">
        <v>285</v>
      </c>
      <c r="C158" s="157">
        <v>534250</v>
      </c>
      <c r="D158" s="157">
        <v>274415</v>
      </c>
      <c r="E158" s="157">
        <f t="shared" si="8"/>
        <v>-259835</v>
      </c>
      <c r="F158" s="161">
        <f t="shared" si="9"/>
        <v>-0.48635470285446886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5239020</v>
      </c>
      <c r="D160" s="157">
        <v>5304244</v>
      </c>
      <c r="E160" s="157">
        <f t="shared" si="8"/>
        <v>65224</v>
      </c>
      <c r="F160" s="161">
        <f t="shared" si="9"/>
        <v>1.2449656615168486E-2</v>
      </c>
    </row>
    <row r="161" spans="1:6" ht="15" customHeight="1" x14ac:dyDescent="0.2">
      <c r="A161" s="147">
        <v>29</v>
      </c>
      <c r="B161" s="169" t="s">
        <v>288</v>
      </c>
      <c r="C161" s="157">
        <v>305727</v>
      </c>
      <c r="D161" s="157">
        <v>325481</v>
      </c>
      <c r="E161" s="157">
        <f t="shared" si="8"/>
        <v>19754</v>
      </c>
      <c r="F161" s="161">
        <f t="shared" si="9"/>
        <v>6.4613200665953607E-2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8291793</v>
      </c>
      <c r="D163" s="157">
        <v>7984317</v>
      </c>
      <c r="E163" s="157">
        <f t="shared" si="8"/>
        <v>-307476</v>
      </c>
      <c r="F163" s="161">
        <f t="shared" si="9"/>
        <v>-3.7081967675748777E-2</v>
      </c>
    </row>
    <row r="164" spans="1:6" ht="15" customHeight="1" x14ac:dyDescent="0.2">
      <c r="A164" s="147">
        <v>32</v>
      </c>
      <c r="B164" s="169" t="s">
        <v>291</v>
      </c>
      <c r="C164" s="157">
        <v>3601761</v>
      </c>
      <c r="D164" s="157">
        <v>3523533</v>
      </c>
      <c r="E164" s="157">
        <f t="shared" si="8"/>
        <v>-78228</v>
      </c>
      <c r="F164" s="161">
        <f t="shared" si="9"/>
        <v>-2.1719375605433008E-2</v>
      </c>
    </row>
    <row r="165" spans="1:6" ht="15" customHeight="1" x14ac:dyDescent="0.2">
      <c r="A165" s="147">
        <v>33</v>
      </c>
      <c r="B165" s="169" t="s">
        <v>292</v>
      </c>
      <c r="C165" s="157">
        <v>1356883</v>
      </c>
      <c r="D165" s="157">
        <v>1425916</v>
      </c>
      <c r="E165" s="157">
        <f t="shared" si="8"/>
        <v>69033</v>
      </c>
      <c r="F165" s="161">
        <f t="shared" si="9"/>
        <v>5.087616249890374E-2</v>
      </c>
    </row>
    <row r="166" spans="1:6" ht="15" customHeight="1" x14ac:dyDescent="0.2">
      <c r="A166" s="147">
        <v>34</v>
      </c>
      <c r="B166" s="169" t="s">
        <v>293</v>
      </c>
      <c r="C166" s="157">
        <v>4292359</v>
      </c>
      <c r="D166" s="157">
        <v>6384741</v>
      </c>
      <c r="E166" s="157">
        <f t="shared" si="8"/>
        <v>2092382</v>
      </c>
      <c r="F166" s="161">
        <f t="shared" si="9"/>
        <v>0.48746668207388988</v>
      </c>
    </row>
    <row r="167" spans="1:6" ht="15.75" customHeight="1" x14ac:dyDescent="0.25">
      <c r="A167" s="147"/>
      <c r="B167" s="165" t="s">
        <v>294</v>
      </c>
      <c r="C167" s="158">
        <f>SUM(C133:C166)</f>
        <v>174270464</v>
      </c>
      <c r="D167" s="158">
        <f>SUM(D133:D166)</f>
        <v>174996784</v>
      </c>
      <c r="E167" s="158">
        <f t="shared" si="8"/>
        <v>726320</v>
      </c>
      <c r="F167" s="159">
        <f t="shared" si="9"/>
        <v>4.1677745231687687E-3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54769160</v>
      </c>
      <c r="D170" s="157">
        <v>57638812</v>
      </c>
      <c r="E170" s="157">
        <f t="shared" ref="E170:E183" si="10">D170-C170</f>
        <v>2869652</v>
      </c>
      <c r="F170" s="161">
        <f t="shared" ref="F170:F183" si="11">IF(C170=0,0,E170/C170)</f>
        <v>5.2395399162594426E-2</v>
      </c>
    </row>
    <row r="171" spans="1:6" ht="15" customHeight="1" x14ac:dyDescent="0.2">
      <c r="A171" s="147">
        <v>2</v>
      </c>
      <c r="B171" s="169" t="s">
        <v>297</v>
      </c>
      <c r="C171" s="157">
        <v>6726804</v>
      </c>
      <c r="D171" s="157">
        <v>7303390</v>
      </c>
      <c r="E171" s="157">
        <f t="shared" si="10"/>
        <v>576586</v>
      </c>
      <c r="F171" s="161">
        <f t="shared" si="11"/>
        <v>8.5714701959504092E-2</v>
      </c>
    </row>
    <row r="172" spans="1:6" ht="15" customHeight="1" x14ac:dyDescent="0.2">
      <c r="A172" s="147">
        <v>3</v>
      </c>
      <c r="B172" s="169" t="s">
        <v>298</v>
      </c>
      <c r="C172" s="157">
        <v>4973635</v>
      </c>
      <c r="D172" s="157">
        <v>4948317</v>
      </c>
      <c r="E172" s="157">
        <f t="shared" si="10"/>
        <v>-25318</v>
      </c>
      <c r="F172" s="161">
        <f t="shared" si="11"/>
        <v>-5.0904419001394354E-3</v>
      </c>
    </row>
    <row r="173" spans="1:6" ht="15" customHeight="1" x14ac:dyDescent="0.2">
      <c r="A173" s="147">
        <v>4</v>
      </c>
      <c r="B173" s="169" t="s">
        <v>299</v>
      </c>
      <c r="C173" s="157">
        <v>7154892</v>
      </c>
      <c r="D173" s="157">
        <v>7263740</v>
      </c>
      <c r="E173" s="157">
        <f t="shared" si="10"/>
        <v>108848</v>
      </c>
      <c r="F173" s="161">
        <f t="shared" si="11"/>
        <v>1.5213087772673578E-2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3985394</v>
      </c>
      <c r="D175" s="157">
        <v>4027887</v>
      </c>
      <c r="E175" s="157">
        <f t="shared" si="10"/>
        <v>42493</v>
      </c>
      <c r="F175" s="161">
        <f t="shared" si="11"/>
        <v>1.0662182961082392E-2</v>
      </c>
    </row>
    <row r="176" spans="1:6" ht="15" customHeight="1" x14ac:dyDescent="0.2">
      <c r="A176" s="147">
        <v>7</v>
      </c>
      <c r="B176" s="169" t="s">
        <v>302</v>
      </c>
      <c r="C176" s="157">
        <v>379817</v>
      </c>
      <c r="D176" s="157">
        <v>443932</v>
      </c>
      <c r="E176" s="157">
        <f t="shared" si="10"/>
        <v>64115</v>
      </c>
      <c r="F176" s="161">
        <f t="shared" si="11"/>
        <v>0.16880497713372491</v>
      </c>
    </row>
    <row r="177" spans="1:6" ht="15" customHeight="1" x14ac:dyDescent="0.2">
      <c r="A177" s="147">
        <v>8</v>
      </c>
      <c r="B177" s="169" t="s">
        <v>303</v>
      </c>
      <c r="C177" s="157">
        <v>4137599</v>
      </c>
      <c r="D177" s="157">
        <v>4317732</v>
      </c>
      <c r="E177" s="157">
        <f t="shared" si="10"/>
        <v>180133</v>
      </c>
      <c r="F177" s="161">
        <f t="shared" si="11"/>
        <v>4.3535635038581551E-2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12264378</v>
      </c>
      <c r="D179" s="157">
        <v>12562426</v>
      </c>
      <c r="E179" s="157">
        <f t="shared" si="10"/>
        <v>298048</v>
      </c>
      <c r="F179" s="161">
        <f t="shared" si="11"/>
        <v>2.4301925462506129E-2</v>
      </c>
    </row>
    <row r="180" spans="1:6" ht="15" customHeight="1" x14ac:dyDescent="0.2">
      <c r="A180" s="147">
        <v>11</v>
      </c>
      <c r="B180" s="169" t="s">
        <v>306</v>
      </c>
      <c r="C180" s="157">
        <v>613168</v>
      </c>
      <c r="D180" s="157">
        <v>660832</v>
      </c>
      <c r="E180" s="157">
        <f t="shared" si="10"/>
        <v>47664</v>
      </c>
      <c r="F180" s="161">
        <f t="shared" si="11"/>
        <v>7.7733997860292781E-2</v>
      </c>
    </row>
    <row r="181" spans="1:6" ht="15" customHeight="1" x14ac:dyDescent="0.2">
      <c r="A181" s="147">
        <v>12</v>
      </c>
      <c r="B181" s="169" t="s">
        <v>307</v>
      </c>
      <c r="C181" s="157">
        <v>6133163</v>
      </c>
      <c r="D181" s="157">
        <v>5799200</v>
      </c>
      <c r="E181" s="157">
        <f t="shared" si="10"/>
        <v>-333963</v>
      </c>
      <c r="F181" s="161">
        <f t="shared" si="11"/>
        <v>-5.4452001357211607E-2</v>
      </c>
    </row>
    <row r="182" spans="1:6" ht="15" customHeight="1" x14ac:dyDescent="0.2">
      <c r="A182" s="147">
        <v>13</v>
      </c>
      <c r="B182" s="169" t="s">
        <v>308</v>
      </c>
      <c r="C182" s="157">
        <v>5115201</v>
      </c>
      <c r="D182" s="157">
        <v>5388307</v>
      </c>
      <c r="E182" s="157">
        <f t="shared" si="10"/>
        <v>273106</v>
      </c>
      <c r="F182" s="161">
        <f t="shared" si="11"/>
        <v>5.3391059315166696E-2</v>
      </c>
    </row>
    <row r="183" spans="1:6" ht="15.75" customHeight="1" x14ac:dyDescent="0.25">
      <c r="A183" s="147"/>
      <c r="B183" s="165" t="s">
        <v>309</v>
      </c>
      <c r="C183" s="158">
        <f>SUM(C170:C182)</f>
        <v>106253211</v>
      </c>
      <c r="D183" s="158">
        <f>SUM(D170:D182)</f>
        <v>110354575</v>
      </c>
      <c r="E183" s="158">
        <f t="shared" si="10"/>
        <v>4101364</v>
      </c>
      <c r="F183" s="159">
        <f t="shared" si="11"/>
        <v>3.8599906406593207E-2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2795968</v>
      </c>
      <c r="D186" s="157">
        <v>2317172</v>
      </c>
      <c r="E186" s="157">
        <f>D186-C186</f>
        <v>-478796</v>
      </c>
      <c r="F186" s="161">
        <f>IF(C186=0,0,E186/C186)</f>
        <v>-0.17124516446540161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666788583</v>
      </c>
      <c r="D188" s="158">
        <f>+D186+D183+D167+D130+D121</f>
        <v>681612332</v>
      </c>
      <c r="E188" s="158">
        <f>D188-C188</f>
        <v>14823749</v>
      </c>
      <c r="F188" s="159">
        <f>IF(C188=0,0,E188/C188)</f>
        <v>2.2231557914962081E-2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635118562</v>
      </c>
      <c r="D11" s="183">
        <v>648781738</v>
      </c>
      <c r="E11" s="76">
        <v>649231569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35327848</v>
      </c>
      <c r="D12" s="185">
        <v>32428240</v>
      </c>
      <c r="E12" s="185">
        <v>35437869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670446410</v>
      </c>
      <c r="D13" s="76">
        <f>+D11+D12</f>
        <v>681209978</v>
      </c>
      <c r="E13" s="76">
        <f>+E11+E12</f>
        <v>684669438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666258533</v>
      </c>
      <c r="D14" s="185">
        <v>666788583</v>
      </c>
      <c r="E14" s="185">
        <v>681612332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4187877</v>
      </c>
      <c r="D15" s="76">
        <f>+D13-D14</f>
        <v>14421395</v>
      </c>
      <c r="E15" s="76">
        <f>+E13-E14</f>
        <v>3057106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24513453</v>
      </c>
      <c r="D16" s="185">
        <v>1198724</v>
      </c>
      <c r="E16" s="185">
        <v>-20060236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28701330</v>
      </c>
      <c r="D17" s="76">
        <f>D15+D16</f>
        <v>15620119</v>
      </c>
      <c r="E17" s="76">
        <f>E15+E16</f>
        <v>-17003130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6.026070314221873E-3</v>
      </c>
      <c r="D20" s="189">
        <f>IF(+D27=0,0,+D24/+D27)</f>
        <v>2.1133076055058864E-2</v>
      </c>
      <c r="E20" s="189">
        <f>IF(+E27=0,0,+E24/+E27)</f>
        <v>4.5998550588831604E-3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3.5273192460612647E-2</v>
      </c>
      <c r="D21" s="189">
        <f>IF(D27=0,0,+D26/D27)</f>
        <v>1.7566071424452614E-3</v>
      </c>
      <c r="E21" s="189">
        <f>IF(E27=0,0,+E26/E27)</f>
        <v>-3.0183506246427204E-2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4.1299262774834526E-2</v>
      </c>
      <c r="D22" s="189">
        <f>IF(D27=0,0,+D28/D27)</f>
        <v>2.2889683197504125E-2</v>
      </c>
      <c r="E22" s="189">
        <f>IF(E27=0,0,+E28/E27)</f>
        <v>-2.5583651187544045E-2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4187877</v>
      </c>
      <c r="D24" s="76">
        <f>+D15</f>
        <v>14421395</v>
      </c>
      <c r="E24" s="76">
        <f>+E15</f>
        <v>3057106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670446410</v>
      </c>
      <c r="D25" s="76">
        <f>+D13</f>
        <v>681209978</v>
      </c>
      <c r="E25" s="76">
        <f>+E13</f>
        <v>684669438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24513453</v>
      </c>
      <c r="D26" s="76">
        <f>+D16</f>
        <v>1198724</v>
      </c>
      <c r="E26" s="76">
        <f>+E16</f>
        <v>-20060236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694959863</v>
      </c>
      <c r="D27" s="76">
        <f>+D25+D26</f>
        <v>682408702</v>
      </c>
      <c r="E27" s="76">
        <f>+E25+E26</f>
        <v>664609202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28701330</v>
      </c>
      <c r="D28" s="76">
        <f>+D17</f>
        <v>15620119</v>
      </c>
      <c r="E28" s="76">
        <f>+E17</f>
        <v>-17003130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127892000</v>
      </c>
      <c r="D31" s="76">
        <v>100020000</v>
      </c>
      <c r="E31" s="76">
        <v>52342000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208956000</v>
      </c>
      <c r="D32" s="76">
        <v>181694000</v>
      </c>
      <c r="E32" s="76">
        <v>129938000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105586000</v>
      </c>
      <c r="D33" s="76">
        <f>+D32-C32</f>
        <v>-27262000</v>
      </c>
      <c r="E33" s="76">
        <f>+E32-D32</f>
        <v>-51756000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2.0213999999999999</v>
      </c>
      <c r="D34" s="193">
        <f>IF(C32=0,0,+D33/C32)</f>
        <v>-0.13046765826298359</v>
      </c>
      <c r="E34" s="193">
        <f>IF(D32=0,0,+E33/D32)</f>
        <v>-0.28485255429458323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0.33960121945660399</v>
      </c>
      <c r="D38" s="195">
        <f>IF((D40+D41)=0,0,+D39/(D40+D41))</f>
        <v>0.33056275670802759</v>
      </c>
      <c r="E38" s="195">
        <f>IF((E40+E41)=0,0,+E39/(E40+E41))</f>
        <v>0.31915887402859477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666258533</v>
      </c>
      <c r="D39" s="76">
        <v>666788583</v>
      </c>
      <c r="E39" s="196">
        <v>681612332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1930957096</v>
      </c>
      <c r="D40" s="76">
        <v>1988630574</v>
      </c>
      <c r="E40" s="196">
        <v>2104370392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30927888</v>
      </c>
      <c r="D41" s="76">
        <v>28501028</v>
      </c>
      <c r="E41" s="196">
        <v>31281747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1.4429500645110407</v>
      </c>
      <c r="D43" s="197">
        <f>IF(D38=0,0,IF((D46-D47)=0,0,((+D44-D45)/(D46-D47)/D38)))</f>
        <v>1.4010335989178411</v>
      </c>
      <c r="E43" s="197">
        <f>IF(E38=0,0,IF((E46-E47)=0,0,((+E44-E45)/(E46-E47)/E38)))</f>
        <v>1.5129149011662626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302880886</v>
      </c>
      <c r="D44" s="76">
        <v>287706838</v>
      </c>
      <c r="E44" s="196">
        <v>309740024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942361</v>
      </c>
      <c r="D45" s="76">
        <v>735924</v>
      </c>
      <c r="E45" s="196">
        <v>1597366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650907761</v>
      </c>
      <c r="D46" s="76">
        <v>652139718</v>
      </c>
      <c r="E46" s="196">
        <v>667229821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34741398</v>
      </c>
      <c r="D47" s="76">
        <v>32505477</v>
      </c>
      <c r="E47" s="76">
        <v>29068615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0.90012124858930542</v>
      </c>
      <c r="D49" s="198">
        <f>IF(D38=0,0,IF(D51=0,0,(D50/D51)/D38))</f>
        <v>0.92633176729830191</v>
      </c>
      <c r="E49" s="198">
        <f>IF(E38=0,0,IF(E51=0,0,(E50/E51)/E38))</f>
        <v>0.84913917512515957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260274962</v>
      </c>
      <c r="D50" s="199">
        <v>275515865</v>
      </c>
      <c r="E50" s="199">
        <v>262764185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851455856</v>
      </c>
      <c r="D51" s="199">
        <v>899758861</v>
      </c>
      <c r="E51" s="199">
        <v>969572677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0.65223763616134289</v>
      </c>
      <c r="D53" s="198">
        <f>IF(D38=0,0,IF(D55=0,0,(D54/D55)/D38))</f>
        <v>0.70922698111515148</v>
      </c>
      <c r="E53" s="198">
        <f>IF(E38=0,0,IF(E55=0,0,(E54/E55)/E38))</f>
        <v>0.66565900879618922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93910370</v>
      </c>
      <c r="D54" s="199">
        <v>101488590</v>
      </c>
      <c r="E54" s="199">
        <v>98288600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423973249</v>
      </c>
      <c r="D55" s="199">
        <v>432890493</v>
      </c>
      <c r="E55" s="199">
        <v>462641312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8834586.8272647951</v>
      </c>
      <c r="D57" s="88">
        <f>+D60*D38</f>
        <v>8707888.0944237523</v>
      </c>
      <c r="E57" s="88">
        <f>+E60*E38</f>
        <v>8006400.683507761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5761205</v>
      </c>
      <c r="D58" s="199">
        <v>4494629</v>
      </c>
      <c r="E58" s="199">
        <v>4105108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20253386</v>
      </c>
      <c r="D59" s="199">
        <v>21847988</v>
      </c>
      <c r="E59" s="199">
        <v>20980833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26014591</v>
      </c>
      <c r="D60" s="76">
        <v>26342617</v>
      </c>
      <c r="E60" s="201">
        <v>25085941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1.3259998018314003E-2</v>
      </c>
      <c r="D62" s="202">
        <f>IF(D63=0,0,+D57/D63)</f>
        <v>1.3059443902361707E-2</v>
      </c>
      <c r="E62" s="202">
        <f>IF(E63=0,0,+E57/E63)</f>
        <v>1.1746267354076806E-2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666258533</v>
      </c>
      <c r="D63" s="199">
        <v>666788583</v>
      </c>
      <c r="E63" s="199">
        <v>681612332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2.0378455165533471</v>
      </c>
      <c r="D67" s="203">
        <f>IF(D69=0,0,D68/D69)</f>
        <v>2.0354692250801216</v>
      </c>
      <c r="E67" s="203">
        <f>IF(E69=0,0,E68/E69)</f>
        <v>1.8488153675318342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187924000</v>
      </c>
      <c r="D68" s="204">
        <v>198157000</v>
      </c>
      <c r="E68" s="204">
        <v>178150000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92217000</v>
      </c>
      <c r="D69" s="204">
        <v>97352000</v>
      </c>
      <c r="E69" s="204">
        <v>96359000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63.987688755202107</v>
      </c>
      <c r="D71" s="203">
        <f>IF((D77/365)=0,0,+D74/(D77/365))</f>
        <v>55.484392988586464</v>
      </c>
      <c r="E71" s="203">
        <f>IF((E77/365)=0,0,+E74/(E77/365))</f>
        <v>48.813398454516339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80260000</v>
      </c>
      <c r="D72" s="183">
        <v>70507000</v>
      </c>
      <c r="E72" s="183">
        <v>76694000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30428000</v>
      </c>
      <c r="D73" s="206">
        <v>25411000</v>
      </c>
      <c r="E73" s="206">
        <v>9418000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110688000</v>
      </c>
      <c r="D74" s="204">
        <f>+D72+D73</f>
        <v>95918000</v>
      </c>
      <c r="E74" s="204">
        <f>+E72+E73</f>
        <v>86112000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666258533</v>
      </c>
      <c r="D75" s="204">
        <f>+D14</f>
        <v>666788583</v>
      </c>
      <c r="E75" s="204">
        <f>+E14</f>
        <v>681612332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34869577</v>
      </c>
      <c r="D76" s="204">
        <v>35799072</v>
      </c>
      <c r="E76" s="204">
        <v>37713710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631388956</v>
      </c>
      <c r="D77" s="204">
        <f>+D75-D76</f>
        <v>630989511</v>
      </c>
      <c r="E77" s="204">
        <f>+E75-E76</f>
        <v>643898622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27.869875105303564</v>
      </c>
      <c r="D79" s="203">
        <f>IF((D84/365)=0,0,+D83/(D84/365))</f>
        <v>31.510828376615002</v>
      </c>
      <c r="E79" s="203">
        <f>IF((E84/365)=0,0,+E83/(E84/365))</f>
        <v>29.659586685933323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60969000</v>
      </c>
      <c r="D80" s="212">
        <v>70949000</v>
      </c>
      <c r="E80" s="212">
        <v>65284000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12474000</v>
      </c>
      <c r="D82" s="212">
        <v>14939000</v>
      </c>
      <c r="E82" s="212">
        <v>12528000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48495000</v>
      </c>
      <c r="D83" s="212">
        <f>+D80+D81-D82</f>
        <v>56010000</v>
      </c>
      <c r="E83" s="212">
        <f>+E80+E81-E82</f>
        <v>52756000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635118562</v>
      </c>
      <c r="D84" s="204">
        <f>+D11</f>
        <v>648781738</v>
      </c>
      <c r="E84" s="204">
        <f>+E11</f>
        <v>649231569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53.309777879611815</v>
      </c>
      <c r="D86" s="203">
        <f>IF((D90/365)=0,0,+D87/(D90/365))</f>
        <v>56.313899645789832</v>
      </c>
      <c r="E86" s="203">
        <f>IF((E90/365)=0,0,+E87/(E90/365))</f>
        <v>54.622006940713725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92217000</v>
      </c>
      <c r="D87" s="76">
        <f>+D69</f>
        <v>97352000</v>
      </c>
      <c r="E87" s="76">
        <f>+E69</f>
        <v>96359000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666258533</v>
      </c>
      <c r="D88" s="76">
        <f t="shared" si="0"/>
        <v>666788583</v>
      </c>
      <c r="E88" s="76">
        <f t="shared" si="0"/>
        <v>681612332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34869577</v>
      </c>
      <c r="D89" s="201">
        <f t="shared" si="0"/>
        <v>35799072</v>
      </c>
      <c r="E89" s="201">
        <f t="shared" si="0"/>
        <v>37713710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631388956</v>
      </c>
      <c r="D90" s="76">
        <f>+D88-D89</f>
        <v>630989511</v>
      </c>
      <c r="E90" s="76">
        <f>+E88-E89</f>
        <v>643898622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27.816812347407964</v>
      </c>
      <c r="D94" s="214">
        <f>IF(D96=0,0,(D95/D96)*100)</f>
        <v>23.289146156074477</v>
      </c>
      <c r="E94" s="214">
        <f>IF(E96=0,0,(E95/E96)*100)</f>
        <v>17.347433290656085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208956000</v>
      </c>
      <c r="D95" s="76">
        <f>+D32</f>
        <v>181694000</v>
      </c>
      <c r="E95" s="76">
        <f>+E32</f>
        <v>129938000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751186000</v>
      </c>
      <c r="D96" s="76">
        <v>780166000</v>
      </c>
      <c r="E96" s="76">
        <v>749033000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18.118906154696827</v>
      </c>
      <c r="D98" s="214">
        <f>IF(D104=0,0,(D101/D104)*100)</f>
        <v>14.740557237377732</v>
      </c>
      <c r="E98" s="214">
        <f>IF(E104=0,0,(E101/E104)*100)</f>
        <v>6.0821701374103192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28701330</v>
      </c>
      <c r="D99" s="76">
        <f>+D28</f>
        <v>15620119</v>
      </c>
      <c r="E99" s="76">
        <f>+E28</f>
        <v>-17003130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34869577</v>
      </c>
      <c r="D100" s="201">
        <f>+D76</f>
        <v>35799072</v>
      </c>
      <c r="E100" s="201">
        <f>+E76</f>
        <v>37713710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63570907</v>
      </c>
      <c r="D101" s="76">
        <f>+D99+D100</f>
        <v>51419191</v>
      </c>
      <c r="E101" s="76">
        <f>+E99+E100</f>
        <v>20710580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92217000</v>
      </c>
      <c r="D102" s="204">
        <f>+D69</f>
        <v>97352000</v>
      </c>
      <c r="E102" s="204">
        <f>+E69</f>
        <v>96359000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258637000</v>
      </c>
      <c r="D103" s="216">
        <v>251476000</v>
      </c>
      <c r="E103" s="216">
        <v>244154000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350854000</v>
      </c>
      <c r="D104" s="204">
        <f>+D102+D103</f>
        <v>348828000</v>
      </c>
      <c r="E104" s="204">
        <f>+E102+E103</f>
        <v>340513000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55.312419133733826</v>
      </c>
      <c r="D106" s="214">
        <f>IF(D109=0,0,(D107/D109)*100)</f>
        <v>58.05480527275666</v>
      </c>
      <c r="E106" s="214">
        <f>IF(E109=0,0,(E107/E109)*100)</f>
        <v>65.265763502026246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258637000</v>
      </c>
      <c r="D107" s="204">
        <f>+D103</f>
        <v>251476000</v>
      </c>
      <c r="E107" s="204">
        <f>+E103</f>
        <v>244154000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208956000</v>
      </c>
      <c r="D108" s="204">
        <f>+D32</f>
        <v>181694000</v>
      </c>
      <c r="E108" s="204">
        <f>+E32</f>
        <v>129938000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467593000</v>
      </c>
      <c r="D109" s="204">
        <f>+D107+D108</f>
        <v>433170000</v>
      </c>
      <c r="E109" s="204">
        <f>+E107+E108</f>
        <v>374092000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3.5148540531138468</v>
      </c>
      <c r="D111" s="214">
        <f>IF((+D113+D115)=0,0,((+D112+D113+D114)/(+D113+D115)))</f>
        <v>3.1184027203921225</v>
      </c>
      <c r="E111" s="214">
        <f>IF((+E113+E115)=0,0,((+E112+E113+E114)/(+E113+E115)))</f>
        <v>1.5981753354484387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28701330</v>
      </c>
      <c r="D112" s="76">
        <f>+D17</f>
        <v>15620119</v>
      </c>
      <c r="E112" s="76">
        <f>+E17</f>
        <v>-17003130</v>
      </c>
    </row>
    <row r="113" spans="1:8" ht="24" customHeight="1" x14ac:dyDescent="0.2">
      <c r="A113" s="85">
        <v>17</v>
      </c>
      <c r="B113" s="75" t="s">
        <v>88</v>
      </c>
      <c r="C113" s="218">
        <v>11600890</v>
      </c>
      <c r="D113" s="76">
        <v>11620321</v>
      </c>
      <c r="E113" s="76">
        <v>11151596</v>
      </c>
    </row>
    <row r="114" spans="1:8" ht="24" customHeight="1" x14ac:dyDescent="0.2">
      <c r="A114" s="85">
        <v>18</v>
      </c>
      <c r="B114" s="75" t="s">
        <v>374</v>
      </c>
      <c r="C114" s="218">
        <v>34869577</v>
      </c>
      <c r="D114" s="76">
        <v>35799072</v>
      </c>
      <c r="E114" s="76">
        <v>37713710</v>
      </c>
    </row>
    <row r="115" spans="1:8" ht="24" customHeight="1" x14ac:dyDescent="0.2">
      <c r="A115" s="85">
        <v>19</v>
      </c>
      <c r="B115" s="75" t="s">
        <v>104</v>
      </c>
      <c r="C115" s="218">
        <v>9786000</v>
      </c>
      <c r="D115" s="76">
        <v>8595000</v>
      </c>
      <c r="E115" s="76">
        <v>8785000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10.21090677412003</v>
      </c>
      <c r="D119" s="214">
        <f>IF(+D121=0,0,(+D120)/(+D121))</f>
        <v>10.925786009201579</v>
      </c>
      <c r="E119" s="214">
        <f>IF(+E121=0,0,(+E120)/(+E121))</f>
        <v>11.336938211594669</v>
      </c>
    </row>
    <row r="120" spans="1:8" ht="24" customHeight="1" x14ac:dyDescent="0.2">
      <c r="A120" s="85">
        <v>21</v>
      </c>
      <c r="B120" s="75" t="s">
        <v>378</v>
      </c>
      <c r="C120" s="218">
        <v>356050000</v>
      </c>
      <c r="D120" s="218">
        <v>391133000</v>
      </c>
      <c r="E120" s="218">
        <v>427558000</v>
      </c>
    </row>
    <row r="121" spans="1:8" ht="24" customHeight="1" x14ac:dyDescent="0.2">
      <c r="A121" s="85">
        <v>22</v>
      </c>
      <c r="B121" s="75" t="s">
        <v>374</v>
      </c>
      <c r="C121" s="218">
        <v>34869577</v>
      </c>
      <c r="D121" s="218">
        <v>35799072</v>
      </c>
      <c r="E121" s="218">
        <v>37713710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159375</v>
      </c>
      <c r="D124" s="218">
        <v>151867</v>
      </c>
      <c r="E124" s="218">
        <v>152490</v>
      </c>
    </row>
    <row r="125" spans="1:8" ht="24" customHeight="1" x14ac:dyDescent="0.2">
      <c r="A125" s="85">
        <v>2</v>
      </c>
      <c r="B125" s="75" t="s">
        <v>381</v>
      </c>
      <c r="C125" s="218">
        <v>32366</v>
      </c>
      <c r="D125" s="218">
        <v>31234</v>
      </c>
      <c r="E125" s="218">
        <v>31632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4.9241487981214851</v>
      </c>
      <c r="D126" s="219">
        <f>IF(D125=0,0,D124/D125)</f>
        <v>4.8622334635333289</v>
      </c>
      <c r="E126" s="219">
        <f>IF(E125=0,0,E124/E125)</f>
        <v>4.8207511380880117</v>
      </c>
    </row>
    <row r="127" spans="1:8" ht="24" customHeight="1" x14ac:dyDescent="0.2">
      <c r="A127" s="85">
        <v>4</v>
      </c>
      <c r="B127" s="75" t="s">
        <v>383</v>
      </c>
      <c r="C127" s="218">
        <v>595</v>
      </c>
      <c r="D127" s="218">
        <v>595</v>
      </c>
      <c r="E127" s="218">
        <v>607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595</v>
      </c>
      <c r="E128" s="218">
        <v>607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595</v>
      </c>
      <c r="D129" s="218">
        <v>682</v>
      </c>
      <c r="E129" s="218">
        <v>682</v>
      </c>
    </row>
    <row r="130" spans="1:7" ht="24" customHeight="1" x14ac:dyDescent="0.2">
      <c r="A130" s="85">
        <v>7</v>
      </c>
      <c r="B130" s="75" t="s">
        <v>386</v>
      </c>
      <c r="C130" s="193">
        <v>0.73380000000000001</v>
      </c>
      <c r="D130" s="193">
        <v>0.69920000000000004</v>
      </c>
      <c r="E130" s="193">
        <v>0.68820000000000003</v>
      </c>
    </row>
    <row r="131" spans="1:7" ht="24" customHeight="1" x14ac:dyDescent="0.2">
      <c r="A131" s="85">
        <v>8</v>
      </c>
      <c r="B131" s="75" t="s">
        <v>387</v>
      </c>
      <c r="C131" s="193">
        <v>0.73380000000000001</v>
      </c>
      <c r="D131" s="193">
        <v>0.69920000000000004</v>
      </c>
      <c r="E131" s="193">
        <v>0.68820000000000003</v>
      </c>
    </row>
    <row r="132" spans="1:7" ht="24" customHeight="1" x14ac:dyDescent="0.2">
      <c r="A132" s="85">
        <v>9</v>
      </c>
      <c r="B132" s="75" t="s">
        <v>388</v>
      </c>
      <c r="C132" s="219">
        <v>3816.6</v>
      </c>
      <c r="D132" s="219">
        <v>3802.8</v>
      </c>
      <c r="E132" s="219">
        <v>3789.1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0.31909894024905877</v>
      </c>
      <c r="D135" s="227">
        <f>IF(D149=0,0,D143/D149)</f>
        <v>0.31158841119175107</v>
      </c>
      <c r="E135" s="227">
        <f>IF(E149=0,0,E143/E149)</f>
        <v>0.30325517239077371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0.44095016806111365</v>
      </c>
      <c r="D136" s="227">
        <f>IF(D149=0,0,D144/D149)</f>
        <v>0.45245148735201934</v>
      </c>
      <c r="E136" s="227">
        <f>IF(E149=0,0,E144/E149)</f>
        <v>0.46074240575040365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0.21956637456019376</v>
      </c>
      <c r="D137" s="227">
        <f>IF(D149=0,0,D145/D149)</f>
        <v>0.21768271023273528</v>
      </c>
      <c r="E137" s="227">
        <f>IF(E149=0,0,E145/E149)</f>
        <v>0.21984785271584453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1.7991802133753881E-2</v>
      </c>
      <c r="D139" s="227">
        <f>IF(D149=0,0,D147/D149)</f>
        <v>1.6345658879526007E-2</v>
      </c>
      <c r="E139" s="227">
        <f>IF(E149=0,0,E147/E149)</f>
        <v>1.3813449909059545E-2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2.3927149958799499E-3</v>
      </c>
      <c r="D140" s="227">
        <f>IF(D149=0,0,D148/D149)</f>
        <v>1.9317323439682768E-3</v>
      </c>
      <c r="E140" s="227">
        <f>IF(E149=0,0,E148/E149)</f>
        <v>2.3411192339185885E-3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616166363</v>
      </c>
      <c r="D143" s="229">
        <f>+D46-D147</f>
        <v>619634241</v>
      </c>
      <c r="E143" s="229">
        <f>+E46-E147</f>
        <v>638161206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851455856</v>
      </c>
      <c r="D144" s="229">
        <f>+D51</f>
        <v>899758861</v>
      </c>
      <c r="E144" s="229">
        <f>+E51</f>
        <v>969572677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423973249</v>
      </c>
      <c r="D145" s="229">
        <f>+D55</f>
        <v>432890493</v>
      </c>
      <c r="E145" s="229">
        <f>+E55</f>
        <v>462641312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34741398</v>
      </c>
      <c r="D147" s="229">
        <f>+D47</f>
        <v>32505477</v>
      </c>
      <c r="E147" s="229">
        <f>+E47</f>
        <v>29068615</v>
      </c>
    </row>
    <row r="148" spans="1:7" ht="20.100000000000001" customHeight="1" x14ac:dyDescent="0.2">
      <c r="A148" s="226">
        <v>13</v>
      </c>
      <c r="B148" s="224" t="s">
        <v>402</v>
      </c>
      <c r="C148" s="230">
        <v>4620230</v>
      </c>
      <c r="D148" s="229">
        <v>3841502</v>
      </c>
      <c r="E148" s="229">
        <v>4926582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1930957096</v>
      </c>
      <c r="D149" s="229">
        <f>SUM(D143:D148)</f>
        <v>1988630574</v>
      </c>
      <c r="E149" s="229">
        <f>SUM(E143:E148)</f>
        <v>2104370392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0.45876090711322076</v>
      </c>
      <c r="D152" s="227">
        <f>IF(D166=0,0,D160/D166)</f>
        <v>0.43150883507277965</v>
      </c>
      <c r="E152" s="227">
        <f>IF(E166=0,0,E160/E166)</f>
        <v>0.45866561017600016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0.39545790874476539</v>
      </c>
      <c r="D153" s="227">
        <f>IF(D166=0,0,D161/D166)</f>
        <v>0.41428425025059934</v>
      </c>
      <c r="E153" s="227">
        <f>IF(E166=0,0,E161/E166)</f>
        <v>0.39112045059799672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0.14268602036967026</v>
      </c>
      <c r="D154" s="227">
        <f>IF(D166=0,0,D162/D166)</f>
        <v>0.15260509378340326</v>
      </c>
      <c r="E154" s="227">
        <f>IF(E166=0,0,E162/E166)</f>
        <v>0.14630107037093451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1.431809296902811E-3</v>
      </c>
      <c r="D156" s="227">
        <f>IF(D166=0,0,D164/D166)</f>
        <v>1.1065849967711373E-3</v>
      </c>
      <c r="E156" s="227">
        <f>IF(E166=0,0,E164/E166)</f>
        <v>2.3776547389436639E-3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1.6633544754407672E-3</v>
      </c>
      <c r="D157" s="227">
        <f>IF(D166=0,0,D165/D166)</f>
        <v>4.9523589644659991E-4</v>
      </c>
      <c r="E157" s="227">
        <f>IF(E166=0,0,E165/E166)</f>
        <v>1.5352141161249591E-3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301938525</v>
      </c>
      <c r="D160" s="229">
        <f>+D44-D164</f>
        <v>286970914</v>
      </c>
      <c r="E160" s="229">
        <f>+E44-E164</f>
        <v>308142658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260274962</v>
      </c>
      <c r="D161" s="229">
        <f>+D50</f>
        <v>275515865</v>
      </c>
      <c r="E161" s="229">
        <f>+E50</f>
        <v>262764185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93910370</v>
      </c>
      <c r="D162" s="229">
        <f>+D54</f>
        <v>101488590</v>
      </c>
      <c r="E162" s="229">
        <f>+E54</f>
        <v>98288600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942361</v>
      </c>
      <c r="D164" s="229">
        <f>+D45</f>
        <v>735924</v>
      </c>
      <c r="E164" s="229">
        <f>+E45</f>
        <v>1597366</v>
      </c>
    </row>
    <row r="165" spans="1:6" ht="20.100000000000001" customHeight="1" x14ac:dyDescent="0.2">
      <c r="A165" s="226">
        <v>13</v>
      </c>
      <c r="B165" s="224" t="s">
        <v>417</v>
      </c>
      <c r="C165" s="230">
        <v>1094755</v>
      </c>
      <c r="D165" s="229">
        <v>329352</v>
      </c>
      <c r="E165" s="229">
        <v>1031394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658160973</v>
      </c>
      <c r="D166" s="229">
        <f>SUM(D160:D165)</f>
        <v>665040645</v>
      </c>
      <c r="E166" s="229">
        <f>SUM(E160:E165)</f>
        <v>671824203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10159</v>
      </c>
      <c r="D169" s="218">
        <v>9526</v>
      </c>
      <c r="E169" s="218">
        <v>9314</v>
      </c>
    </row>
    <row r="170" spans="1:6" ht="20.100000000000001" customHeight="1" x14ac:dyDescent="0.2">
      <c r="A170" s="226">
        <v>2</v>
      </c>
      <c r="B170" s="224" t="s">
        <v>420</v>
      </c>
      <c r="C170" s="218">
        <v>14271</v>
      </c>
      <c r="D170" s="218">
        <v>13744</v>
      </c>
      <c r="E170" s="218">
        <v>14409</v>
      </c>
    </row>
    <row r="171" spans="1:6" ht="20.100000000000001" customHeight="1" x14ac:dyDescent="0.2">
      <c r="A171" s="226">
        <v>3</v>
      </c>
      <c r="B171" s="224" t="s">
        <v>421</v>
      </c>
      <c r="C171" s="218">
        <v>7857</v>
      </c>
      <c r="D171" s="218">
        <v>7876</v>
      </c>
      <c r="E171" s="218">
        <v>7833</v>
      </c>
    </row>
    <row r="172" spans="1:6" ht="20.100000000000001" customHeight="1" x14ac:dyDescent="0.2">
      <c r="A172" s="226">
        <v>4</v>
      </c>
      <c r="B172" s="224" t="s">
        <v>422</v>
      </c>
      <c r="C172" s="218">
        <v>7857</v>
      </c>
      <c r="D172" s="218">
        <v>7876</v>
      </c>
      <c r="E172" s="218">
        <v>7833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79</v>
      </c>
      <c r="D174" s="218">
        <v>88</v>
      </c>
      <c r="E174" s="218">
        <v>76</v>
      </c>
    </row>
    <row r="175" spans="1:6" ht="20.100000000000001" customHeight="1" x14ac:dyDescent="0.2">
      <c r="A175" s="226">
        <v>7</v>
      </c>
      <c r="B175" s="224" t="s">
        <v>425</v>
      </c>
      <c r="C175" s="218">
        <v>281</v>
      </c>
      <c r="D175" s="218">
        <v>319</v>
      </c>
      <c r="E175" s="218">
        <v>266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32366</v>
      </c>
      <c r="D176" s="218">
        <f>+D169+D170+D171+D174</f>
        <v>31234</v>
      </c>
      <c r="E176" s="218">
        <f>+E169+E170+E171+E174</f>
        <v>31632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1.4196</v>
      </c>
      <c r="D179" s="231">
        <v>1.4157</v>
      </c>
      <c r="E179" s="231">
        <v>1.4554</v>
      </c>
    </row>
    <row r="180" spans="1:6" ht="20.100000000000001" customHeight="1" x14ac:dyDescent="0.2">
      <c r="A180" s="226">
        <v>2</v>
      </c>
      <c r="B180" s="224" t="s">
        <v>420</v>
      </c>
      <c r="C180" s="231">
        <v>1.6898</v>
      </c>
      <c r="D180" s="231">
        <v>1.696</v>
      </c>
      <c r="E180" s="231">
        <v>1.6785000000000001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1.1608000000000001</v>
      </c>
      <c r="D181" s="231">
        <v>1.1567000000000001</v>
      </c>
      <c r="E181" s="231">
        <v>1.2070000000000001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1.1608000000000001</v>
      </c>
      <c r="D182" s="231">
        <v>1.1567000000000001</v>
      </c>
      <c r="E182" s="231">
        <v>1.2070000000000001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1.0992</v>
      </c>
      <c r="D184" s="231">
        <v>1.07</v>
      </c>
      <c r="E184" s="231">
        <v>1.3247</v>
      </c>
    </row>
    <row r="185" spans="1:6" ht="20.100000000000001" customHeight="1" x14ac:dyDescent="0.2">
      <c r="A185" s="226">
        <v>7</v>
      </c>
      <c r="B185" s="224" t="s">
        <v>425</v>
      </c>
      <c r="C185" s="231">
        <v>1.2102999999999999</v>
      </c>
      <c r="D185" s="231">
        <v>1.2447999999999999</v>
      </c>
      <c r="E185" s="231">
        <v>1.2336</v>
      </c>
    </row>
    <row r="186" spans="1:6" ht="20.100000000000001" customHeight="1" x14ac:dyDescent="0.2">
      <c r="A186" s="226">
        <v>8</v>
      </c>
      <c r="B186" s="224" t="s">
        <v>429</v>
      </c>
      <c r="C186" s="231">
        <v>1.475131</v>
      </c>
      <c r="D186" s="231">
        <v>1.4727570000000001</v>
      </c>
      <c r="E186" s="231">
        <v>1.495201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17868</v>
      </c>
      <c r="D189" s="218">
        <v>17605</v>
      </c>
      <c r="E189" s="218">
        <v>18352</v>
      </c>
    </row>
    <row r="190" spans="1:6" ht="20.100000000000001" customHeight="1" x14ac:dyDescent="0.2">
      <c r="A190" s="226">
        <v>2</v>
      </c>
      <c r="B190" s="224" t="s">
        <v>433</v>
      </c>
      <c r="C190" s="218">
        <v>63204</v>
      </c>
      <c r="D190" s="218">
        <v>65315</v>
      </c>
      <c r="E190" s="218">
        <v>65364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81072</v>
      </c>
      <c r="D191" s="218">
        <f>+D190+D189</f>
        <v>82920</v>
      </c>
      <c r="E191" s="218">
        <f>+E190+E189</f>
        <v>83716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FRANCIS HOSPITAL AND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B42" sqref="B42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6097468</v>
      </c>
      <c r="D14" s="258">
        <v>11472691</v>
      </c>
      <c r="E14" s="258">
        <f t="shared" ref="E14:E24" si="0">D14-C14</f>
        <v>5375223</v>
      </c>
      <c r="F14" s="259">
        <f t="shared" ref="F14:F24" si="1">IF(C14=0,0,E14/C14)</f>
        <v>0.88155001387461152</v>
      </c>
    </row>
    <row r="15" spans="1:7" ht="20.25" customHeight="1" x14ac:dyDescent="0.3">
      <c r="A15" s="256">
        <v>2</v>
      </c>
      <c r="B15" s="257" t="s">
        <v>442</v>
      </c>
      <c r="C15" s="258">
        <v>1842214</v>
      </c>
      <c r="D15" s="258">
        <v>3186770</v>
      </c>
      <c r="E15" s="258">
        <f t="shared" si="0"/>
        <v>1344556</v>
      </c>
      <c r="F15" s="259">
        <f t="shared" si="1"/>
        <v>0.7298587460523045</v>
      </c>
    </row>
    <row r="16" spans="1:7" ht="20.25" customHeight="1" x14ac:dyDescent="0.3">
      <c r="A16" s="256">
        <v>3</v>
      </c>
      <c r="B16" s="257" t="s">
        <v>443</v>
      </c>
      <c r="C16" s="258">
        <v>3380062</v>
      </c>
      <c r="D16" s="258">
        <v>4776595</v>
      </c>
      <c r="E16" s="258">
        <f t="shared" si="0"/>
        <v>1396533</v>
      </c>
      <c r="F16" s="259">
        <f t="shared" si="1"/>
        <v>0.41316786496815738</v>
      </c>
    </row>
    <row r="17" spans="1:6" ht="20.25" customHeight="1" x14ac:dyDescent="0.3">
      <c r="A17" s="256">
        <v>4</v>
      </c>
      <c r="B17" s="257" t="s">
        <v>444</v>
      </c>
      <c r="C17" s="258">
        <v>1002912</v>
      </c>
      <c r="D17" s="258">
        <v>1147347</v>
      </c>
      <c r="E17" s="258">
        <f t="shared" si="0"/>
        <v>144435</v>
      </c>
      <c r="F17" s="259">
        <f t="shared" si="1"/>
        <v>0.14401562649564467</v>
      </c>
    </row>
    <row r="18" spans="1:6" ht="20.25" customHeight="1" x14ac:dyDescent="0.3">
      <c r="A18" s="256">
        <v>5</v>
      </c>
      <c r="B18" s="257" t="s">
        <v>381</v>
      </c>
      <c r="C18" s="260">
        <v>117</v>
      </c>
      <c r="D18" s="260">
        <v>198</v>
      </c>
      <c r="E18" s="260">
        <f t="shared" si="0"/>
        <v>81</v>
      </c>
      <c r="F18" s="259">
        <f t="shared" si="1"/>
        <v>0.69230769230769229</v>
      </c>
    </row>
    <row r="19" spans="1:6" ht="20.25" customHeight="1" x14ac:dyDescent="0.3">
      <c r="A19" s="256">
        <v>6</v>
      </c>
      <c r="B19" s="257" t="s">
        <v>380</v>
      </c>
      <c r="C19" s="260">
        <v>733</v>
      </c>
      <c r="D19" s="260">
        <v>1292</v>
      </c>
      <c r="E19" s="260">
        <f t="shared" si="0"/>
        <v>559</v>
      </c>
      <c r="F19" s="259">
        <f t="shared" si="1"/>
        <v>0.76261937244201905</v>
      </c>
    </row>
    <row r="20" spans="1:6" ht="20.25" customHeight="1" x14ac:dyDescent="0.3">
      <c r="A20" s="256">
        <v>7</v>
      </c>
      <c r="B20" s="257" t="s">
        <v>445</v>
      </c>
      <c r="C20" s="260">
        <v>714</v>
      </c>
      <c r="D20" s="260">
        <v>1136</v>
      </c>
      <c r="E20" s="260">
        <f t="shared" si="0"/>
        <v>422</v>
      </c>
      <c r="F20" s="259">
        <f t="shared" si="1"/>
        <v>0.59103641456582634</v>
      </c>
    </row>
    <row r="21" spans="1:6" ht="20.25" customHeight="1" x14ac:dyDescent="0.3">
      <c r="A21" s="256">
        <v>8</v>
      </c>
      <c r="B21" s="257" t="s">
        <v>446</v>
      </c>
      <c r="C21" s="260">
        <v>118</v>
      </c>
      <c r="D21" s="260">
        <v>292</v>
      </c>
      <c r="E21" s="260">
        <f t="shared" si="0"/>
        <v>174</v>
      </c>
      <c r="F21" s="259">
        <f t="shared" si="1"/>
        <v>1.4745762711864407</v>
      </c>
    </row>
    <row r="22" spans="1:6" ht="20.25" customHeight="1" x14ac:dyDescent="0.3">
      <c r="A22" s="256">
        <v>9</v>
      </c>
      <c r="B22" s="257" t="s">
        <v>447</v>
      </c>
      <c r="C22" s="260">
        <v>83</v>
      </c>
      <c r="D22" s="260">
        <v>160</v>
      </c>
      <c r="E22" s="260">
        <f t="shared" si="0"/>
        <v>77</v>
      </c>
      <c r="F22" s="259">
        <f t="shared" si="1"/>
        <v>0.92771084337349397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9477530</v>
      </c>
      <c r="D23" s="263">
        <f>+D14+D16</f>
        <v>16249286</v>
      </c>
      <c r="E23" s="263">
        <f t="shared" si="0"/>
        <v>6771756</v>
      </c>
      <c r="F23" s="264">
        <f t="shared" si="1"/>
        <v>0.71450641675626458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2845126</v>
      </c>
      <c r="D24" s="263">
        <f>+D15+D17</f>
        <v>4334117</v>
      </c>
      <c r="E24" s="263">
        <f t="shared" si="0"/>
        <v>1488991</v>
      </c>
      <c r="F24" s="264">
        <f t="shared" si="1"/>
        <v>0.52334799935046816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52717232</v>
      </c>
      <c r="D40" s="258">
        <v>54861784</v>
      </c>
      <c r="E40" s="258">
        <f t="shared" ref="E40:E50" si="4">D40-C40</f>
        <v>2144552</v>
      </c>
      <c r="F40" s="259">
        <f t="shared" ref="F40:F50" si="5">IF(C40=0,0,E40/C40)</f>
        <v>4.0680284579433151E-2</v>
      </c>
    </row>
    <row r="41" spans="1:6" ht="20.25" customHeight="1" x14ac:dyDescent="0.3">
      <c r="A41" s="256">
        <v>2</v>
      </c>
      <c r="B41" s="257" t="s">
        <v>442</v>
      </c>
      <c r="C41" s="258">
        <v>18365461</v>
      </c>
      <c r="D41" s="258">
        <v>15573146</v>
      </c>
      <c r="E41" s="258">
        <f t="shared" si="4"/>
        <v>-2792315</v>
      </c>
      <c r="F41" s="259">
        <f t="shared" si="5"/>
        <v>-0.15204165035661235</v>
      </c>
    </row>
    <row r="42" spans="1:6" ht="20.25" customHeight="1" x14ac:dyDescent="0.3">
      <c r="A42" s="256">
        <v>3</v>
      </c>
      <c r="B42" s="257" t="s">
        <v>443</v>
      </c>
      <c r="C42" s="258">
        <v>21675186</v>
      </c>
      <c r="D42" s="258">
        <v>24019766</v>
      </c>
      <c r="E42" s="258">
        <f t="shared" si="4"/>
        <v>2344580</v>
      </c>
      <c r="F42" s="259">
        <f t="shared" si="5"/>
        <v>0.10816885262253344</v>
      </c>
    </row>
    <row r="43" spans="1:6" ht="20.25" customHeight="1" x14ac:dyDescent="0.3">
      <c r="A43" s="256">
        <v>4</v>
      </c>
      <c r="B43" s="257" t="s">
        <v>444</v>
      </c>
      <c r="C43" s="258">
        <v>5031455</v>
      </c>
      <c r="D43" s="258">
        <v>4915007</v>
      </c>
      <c r="E43" s="258">
        <f t="shared" si="4"/>
        <v>-116448</v>
      </c>
      <c r="F43" s="259">
        <f t="shared" si="5"/>
        <v>-2.3144001089148169E-2</v>
      </c>
    </row>
    <row r="44" spans="1:6" ht="20.25" customHeight="1" x14ac:dyDescent="0.3">
      <c r="A44" s="256">
        <v>5</v>
      </c>
      <c r="B44" s="257" t="s">
        <v>381</v>
      </c>
      <c r="C44" s="260">
        <v>994</v>
      </c>
      <c r="D44" s="260">
        <v>1038</v>
      </c>
      <c r="E44" s="260">
        <f t="shared" si="4"/>
        <v>44</v>
      </c>
      <c r="F44" s="259">
        <f t="shared" si="5"/>
        <v>4.4265593561368208E-2</v>
      </c>
    </row>
    <row r="45" spans="1:6" ht="20.25" customHeight="1" x14ac:dyDescent="0.3">
      <c r="A45" s="256">
        <v>6</v>
      </c>
      <c r="B45" s="257" t="s">
        <v>380</v>
      </c>
      <c r="C45" s="260">
        <v>5522</v>
      </c>
      <c r="D45" s="260">
        <v>5530</v>
      </c>
      <c r="E45" s="260">
        <f t="shared" si="4"/>
        <v>8</v>
      </c>
      <c r="F45" s="259">
        <f t="shared" si="5"/>
        <v>1.4487504527345165E-3</v>
      </c>
    </row>
    <row r="46" spans="1:6" ht="20.25" customHeight="1" x14ac:dyDescent="0.3">
      <c r="A46" s="256">
        <v>7</v>
      </c>
      <c r="B46" s="257" t="s">
        <v>445</v>
      </c>
      <c r="C46" s="260">
        <v>3571</v>
      </c>
      <c r="D46" s="260">
        <v>3501</v>
      </c>
      <c r="E46" s="260">
        <f t="shared" si="4"/>
        <v>-70</v>
      </c>
      <c r="F46" s="259">
        <f t="shared" si="5"/>
        <v>-1.9602352282273874E-2</v>
      </c>
    </row>
    <row r="47" spans="1:6" ht="20.25" customHeight="1" x14ac:dyDescent="0.3">
      <c r="A47" s="256">
        <v>8</v>
      </c>
      <c r="B47" s="257" t="s">
        <v>446</v>
      </c>
      <c r="C47" s="260">
        <v>551</v>
      </c>
      <c r="D47" s="260">
        <v>618</v>
      </c>
      <c r="E47" s="260">
        <f t="shared" si="4"/>
        <v>67</v>
      </c>
      <c r="F47" s="259">
        <f t="shared" si="5"/>
        <v>0.12159709618874773</v>
      </c>
    </row>
    <row r="48" spans="1:6" ht="20.25" customHeight="1" x14ac:dyDescent="0.3">
      <c r="A48" s="256">
        <v>9</v>
      </c>
      <c r="B48" s="257" t="s">
        <v>447</v>
      </c>
      <c r="C48" s="260">
        <v>627</v>
      </c>
      <c r="D48" s="260">
        <v>637</v>
      </c>
      <c r="E48" s="260">
        <f t="shared" si="4"/>
        <v>10</v>
      </c>
      <c r="F48" s="259">
        <f t="shared" si="5"/>
        <v>1.5948963317384369E-2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74392418</v>
      </c>
      <c r="D49" s="263">
        <f>+D40+D42</f>
        <v>78881550</v>
      </c>
      <c r="E49" s="263">
        <f t="shared" si="4"/>
        <v>4489132</v>
      </c>
      <c r="F49" s="264">
        <f t="shared" si="5"/>
        <v>6.0343945266035044E-2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23396916</v>
      </c>
      <c r="D50" s="263">
        <f>+D41+D43</f>
        <v>20488153</v>
      </c>
      <c r="E50" s="263">
        <f t="shared" si="4"/>
        <v>-2908763</v>
      </c>
      <c r="F50" s="264">
        <f t="shared" si="5"/>
        <v>-0.12432249617855619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1771472</v>
      </c>
      <c r="D66" s="258">
        <v>2531339</v>
      </c>
      <c r="E66" s="258">
        <f t="shared" ref="E66:E76" si="8">D66-C66</f>
        <v>759867</v>
      </c>
      <c r="F66" s="259">
        <f t="shared" ref="F66:F76" si="9">IF(C66=0,0,E66/C66)</f>
        <v>0.42894666130765824</v>
      </c>
    </row>
    <row r="67" spans="1:6" ht="20.25" customHeight="1" x14ac:dyDescent="0.3">
      <c r="A67" s="256">
        <v>2</v>
      </c>
      <c r="B67" s="257" t="s">
        <v>442</v>
      </c>
      <c r="C67" s="258">
        <v>1116467</v>
      </c>
      <c r="D67" s="258">
        <v>1521374</v>
      </c>
      <c r="E67" s="258">
        <f t="shared" si="8"/>
        <v>404907</v>
      </c>
      <c r="F67" s="259">
        <f t="shared" si="9"/>
        <v>0.36266813080906107</v>
      </c>
    </row>
    <row r="68" spans="1:6" ht="20.25" customHeight="1" x14ac:dyDescent="0.3">
      <c r="A68" s="256">
        <v>3</v>
      </c>
      <c r="B68" s="257" t="s">
        <v>443</v>
      </c>
      <c r="C68" s="258">
        <v>842440</v>
      </c>
      <c r="D68" s="258">
        <v>800837</v>
      </c>
      <c r="E68" s="258">
        <f t="shared" si="8"/>
        <v>-41603</v>
      </c>
      <c r="F68" s="259">
        <f t="shared" si="9"/>
        <v>-4.9383932386876217E-2</v>
      </c>
    </row>
    <row r="69" spans="1:6" ht="20.25" customHeight="1" x14ac:dyDescent="0.3">
      <c r="A69" s="256">
        <v>4</v>
      </c>
      <c r="B69" s="257" t="s">
        <v>444</v>
      </c>
      <c r="C69" s="258">
        <v>365959</v>
      </c>
      <c r="D69" s="258">
        <v>40260</v>
      </c>
      <c r="E69" s="258">
        <f t="shared" si="8"/>
        <v>-325699</v>
      </c>
      <c r="F69" s="259">
        <f t="shared" si="9"/>
        <v>-0.88998767621509511</v>
      </c>
    </row>
    <row r="70" spans="1:6" ht="20.25" customHeight="1" x14ac:dyDescent="0.3">
      <c r="A70" s="256">
        <v>5</v>
      </c>
      <c r="B70" s="257" t="s">
        <v>381</v>
      </c>
      <c r="C70" s="260">
        <v>78</v>
      </c>
      <c r="D70" s="260">
        <v>85</v>
      </c>
      <c r="E70" s="260">
        <f t="shared" si="8"/>
        <v>7</v>
      </c>
      <c r="F70" s="259">
        <f t="shared" si="9"/>
        <v>8.9743589743589744E-2</v>
      </c>
    </row>
    <row r="71" spans="1:6" ht="20.25" customHeight="1" x14ac:dyDescent="0.3">
      <c r="A71" s="256">
        <v>6</v>
      </c>
      <c r="B71" s="257" t="s">
        <v>380</v>
      </c>
      <c r="C71" s="260">
        <v>724</v>
      </c>
      <c r="D71" s="260">
        <v>501</v>
      </c>
      <c r="E71" s="260">
        <f t="shared" si="8"/>
        <v>-223</v>
      </c>
      <c r="F71" s="259">
        <f t="shared" si="9"/>
        <v>-0.30801104972375692</v>
      </c>
    </row>
    <row r="72" spans="1:6" ht="20.25" customHeight="1" x14ac:dyDescent="0.3">
      <c r="A72" s="256">
        <v>7</v>
      </c>
      <c r="B72" s="257" t="s">
        <v>445</v>
      </c>
      <c r="C72" s="260">
        <v>79</v>
      </c>
      <c r="D72" s="260">
        <v>98</v>
      </c>
      <c r="E72" s="260">
        <f t="shared" si="8"/>
        <v>19</v>
      </c>
      <c r="F72" s="259">
        <f t="shared" si="9"/>
        <v>0.24050632911392406</v>
      </c>
    </row>
    <row r="73" spans="1:6" ht="20.25" customHeight="1" x14ac:dyDescent="0.3">
      <c r="A73" s="256">
        <v>8</v>
      </c>
      <c r="B73" s="257" t="s">
        <v>446</v>
      </c>
      <c r="C73" s="260">
        <v>79</v>
      </c>
      <c r="D73" s="260">
        <v>99</v>
      </c>
      <c r="E73" s="260">
        <f t="shared" si="8"/>
        <v>20</v>
      </c>
      <c r="F73" s="259">
        <f t="shared" si="9"/>
        <v>0.25316455696202533</v>
      </c>
    </row>
    <row r="74" spans="1:6" ht="20.25" customHeight="1" x14ac:dyDescent="0.3">
      <c r="A74" s="256">
        <v>9</v>
      </c>
      <c r="B74" s="257" t="s">
        <v>447</v>
      </c>
      <c r="C74" s="260">
        <v>43</v>
      </c>
      <c r="D74" s="260">
        <v>26</v>
      </c>
      <c r="E74" s="260">
        <f t="shared" si="8"/>
        <v>-17</v>
      </c>
      <c r="F74" s="259">
        <f t="shared" si="9"/>
        <v>-0.39534883720930231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2613912</v>
      </c>
      <c r="D75" s="263">
        <f>+D66+D68</f>
        <v>3332176</v>
      </c>
      <c r="E75" s="263">
        <f t="shared" si="8"/>
        <v>718264</v>
      </c>
      <c r="F75" s="264">
        <f t="shared" si="9"/>
        <v>0.27478507310116024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1482426</v>
      </c>
      <c r="D76" s="263">
        <f>+D67+D69</f>
        <v>1561634</v>
      </c>
      <c r="E76" s="263">
        <f t="shared" si="8"/>
        <v>79208</v>
      </c>
      <c r="F76" s="264">
        <f t="shared" si="9"/>
        <v>5.3431334852464811E-2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23292189</v>
      </c>
      <c r="D105" s="258">
        <v>25859513</v>
      </c>
      <c r="E105" s="258">
        <f t="shared" ref="E105:E115" si="14">D105-C105</f>
        <v>2567324</v>
      </c>
      <c r="F105" s="259">
        <f t="shared" ref="F105:F115" si="15">IF(C105=0,0,E105/C105)</f>
        <v>0.11022252996487364</v>
      </c>
    </row>
    <row r="106" spans="1:6" ht="20.25" customHeight="1" x14ac:dyDescent="0.3">
      <c r="A106" s="256">
        <v>2</v>
      </c>
      <c r="B106" s="257" t="s">
        <v>442</v>
      </c>
      <c r="C106" s="258">
        <v>7451404</v>
      </c>
      <c r="D106" s="258">
        <v>6660196</v>
      </c>
      <c r="E106" s="258">
        <f t="shared" si="14"/>
        <v>-791208</v>
      </c>
      <c r="F106" s="259">
        <f t="shared" si="15"/>
        <v>-0.10618240535609128</v>
      </c>
    </row>
    <row r="107" spans="1:6" ht="20.25" customHeight="1" x14ac:dyDescent="0.3">
      <c r="A107" s="256">
        <v>3</v>
      </c>
      <c r="B107" s="257" t="s">
        <v>443</v>
      </c>
      <c r="C107" s="258">
        <v>15020708</v>
      </c>
      <c r="D107" s="258">
        <v>16763762</v>
      </c>
      <c r="E107" s="258">
        <f t="shared" si="14"/>
        <v>1743054</v>
      </c>
      <c r="F107" s="259">
        <f t="shared" si="15"/>
        <v>0.11604339822064313</v>
      </c>
    </row>
    <row r="108" spans="1:6" ht="20.25" customHeight="1" x14ac:dyDescent="0.3">
      <c r="A108" s="256">
        <v>4</v>
      </c>
      <c r="B108" s="257" t="s">
        <v>444</v>
      </c>
      <c r="C108" s="258">
        <v>3846254</v>
      </c>
      <c r="D108" s="258">
        <v>2433854</v>
      </c>
      <c r="E108" s="258">
        <f t="shared" si="14"/>
        <v>-1412400</v>
      </c>
      <c r="F108" s="259">
        <f t="shared" si="15"/>
        <v>-0.36721443773604134</v>
      </c>
    </row>
    <row r="109" spans="1:6" ht="20.25" customHeight="1" x14ac:dyDescent="0.3">
      <c r="A109" s="256">
        <v>5</v>
      </c>
      <c r="B109" s="257" t="s">
        <v>381</v>
      </c>
      <c r="C109" s="260">
        <v>516</v>
      </c>
      <c r="D109" s="260">
        <v>565</v>
      </c>
      <c r="E109" s="260">
        <f t="shared" si="14"/>
        <v>49</v>
      </c>
      <c r="F109" s="259">
        <f t="shared" si="15"/>
        <v>9.4961240310077522E-2</v>
      </c>
    </row>
    <row r="110" spans="1:6" ht="20.25" customHeight="1" x14ac:dyDescent="0.3">
      <c r="A110" s="256">
        <v>6</v>
      </c>
      <c r="B110" s="257" t="s">
        <v>380</v>
      </c>
      <c r="C110" s="260">
        <v>2988</v>
      </c>
      <c r="D110" s="260">
        <v>3303</v>
      </c>
      <c r="E110" s="260">
        <f t="shared" si="14"/>
        <v>315</v>
      </c>
      <c r="F110" s="259">
        <f t="shared" si="15"/>
        <v>0.10542168674698796</v>
      </c>
    </row>
    <row r="111" spans="1:6" ht="20.25" customHeight="1" x14ac:dyDescent="0.3">
      <c r="A111" s="256">
        <v>7</v>
      </c>
      <c r="B111" s="257" t="s">
        <v>445</v>
      </c>
      <c r="C111" s="260">
        <v>4463</v>
      </c>
      <c r="D111" s="260">
        <v>4506</v>
      </c>
      <c r="E111" s="260">
        <f t="shared" si="14"/>
        <v>43</v>
      </c>
      <c r="F111" s="259">
        <f t="shared" si="15"/>
        <v>9.6347748151467631E-3</v>
      </c>
    </row>
    <row r="112" spans="1:6" ht="20.25" customHeight="1" x14ac:dyDescent="0.3">
      <c r="A112" s="256">
        <v>8</v>
      </c>
      <c r="B112" s="257" t="s">
        <v>446</v>
      </c>
      <c r="C112" s="260">
        <v>1181</v>
      </c>
      <c r="D112" s="260">
        <v>1225</v>
      </c>
      <c r="E112" s="260">
        <f t="shared" si="14"/>
        <v>44</v>
      </c>
      <c r="F112" s="259">
        <f t="shared" si="15"/>
        <v>3.7256562235393732E-2</v>
      </c>
    </row>
    <row r="113" spans="1:6" ht="20.25" customHeight="1" x14ac:dyDescent="0.3">
      <c r="A113" s="256">
        <v>9</v>
      </c>
      <c r="B113" s="257" t="s">
        <v>447</v>
      </c>
      <c r="C113" s="260">
        <v>436</v>
      </c>
      <c r="D113" s="260">
        <v>493</v>
      </c>
      <c r="E113" s="260">
        <f t="shared" si="14"/>
        <v>57</v>
      </c>
      <c r="F113" s="259">
        <f t="shared" si="15"/>
        <v>0.13073394495412843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38312897</v>
      </c>
      <c r="D114" s="263">
        <f>+D105+D107</f>
        <v>42623275</v>
      </c>
      <c r="E114" s="263">
        <f t="shared" si="14"/>
        <v>4310378</v>
      </c>
      <c r="F114" s="264">
        <f t="shared" si="15"/>
        <v>0.11250462213807533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11297658</v>
      </c>
      <c r="D115" s="263">
        <f>+D106+D108</f>
        <v>9094050</v>
      </c>
      <c r="E115" s="263">
        <f t="shared" si="14"/>
        <v>-2203608</v>
      </c>
      <c r="F115" s="264">
        <f t="shared" si="15"/>
        <v>-0.19504998292566478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22393615</v>
      </c>
      <c r="D118" s="258">
        <v>29790121</v>
      </c>
      <c r="E118" s="258">
        <f t="shared" ref="E118:E128" si="16">D118-C118</f>
        <v>7396506</v>
      </c>
      <c r="F118" s="259">
        <f t="shared" ref="F118:F128" si="17">IF(C118=0,0,E118/C118)</f>
        <v>0.33029530962285453</v>
      </c>
    </row>
    <row r="119" spans="1:6" ht="20.25" customHeight="1" x14ac:dyDescent="0.3">
      <c r="A119" s="256">
        <v>2</v>
      </c>
      <c r="B119" s="257" t="s">
        <v>442</v>
      </c>
      <c r="C119" s="258">
        <v>7448446</v>
      </c>
      <c r="D119" s="258">
        <v>8580462</v>
      </c>
      <c r="E119" s="258">
        <f t="shared" si="16"/>
        <v>1132016</v>
      </c>
      <c r="F119" s="259">
        <f t="shared" si="17"/>
        <v>0.15198015800879808</v>
      </c>
    </row>
    <row r="120" spans="1:6" ht="20.25" customHeight="1" x14ac:dyDescent="0.3">
      <c r="A120" s="256">
        <v>3</v>
      </c>
      <c r="B120" s="257" t="s">
        <v>443</v>
      </c>
      <c r="C120" s="258">
        <v>12028709</v>
      </c>
      <c r="D120" s="258">
        <v>17215266</v>
      </c>
      <c r="E120" s="258">
        <f t="shared" si="16"/>
        <v>5186557</v>
      </c>
      <c r="F120" s="259">
        <f t="shared" si="17"/>
        <v>0.4311815174845447</v>
      </c>
    </row>
    <row r="121" spans="1:6" ht="20.25" customHeight="1" x14ac:dyDescent="0.3">
      <c r="A121" s="256">
        <v>4</v>
      </c>
      <c r="B121" s="257" t="s">
        <v>444</v>
      </c>
      <c r="C121" s="258">
        <v>2526216</v>
      </c>
      <c r="D121" s="258">
        <v>3673069</v>
      </c>
      <c r="E121" s="258">
        <f t="shared" si="16"/>
        <v>1146853</v>
      </c>
      <c r="F121" s="259">
        <f t="shared" si="17"/>
        <v>0.45398057806616693</v>
      </c>
    </row>
    <row r="122" spans="1:6" ht="20.25" customHeight="1" x14ac:dyDescent="0.3">
      <c r="A122" s="256">
        <v>5</v>
      </c>
      <c r="B122" s="257" t="s">
        <v>381</v>
      </c>
      <c r="C122" s="260">
        <v>514</v>
      </c>
      <c r="D122" s="260">
        <v>626</v>
      </c>
      <c r="E122" s="260">
        <f t="shared" si="16"/>
        <v>112</v>
      </c>
      <c r="F122" s="259">
        <f t="shared" si="17"/>
        <v>0.21789883268482491</v>
      </c>
    </row>
    <row r="123" spans="1:6" ht="20.25" customHeight="1" x14ac:dyDescent="0.3">
      <c r="A123" s="256">
        <v>6</v>
      </c>
      <c r="B123" s="257" t="s">
        <v>380</v>
      </c>
      <c r="C123" s="260">
        <v>2485</v>
      </c>
      <c r="D123" s="260">
        <v>3366</v>
      </c>
      <c r="E123" s="260">
        <f t="shared" si="16"/>
        <v>881</v>
      </c>
      <c r="F123" s="259">
        <f t="shared" si="17"/>
        <v>0.35452716297786718</v>
      </c>
    </row>
    <row r="124" spans="1:6" ht="20.25" customHeight="1" x14ac:dyDescent="0.3">
      <c r="A124" s="256">
        <v>7</v>
      </c>
      <c r="B124" s="257" t="s">
        <v>445</v>
      </c>
      <c r="C124" s="260">
        <v>2321</v>
      </c>
      <c r="D124" s="260">
        <v>2808</v>
      </c>
      <c r="E124" s="260">
        <f t="shared" si="16"/>
        <v>487</v>
      </c>
      <c r="F124" s="259">
        <f t="shared" si="17"/>
        <v>0.20982335200344679</v>
      </c>
    </row>
    <row r="125" spans="1:6" ht="20.25" customHeight="1" x14ac:dyDescent="0.3">
      <c r="A125" s="256">
        <v>8</v>
      </c>
      <c r="B125" s="257" t="s">
        <v>446</v>
      </c>
      <c r="C125" s="260">
        <v>512</v>
      </c>
      <c r="D125" s="260">
        <v>676</v>
      </c>
      <c r="E125" s="260">
        <f t="shared" si="16"/>
        <v>164</v>
      </c>
      <c r="F125" s="259">
        <f t="shared" si="17"/>
        <v>0.3203125</v>
      </c>
    </row>
    <row r="126" spans="1:6" ht="20.25" customHeight="1" x14ac:dyDescent="0.3">
      <c r="A126" s="256">
        <v>9</v>
      </c>
      <c r="B126" s="257" t="s">
        <v>447</v>
      </c>
      <c r="C126" s="260">
        <v>364</v>
      </c>
      <c r="D126" s="260">
        <v>454</v>
      </c>
      <c r="E126" s="260">
        <f t="shared" si="16"/>
        <v>90</v>
      </c>
      <c r="F126" s="259">
        <f t="shared" si="17"/>
        <v>0.24725274725274726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34422324</v>
      </c>
      <c r="D127" s="263">
        <f>+D118+D120</f>
        <v>47005387</v>
      </c>
      <c r="E127" s="263">
        <f t="shared" si="16"/>
        <v>12583063</v>
      </c>
      <c r="F127" s="264">
        <f t="shared" si="17"/>
        <v>0.36554949049924695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9974662</v>
      </c>
      <c r="D128" s="263">
        <f>+D119+D121</f>
        <v>12253531</v>
      </c>
      <c r="E128" s="263">
        <f t="shared" si="16"/>
        <v>2278869</v>
      </c>
      <c r="F128" s="264">
        <f t="shared" si="17"/>
        <v>0.22846578661011271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56612535</v>
      </c>
      <c r="D183" s="258">
        <v>61839085</v>
      </c>
      <c r="E183" s="258">
        <f t="shared" ref="E183:E193" si="26">D183-C183</f>
        <v>5226550</v>
      </c>
      <c r="F183" s="259">
        <f t="shared" ref="F183:F193" si="27">IF(C183=0,0,E183/C183)</f>
        <v>9.2321426694635736E-2</v>
      </c>
    </row>
    <row r="184" spans="1:6" ht="20.25" customHeight="1" x14ac:dyDescent="0.3">
      <c r="A184" s="256">
        <v>2</v>
      </c>
      <c r="B184" s="257" t="s">
        <v>442</v>
      </c>
      <c r="C184" s="258">
        <v>18460046</v>
      </c>
      <c r="D184" s="258">
        <v>17970388</v>
      </c>
      <c r="E184" s="258">
        <f t="shared" si="26"/>
        <v>-489658</v>
      </c>
      <c r="F184" s="259">
        <f t="shared" si="27"/>
        <v>-2.6525286014996929E-2</v>
      </c>
    </row>
    <row r="185" spans="1:6" ht="20.25" customHeight="1" x14ac:dyDescent="0.3">
      <c r="A185" s="256">
        <v>3</v>
      </c>
      <c r="B185" s="257" t="s">
        <v>443</v>
      </c>
      <c r="C185" s="258">
        <v>31792281</v>
      </c>
      <c r="D185" s="258">
        <v>33403446</v>
      </c>
      <c r="E185" s="258">
        <f t="shared" si="26"/>
        <v>1611165</v>
      </c>
      <c r="F185" s="259">
        <f t="shared" si="27"/>
        <v>5.0677867372900989E-2</v>
      </c>
    </row>
    <row r="186" spans="1:6" ht="20.25" customHeight="1" x14ac:dyDescent="0.3">
      <c r="A186" s="256">
        <v>4</v>
      </c>
      <c r="B186" s="257" t="s">
        <v>444</v>
      </c>
      <c r="C186" s="258">
        <v>7128318</v>
      </c>
      <c r="D186" s="258">
        <v>5859919</v>
      </c>
      <c r="E186" s="258">
        <f t="shared" si="26"/>
        <v>-1268399</v>
      </c>
      <c r="F186" s="259">
        <f t="shared" si="27"/>
        <v>-0.17793804934067195</v>
      </c>
    </row>
    <row r="187" spans="1:6" ht="20.25" customHeight="1" x14ac:dyDescent="0.3">
      <c r="A187" s="256">
        <v>5</v>
      </c>
      <c r="B187" s="257" t="s">
        <v>381</v>
      </c>
      <c r="C187" s="260">
        <v>1227</v>
      </c>
      <c r="D187" s="260">
        <v>1237</v>
      </c>
      <c r="E187" s="260">
        <f t="shared" si="26"/>
        <v>10</v>
      </c>
      <c r="F187" s="259">
        <f t="shared" si="27"/>
        <v>8.1499592502037484E-3</v>
      </c>
    </row>
    <row r="188" spans="1:6" ht="20.25" customHeight="1" x14ac:dyDescent="0.3">
      <c r="A188" s="256">
        <v>6</v>
      </c>
      <c r="B188" s="257" t="s">
        <v>380</v>
      </c>
      <c r="C188" s="260">
        <v>7010</v>
      </c>
      <c r="D188" s="260">
        <v>6957</v>
      </c>
      <c r="E188" s="260">
        <f t="shared" si="26"/>
        <v>-53</v>
      </c>
      <c r="F188" s="259">
        <f t="shared" si="27"/>
        <v>-7.5606276747503566E-3</v>
      </c>
    </row>
    <row r="189" spans="1:6" ht="20.25" customHeight="1" x14ac:dyDescent="0.3">
      <c r="A189" s="256">
        <v>7</v>
      </c>
      <c r="B189" s="257" t="s">
        <v>445</v>
      </c>
      <c r="C189" s="260">
        <v>6705</v>
      </c>
      <c r="D189" s="260">
        <v>6092</v>
      </c>
      <c r="E189" s="260">
        <f t="shared" si="26"/>
        <v>-613</v>
      </c>
      <c r="F189" s="259">
        <f t="shared" si="27"/>
        <v>-9.1424310216256521E-2</v>
      </c>
    </row>
    <row r="190" spans="1:6" ht="20.25" customHeight="1" x14ac:dyDescent="0.3">
      <c r="A190" s="256">
        <v>8</v>
      </c>
      <c r="B190" s="257" t="s">
        <v>446</v>
      </c>
      <c r="C190" s="260">
        <v>1497</v>
      </c>
      <c r="D190" s="260">
        <v>1519</v>
      </c>
      <c r="E190" s="260">
        <f t="shared" si="26"/>
        <v>22</v>
      </c>
      <c r="F190" s="259">
        <f t="shared" si="27"/>
        <v>1.4696058784235137E-2</v>
      </c>
    </row>
    <row r="191" spans="1:6" ht="20.25" customHeight="1" x14ac:dyDescent="0.3">
      <c r="A191" s="256">
        <v>9</v>
      </c>
      <c r="B191" s="257" t="s">
        <v>447</v>
      </c>
      <c r="C191" s="260">
        <v>914</v>
      </c>
      <c r="D191" s="260">
        <v>928</v>
      </c>
      <c r="E191" s="260">
        <f t="shared" si="26"/>
        <v>14</v>
      </c>
      <c r="F191" s="259">
        <f t="shared" si="27"/>
        <v>1.5317286652078774E-2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88404816</v>
      </c>
      <c r="D192" s="263">
        <f>+D183+D185</f>
        <v>95242531</v>
      </c>
      <c r="E192" s="263">
        <f t="shared" si="26"/>
        <v>6837715</v>
      </c>
      <c r="F192" s="264">
        <f t="shared" si="27"/>
        <v>7.7345503439541122E-2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25588364</v>
      </c>
      <c r="D193" s="263">
        <f>+D184+D186</f>
        <v>23830307</v>
      </c>
      <c r="E193" s="263">
        <f t="shared" si="26"/>
        <v>-1758057</v>
      </c>
      <c r="F193" s="264">
        <f t="shared" si="27"/>
        <v>-6.8705330282154808E-2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162884511</v>
      </c>
      <c r="D198" s="263">
        <f t="shared" si="28"/>
        <v>186354533</v>
      </c>
      <c r="E198" s="263">
        <f t="shared" ref="E198:E208" si="29">D198-C198</f>
        <v>23470022</v>
      </c>
      <c r="F198" s="273">
        <f t="shared" ref="F198:F208" si="30">IF(C198=0,0,E198/C198)</f>
        <v>0.1440899558583566</v>
      </c>
    </row>
    <row r="199" spans="1:9" ht="20.25" customHeight="1" x14ac:dyDescent="0.3">
      <c r="A199" s="271"/>
      <c r="B199" s="272" t="s">
        <v>466</v>
      </c>
      <c r="C199" s="263">
        <f t="shared" si="28"/>
        <v>54684038</v>
      </c>
      <c r="D199" s="263">
        <f t="shared" si="28"/>
        <v>53492336</v>
      </c>
      <c r="E199" s="263">
        <f t="shared" si="29"/>
        <v>-1191702</v>
      </c>
      <c r="F199" s="273">
        <f t="shared" si="30"/>
        <v>-2.1792501863157947E-2</v>
      </c>
    </row>
    <row r="200" spans="1:9" ht="20.25" customHeight="1" x14ac:dyDescent="0.3">
      <c r="A200" s="271"/>
      <c r="B200" s="272" t="s">
        <v>467</v>
      </c>
      <c r="C200" s="263">
        <f t="shared" si="28"/>
        <v>84739386</v>
      </c>
      <c r="D200" s="263">
        <f t="shared" si="28"/>
        <v>96979672</v>
      </c>
      <c r="E200" s="263">
        <f t="shared" si="29"/>
        <v>12240286</v>
      </c>
      <c r="F200" s="273">
        <f t="shared" si="30"/>
        <v>0.14444624368649545</v>
      </c>
    </row>
    <row r="201" spans="1:9" ht="20.25" customHeight="1" x14ac:dyDescent="0.3">
      <c r="A201" s="271"/>
      <c r="B201" s="272" t="s">
        <v>468</v>
      </c>
      <c r="C201" s="263">
        <f t="shared" si="28"/>
        <v>19901114</v>
      </c>
      <c r="D201" s="263">
        <f t="shared" si="28"/>
        <v>18069456</v>
      </c>
      <c r="E201" s="263">
        <f t="shared" si="29"/>
        <v>-1831658</v>
      </c>
      <c r="F201" s="273">
        <f t="shared" si="30"/>
        <v>-9.2037963301953851E-2</v>
      </c>
    </row>
    <row r="202" spans="1:9" ht="20.25" customHeight="1" x14ac:dyDescent="0.3">
      <c r="A202" s="271"/>
      <c r="B202" s="272" t="s">
        <v>138</v>
      </c>
      <c r="C202" s="274">
        <f t="shared" si="28"/>
        <v>3446</v>
      </c>
      <c r="D202" s="274">
        <f t="shared" si="28"/>
        <v>3749</v>
      </c>
      <c r="E202" s="274">
        <f t="shared" si="29"/>
        <v>303</v>
      </c>
      <c r="F202" s="273">
        <f t="shared" si="30"/>
        <v>8.7928032501450953E-2</v>
      </c>
    </row>
    <row r="203" spans="1:9" ht="20.25" customHeight="1" x14ac:dyDescent="0.3">
      <c r="A203" s="271"/>
      <c r="B203" s="272" t="s">
        <v>140</v>
      </c>
      <c r="C203" s="274">
        <f t="shared" si="28"/>
        <v>19462</v>
      </c>
      <c r="D203" s="274">
        <f t="shared" si="28"/>
        <v>20949</v>
      </c>
      <c r="E203" s="274">
        <f t="shared" si="29"/>
        <v>1487</v>
      </c>
      <c r="F203" s="273">
        <f t="shared" si="30"/>
        <v>7.6405302641044087E-2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17853</v>
      </c>
      <c r="D204" s="274">
        <f t="shared" si="28"/>
        <v>18141</v>
      </c>
      <c r="E204" s="274">
        <f t="shared" si="29"/>
        <v>288</v>
      </c>
      <c r="F204" s="273">
        <f t="shared" si="30"/>
        <v>1.6131742564274913E-2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3938</v>
      </c>
      <c r="D205" s="274">
        <f t="shared" si="28"/>
        <v>4429</v>
      </c>
      <c r="E205" s="274">
        <f t="shared" si="29"/>
        <v>491</v>
      </c>
      <c r="F205" s="273">
        <f t="shared" si="30"/>
        <v>0.12468257998984256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2467</v>
      </c>
      <c r="D206" s="274">
        <f t="shared" si="28"/>
        <v>2698</v>
      </c>
      <c r="E206" s="274">
        <f t="shared" si="29"/>
        <v>231</v>
      </c>
      <c r="F206" s="273">
        <f t="shared" si="30"/>
        <v>9.363599513579246E-2</v>
      </c>
    </row>
    <row r="207" spans="1:9" ht="20.25" customHeight="1" x14ac:dyDescent="0.3">
      <c r="A207" s="271"/>
      <c r="B207" s="262" t="s">
        <v>471</v>
      </c>
      <c r="C207" s="263">
        <f>+C198+C200</f>
        <v>247623897</v>
      </c>
      <c r="D207" s="263">
        <f>+D198+D200</f>
        <v>283334205</v>
      </c>
      <c r="E207" s="263">
        <f t="shared" si="29"/>
        <v>35710308</v>
      </c>
      <c r="F207" s="273">
        <f t="shared" si="30"/>
        <v>0.14421188113358865</v>
      </c>
    </row>
    <row r="208" spans="1:9" ht="20.25" customHeight="1" x14ac:dyDescent="0.3">
      <c r="A208" s="271"/>
      <c r="B208" s="262" t="s">
        <v>472</v>
      </c>
      <c r="C208" s="263">
        <f>+C199+C201</f>
        <v>74585152</v>
      </c>
      <c r="D208" s="263">
        <f>+D199+D201</f>
        <v>71561792</v>
      </c>
      <c r="E208" s="263">
        <f t="shared" si="29"/>
        <v>-3023360</v>
      </c>
      <c r="F208" s="273">
        <f t="shared" si="30"/>
        <v>-4.053568195449947E-2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93155000</v>
      </c>
      <c r="D13" s="22">
        <v>102071000</v>
      </c>
      <c r="E13" s="22">
        <f t="shared" ref="E13:E22" si="0">D13-C13</f>
        <v>8916000</v>
      </c>
      <c r="F13" s="306">
        <f t="shared" ref="F13:F22" si="1">IF(C13=0,0,E13/C13)</f>
        <v>9.57114486608341E-2</v>
      </c>
    </row>
    <row r="14" spans="1:8" ht="24" customHeight="1" x14ac:dyDescent="0.2">
      <c r="A14" s="304">
        <v>2</v>
      </c>
      <c r="B14" s="305" t="s">
        <v>17</v>
      </c>
      <c r="C14" s="22">
        <v>42241000</v>
      </c>
      <c r="D14" s="22">
        <v>33496000</v>
      </c>
      <c r="E14" s="22">
        <f t="shared" si="0"/>
        <v>-8745000</v>
      </c>
      <c r="F14" s="306">
        <f t="shared" si="1"/>
        <v>-0.20702634880803011</v>
      </c>
    </row>
    <row r="15" spans="1:8" ht="35.1" customHeight="1" x14ac:dyDescent="0.2">
      <c r="A15" s="304">
        <v>3</v>
      </c>
      <c r="B15" s="305" t="s">
        <v>18</v>
      </c>
      <c r="C15" s="22">
        <v>84904000</v>
      </c>
      <c r="D15" s="22">
        <v>77445000</v>
      </c>
      <c r="E15" s="22">
        <f t="shared" si="0"/>
        <v>-7459000</v>
      </c>
      <c r="F15" s="306">
        <f t="shared" si="1"/>
        <v>-8.785216244228776E-2</v>
      </c>
    </row>
    <row r="16" spans="1:8" ht="35.1" customHeight="1" x14ac:dyDescent="0.2">
      <c r="A16" s="304">
        <v>4</v>
      </c>
      <c r="B16" s="305" t="s">
        <v>19</v>
      </c>
      <c r="C16" s="22">
        <v>1459000</v>
      </c>
      <c r="D16" s="22">
        <v>1521000</v>
      </c>
      <c r="E16" s="22">
        <f t="shared" si="0"/>
        <v>62000</v>
      </c>
      <c r="F16" s="306">
        <f t="shared" si="1"/>
        <v>4.2494859492803287E-2</v>
      </c>
    </row>
    <row r="17" spans="1:11" ht="24" customHeight="1" x14ac:dyDescent="0.2">
      <c r="A17" s="304">
        <v>5</v>
      </c>
      <c r="B17" s="305" t="s">
        <v>20</v>
      </c>
      <c r="C17" s="22">
        <v>1346000</v>
      </c>
      <c r="D17" s="22">
        <v>3400000</v>
      </c>
      <c r="E17" s="22">
        <f t="shared" si="0"/>
        <v>2054000</v>
      </c>
      <c r="F17" s="306">
        <f t="shared" si="1"/>
        <v>1.526002971768202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8855000</v>
      </c>
      <c r="D19" s="22">
        <v>9701000</v>
      </c>
      <c r="E19" s="22">
        <f t="shared" si="0"/>
        <v>846000</v>
      </c>
      <c r="F19" s="306">
        <f t="shared" si="1"/>
        <v>9.5539243365330317E-2</v>
      </c>
    </row>
    <row r="20" spans="1:11" ht="24" customHeight="1" x14ac:dyDescent="0.2">
      <c r="A20" s="304">
        <v>8</v>
      </c>
      <c r="B20" s="305" t="s">
        <v>23</v>
      </c>
      <c r="C20" s="22">
        <v>6778000</v>
      </c>
      <c r="D20" s="22">
        <v>7851000</v>
      </c>
      <c r="E20" s="22">
        <f t="shared" si="0"/>
        <v>1073000</v>
      </c>
      <c r="F20" s="306">
        <f t="shared" si="1"/>
        <v>0.15830628503983477</v>
      </c>
    </row>
    <row r="21" spans="1:11" ht="24" customHeight="1" x14ac:dyDescent="0.2">
      <c r="A21" s="304">
        <v>9</v>
      </c>
      <c r="B21" s="305" t="s">
        <v>24</v>
      </c>
      <c r="C21" s="22">
        <v>5547000</v>
      </c>
      <c r="D21" s="22">
        <v>6745000</v>
      </c>
      <c r="E21" s="22">
        <f t="shared" si="0"/>
        <v>1198000</v>
      </c>
      <c r="F21" s="306">
        <f t="shared" si="1"/>
        <v>0.21597259780061295</v>
      </c>
    </row>
    <row r="22" spans="1:11" ht="24" customHeight="1" x14ac:dyDescent="0.25">
      <c r="A22" s="307"/>
      <c r="B22" s="308" t="s">
        <v>25</v>
      </c>
      <c r="C22" s="309">
        <f>SUM(C13:C21)</f>
        <v>244285000</v>
      </c>
      <c r="D22" s="309">
        <f>SUM(D13:D21)</f>
        <v>242230000</v>
      </c>
      <c r="E22" s="309">
        <f t="shared" si="0"/>
        <v>-2055000</v>
      </c>
      <c r="F22" s="310">
        <f t="shared" si="1"/>
        <v>-8.4123052991383011E-3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53033000</v>
      </c>
      <c r="D25" s="22">
        <v>48893000</v>
      </c>
      <c r="E25" s="22">
        <f>D25-C25</f>
        <v>-4140000</v>
      </c>
      <c r="F25" s="306">
        <f>IF(C25=0,0,E25/C25)</f>
        <v>-7.8064601285991742E-2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60751000</v>
      </c>
      <c r="D26" s="22">
        <v>64100000</v>
      </c>
      <c r="E26" s="22">
        <f>D26-C26</f>
        <v>3349000</v>
      </c>
      <c r="F26" s="306">
        <f>IF(C26=0,0,E26/C26)</f>
        <v>5.5126664581652975E-2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3784000</v>
      </c>
      <c r="D28" s="22">
        <v>4755000</v>
      </c>
      <c r="E28" s="22">
        <f>D28-C28</f>
        <v>971000</v>
      </c>
      <c r="F28" s="306">
        <f>IF(C28=0,0,E28/C28)</f>
        <v>0.25660676532769555</v>
      </c>
    </row>
    <row r="29" spans="1:11" ht="35.1" customHeight="1" x14ac:dyDescent="0.25">
      <c r="A29" s="307"/>
      <c r="B29" s="308" t="s">
        <v>32</v>
      </c>
      <c r="C29" s="309">
        <f>SUM(C25:C28)</f>
        <v>117568000</v>
      </c>
      <c r="D29" s="309">
        <f>SUM(D25:D28)</f>
        <v>117748000</v>
      </c>
      <c r="E29" s="309">
        <f>D29-C29</f>
        <v>180000</v>
      </c>
      <c r="F29" s="310">
        <f>IF(C29=0,0,E29/C29)</f>
        <v>1.5310288513881328E-3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16156000</v>
      </c>
      <c r="D32" s="22">
        <v>25097000</v>
      </c>
      <c r="E32" s="22">
        <f>D32-C32</f>
        <v>8941000</v>
      </c>
      <c r="F32" s="306">
        <f>IF(C32=0,0,E32/C32)</f>
        <v>0.55341668729883631</v>
      </c>
    </row>
    <row r="33" spans="1:8" ht="24" customHeight="1" x14ac:dyDescent="0.2">
      <c r="A33" s="304">
        <v>7</v>
      </c>
      <c r="B33" s="305" t="s">
        <v>35</v>
      </c>
      <c r="C33" s="22">
        <v>22987000</v>
      </c>
      <c r="D33" s="22">
        <v>15864000</v>
      </c>
      <c r="E33" s="22">
        <f>D33-C33</f>
        <v>-7123000</v>
      </c>
      <c r="F33" s="306">
        <f>IF(C33=0,0,E33/C33)</f>
        <v>-0.3098707965371732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878962000</v>
      </c>
      <c r="D36" s="22">
        <v>912915000</v>
      </c>
      <c r="E36" s="22">
        <f>D36-C36</f>
        <v>33953000</v>
      </c>
      <c r="F36" s="306">
        <f>IF(C36=0,0,E36/C36)</f>
        <v>3.8628518639031037E-2</v>
      </c>
    </row>
    <row r="37" spans="1:8" ht="24" customHeight="1" x14ac:dyDescent="0.2">
      <c r="A37" s="304">
        <v>2</v>
      </c>
      <c r="B37" s="305" t="s">
        <v>39</v>
      </c>
      <c r="C37" s="22">
        <v>416786000</v>
      </c>
      <c r="D37" s="22">
        <v>454078000</v>
      </c>
      <c r="E37" s="22">
        <f>D37-C37</f>
        <v>37292000</v>
      </c>
      <c r="F37" s="22">
        <f>IF(C37=0,0,E37/C37)</f>
        <v>8.9475174310077593E-2</v>
      </c>
    </row>
    <row r="38" spans="1:8" ht="24" customHeight="1" x14ac:dyDescent="0.25">
      <c r="A38" s="307"/>
      <c r="B38" s="308" t="s">
        <v>40</v>
      </c>
      <c r="C38" s="309">
        <f>C36-C37</f>
        <v>462176000</v>
      </c>
      <c r="D38" s="309">
        <f>D36-D37</f>
        <v>458837000</v>
      </c>
      <c r="E38" s="309">
        <f>D38-C38</f>
        <v>-3339000</v>
      </c>
      <c r="F38" s="310">
        <f>IF(C38=0,0,E38/C38)</f>
        <v>-7.2245205289759749E-3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13587000</v>
      </c>
      <c r="D40" s="22">
        <v>8411000</v>
      </c>
      <c r="E40" s="22">
        <f>D40-C40</f>
        <v>-5176000</v>
      </c>
      <c r="F40" s="306">
        <f>IF(C40=0,0,E40/C40)</f>
        <v>-0.38095238095238093</v>
      </c>
    </row>
    <row r="41" spans="1:8" ht="24" customHeight="1" x14ac:dyDescent="0.25">
      <c r="A41" s="307"/>
      <c r="B41" s="308" t="s">
        <v>42</v>
      </c>
      <c r="C41" s="309">
        <f>+C38+C40</f>
        <v>475763000</v>
      </c>
      <c r="D41" s="309">
        <f>+D38+D40</f>
        <v>467248000</v>
      </c>
      <c r="E41" s="309">
        <f>D41-C41</f>
        <v>-8515000</v>
      </c>
      <c r="F41" s="310">
        <f>IF(C41=0,0,E41/C41)</f>
        <v>-1.7897566645577734E-2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876759000</v>
      </c>
      <c r="D43" s="309">
        <f>D22+D29+D31+D32+D33+D41</f>
        <v>868187000</v>
      </c>
      <c r="E43" s="309">
        <f>D43-C43</f>
        <v>-8572000</v>
      </c>
      <c r="F43" s="310">
        <f>IF(C43=0,0,E43/C43)</f>
        <v>-9.7769170319323782E-3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37210000</v>
      </c>
      <c r="D49" s="22">
        <v>41686000</v>
      </c>
      <c r="E49" s="22">
        <f t="shared" ref="E49:E56" si="2">D49-C49</f>
        <v>4476000</v>
      </c>
      <c r="F49" s="306">
        <f t="shared" ref="F49:F56" si="3">IF(C49=0,0,E49/C49)</f>
        <v>0.12029024455791454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49723000</v>
      </c>
      <c r="D50" s="22">
        <v>51151000</v>
      </c>
      <c r="E50" s="22">
        <f t="shared" si="2"/>
        <v>1428000</v>
      </c>
      <c r="F50" s="306">
        <f t="shared" si="3"/>
        <v>2.871910383524727E-2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15780000</v>
      </c>
      <c r="D51" s="22">
        <v>13630000</v>
      </c>
      <c r="E51" s="22">
        <f t="shared" si="2"/>
        <v>-2150000</v>
      </c>
      <c r="F51" s="306">
        <f t="shared" si="3"/>
        <v>-0.13624841571609633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8760000</v>
      </c>
      <c r="D53" s="22">
        <v>7298000</v>
      </c>
      <c r="E53" s="22">
        <f t="shared" si="2"/>
        <v>-1462000</v>
      </c>
      <c r="F53" s="306">
        <f t="shared" si="3"/>
        <v>-0.16689497716894977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7455000</v>
      </c>
      <c r="D55" s="22">
        <v>8658000</v>
      </c>
      <c r="E55" s="22">
        <f t="shared" si="2"/>
        <v>1203000</v>
      </c>
      <c r="F55" s="306">
        <f t="shared" si="3"/>
        <v>0.16136820925553319</v>
      </c>
    </row>
    <row r="56" spans="1:6" ht="24" customHeight="1" x14ac:dyDescent="0.25">
      <c r="A56" s="307"/>
      <c r="B56" s="308" t="s">
        <v>54</v>
      </c>
      <c r="C56" s="309">
        <f>SUM(C49:C55)</f>
        <v>118928000</v>
      </c>
      <c r="D56" s="309">
        <f>SUM(D49:D55)</f>
        <v>122423000</v>
      </c>
      <c r="E56" s="309">
        <f t="shared" si="2"/>
        <v>3495000</v>
      </c>
      <c r="F56" s="310">
        <f t="shared" si="3"/>
        <v>2.9387528588725953E-2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251476000</v>
      </c>
      <c r="D59" s="22">
        <v>244154000</v>
      </c>
      <c r="E59" s="22">
        <f>D59-C59</f>
        <v>-7322000</v>
      </c>
      <c r="F59" s="306">
        <f>IF(C59=0,0,E59/C59)</f>
        <v>-2.9116098554136379E-2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251476000</v>
      </c>
      <c r="D61" s="309">
        <f>SUM(D59:D60)</f>
        <v>244154000</v>
      </c>
      <c r="E61" s="309">
        <f>D61-C61</f>
        <v>-7322000</v>
      </c>
      <c r="F61" s="310">
        <f>IF(C61=0,0,E61/C61)</f>
        <v>-2.9116098554136379E-2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285634000</v>
      </c>
      <c r="D63" s="22">
        <v>320956000</v>
      </c>
      <c r="E63" s="22">
        <f>D63-C63</f>
        <v>35322000</v>
      </c>
      <c r="F63" s="306">
        <f>IF(C63=0,0,E63/C63)</f>
        <v>0.12366174895145536</v>
      </c>
    </row>
    <row r="64" spans="1:6" ht="24" customHeight="1" x14ac:dyDescent="0.2">
      <c r="A64" s="304">
        <v>4</v>
      </c>
      <c r="B64" s="305" t="s">
        <v>60</v>
      </c>
      <c r="C64" s="22">
        <v>0</v>
      </c>
      <c r="D64" s="22">
        <v>0</v>
      </c>
      <c r="E64" s="22">
        <f>D64-C64</f>
        <v>0</v>
      </c>
      <c r="F64" s="306">
        <f>IF(C64=0,0,E64/C64)</f>
        <v>0</v>
      </c>
    </row>
    <row r="65" spans="1:6" ht="24" customHeight="1" x14ac:dyDescent="0.25">
      <c r="A65" s="307"/>
      <c r="B65" s="308" t="s">
        <v>61</v>
      </c>
      <c r="C65" s="309">
        <f>SUM(C61:C64)</f>
        <v>537110000</v>
      </c>
      <c r="D65" s="309">
        <f>SUM(D61:D64)</f>
        <v>565110000</v>
      </c>
      <c r="E65" s="309">
        <f>D65-C65</f>
        <v>28000000</v>
      </c>
      <c r="F65" s="310">
        <f>IF(C65=0,0,E65/C65)</f>
        <v>5.2130848429558188E-2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137311000</v>
      </c>
      <c r="D70" s="22">
        <v>101295000</v>
      </c>
      <c r="E70" s="22">
        <f>D70-C70</f>
        <v>-36016000</v>
      </c>
      <c r="F70" s="306">
        <f>IF(C70=0,0,E70/C70)</f>
        <v>-0.26229508196721313</v>
      </c>
    </row>
    <row r="71" spans="1:6" ht="24" customHeight="1" x14ac:dyDescent="0.2">
      <c r="A71" s="304">
        <v>2</v>
      </c>
      <c r="B71" s="305" t="s">
        <v>65</v>
      </c>
      <c r="C71" s="22">
        <v>26091000</v>
      </c>
      <c r="D71" s="22">
        <v>26180000</v>
      </c>
      <c r="E71" s="22">
        <f>D71-C71</f>
        <v>89000</v>
      </c>
      <c r="F71" s="306">
        <f>IF(C71=0,0,E71/C71)</f>
        <v>3.4111379402859223E-3</v>
      </c>
    </row>
    <row r="72" spans="1:6" ht="24" customHeight="1" x14ac:dyDescent="0.2">
      <c r="A72" s="304">
        <v>3</v>
      </c>
      <c r="B72" s="305" t="s">
        <v>66</v>
      </c>
      <c r="C72" s="22">
        <v>57319000</v>
      </c>
      <c r="D72" s="22">
        <v>53179000</v>
      </c>
      <c r="E72" s="22">
        <f>D72-C72</f>
        <v>-4140000</v>
      </c>
      <c r="F72" s="306">
        <f>IF(C72=0,0,E72/C72)</f>
        <v>-7.2227359165372734E-2</v>
      </c>
    </row>
    <row r="73" spans="1:6" ht="24" customHeight="1" x14ac:dyDescent="0.25">
      <c r="A73" s="304"/>
      <c r="B73" s="308" t="s">
        <v>67</v>
      </c>
      <c r="C73" s="309">
        <f>SUM(C70:C72)</f>
        <v>220721000</v>
      </c>
      <c r="D73" s="309">
        <f>SUM(D70:D72)</f>
        <v>180654000</v>
      </c>
      <c r="E73" s="309">
        <f>D73-C73</f>
        <v>-40067000</v>
      </c>
      <c r="F73" s="310">
        <f>IF(C73=0,0,E73/C73)</f>
        <v>-0.18152781112807573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876759000</v>
      </c>
      <c r="D75" s="309">
        <f>D56+D65+D67+D73</f>
        <v>868187000</v>
      </c>
      <c r="E75" s="309">
        <f>D75-C75</f>
        <v>-8572000</v>
      </c>
      <c r="F75" s="310">
        <f>IF(C75=0,0,E75/C75)</f>
        <v>-9.7769170319323782E-3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FILING&amp;RTRINITY HEALTH - NEW ENGLAND, INC. (FORMERLY SAINT FRANCIS CARE, INC.)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2287499000</v>
      </c>
      <c r="D11" s="76">
        <v>2433798000</v>
      </c>
      <c r="E11" s="76">
        <f t="shared" ref="E11:E20" si="0">D11-C11</f>
        <v>146299000</v>
      </c>
      <c r="F11" s="77">
        <f t="shared" ref="F11:F20" si="1">IF(C11=0,0,E11/C11)</f>
        <v>6.3955874953387962E-2</v>
      </c>
    </row>
    <row r="12" spans="1:7" ht="23.1" customHeight="1" x14ac:dyDescent="0.2">
      <c r="A12" s="74">
        <v>2</v>
      </c>
      <c r="B12" s="75" t="s">
        <v>72</v>
      </c>
      <c r="C12" s="76">
        <v>1485018000</v>
      </c>
      <c r="D12" s="76">
        <v>1621115000</v>
      </c>
      <c r="E12" s="76">
        <f t="shared" si="0"/>
        <v>136097000</v>
      </c>
      <c r="F12" s="77">
        <f t="shared" si="1"/>
        <v>9.1646700578713519E-2</v>
      </c>
    </row>
    <row r="13" spans="1:7" ht="23.1" customHeight="1" x14ac:dyDescent="0.2">
      <c r="A13" s="74">
        <v>3</v>
      </c>
      <c r="B13" s="75" t="s">
        <v>73</v>
      </c>
      <c r="C13" s="76">
        <v>19154000</v>
      </c>
      <c r="D13" s="76">
        <v>14331000</v>
      </c>
      <c r="E13" s="76">
        <f t="shared" si="0"/>
        <v>-4823000</v>
      </c>
      <c r="F13" s="77">
        <f t="shared" si="1"/>
        <v>-0.2518011903518847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783327000</v>
      </c>
      <c r="D15" s="79">
        <f>D11-D12-D13-D14</f>
        <v>798352000</v>
      </c>
      <c r="E15" s="79">
        <f t="shared" si="0"/>
        <v>15025000</v>
      </c>
      <c r="F15" s="80">
        <f t="shared" si="1"/>
        <v>1.9181006144304995E-2</v>
      </c>
    </row>
    <row r="16" spans="1:7" ht="23.1" customHeight="1" x14ac:dyDescent="0.2">
      <c r="A16" s="74">
        <v>5</v>
      </c>
      <c r="B16" s="75" t="s">
        <v>76</v>
      </c>
      <c r="C16" s="76">
        <v>26546000</v>
      </c>
      <c r="D16" s="76">
        <v>25600000</v>
      </c>
      <c r="E16" s="76">
        <f t="shared" si="0"/>
        <v>-946000</v>
      </c>
      <c r="F16" s="77">
        <f t="shared" si="1"/>
        <v>-3.5636254049574323E-2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756781000</v>
      </c>
      <c r="D17" s="79">
        <f>D15-D16</f>
        <v>772752000</v>
      </c>
      <c r="E17" s="79">
        <f t="shared" si="0"/>
        <v>15971000</v>
      </c>
      <c r="F17" s="80">
        <f t="shared" si="1"/>
        <v>2.1103859637068054E-2</v>
      </c>
    </row>
    <row r="18" spans="1:7" ht="23.1" customHeight="1" x14ac:dyDescent="0.2">
      <c r="A18" s="74">
        <v>6</v>
      </c>
      <c r="B18" s="75" t="s">
        <v>78</v>
      </c>
      <c r="C18" s="76">
        <v>38797000</v>
      </c>
      <c r="D18" s="76">
        <v>38303000</v>
      </c>
      <c r="E18" s="76">
        <f t="shared" si="0"/>
        <v>-494000</v>
      </c>
      <c r="F18" s="77">
        <f t="shared" si="1"/>
        <v>-1.2732943268809443E-2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9644000</v>
      </c>
      <c r="D19" s="76">
        <v>10911000</v>
      </c>
      <c r="E19" s="76">
        <f t="shared" si="0"/>
        <v>1267000</v>
      </c>
      <c r="F19" s="77">
        <f t="shared" si="1"/>
        <v>0.13137702198257983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805222000</v>
      </c>
      <c r="D20" s="79">
        <f>SUM(D17:D19)</f>
        <v>821966000</v>
      </c>
      <c r="E20" s="79">
        <f t="shared" si="0"/>
        <v>16744000</v>
      </c>
      <c r="F20" s="80">
        <f t="shared" si="1"/>
        <v>2.0794265432390074E-2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363599000</v>
      </c>
      <c r="D23" s="76">
        <v>378595000</v>
      </c>
      <c r="E23" s="76">
        <f t="shared" ref="E23:E32" si="2">D23-C23</f>
        <v>14996000</v>
      </c>
      <c r="F23" s="77">
        <f t="shared" ref="F23:F32" si="3">IF(C23=0,0,E23/C23)</f>
        <v>4.124323774267806E-2</v>
      </c>
    </row>
    <row r="24" spans="1:7" ht="23.1" customHeight="1" x14ac:dyDescent="0.2">
      <c r="A24" s="74">
        <v>2</v>
      </c>
      <c r="B24" s="75" t="s">
        <v>83</v>
      </c>
      <c r="C24" s="76">
        <v>86707000</v>
      </c>
      <c r="D24" s="76">
        <v>86980000</v>
      </c>
      <c r="E24" s="76">
        <f t="shared" si="2"/>
        <v>273000</v>
      </c>
      <c r="F24" s="77">
        <f t="shared" si="3"/>
        <v>3.1485347203801307E-3</v>
      </c>
    </row>
    <row r="25" spans="1:7" ht="23.1" customHeight="1" x14ac:dyDescent="0.2">
      <c r="A25" s="74">
        <v>3</v>
      </c>
      <c r="B25" s="75" t="s">
        <v>84</v>
      </c>
      <c r="C25" s="76">
        <v>25149000</v>
      </c>
      <c r="D25" s="76">
        <v>24836000</v>
      </c>
      <c r="E25" s="76">
        <f t="shared" si="2"/>
        <v>-313000</v>
      </c>
      <c r="F25" s="77">
        <f t="shared" si="3"/>
        <v>-1.2445822895542566E-2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120366000</v>
      </c>
      <c r="D26" s="76">
        <v>119805000</v>
      </c>
      <c r="E26" s="76">
        <f t="shared" si="2"/>
        <v>-561000</v>
      </c>
      <c r="F26" s="77">
        <f t="shared" si="3"/>
        <v>-4.6607846069488057E-3</v>
      </c>
    </row>
    <row r="27" spans="1:7" ht="23.1" customHeight="1" x14ac:dyDescent="0.2">
      <c r="A27" s="74">
        <v>5</v>
      </c>
      <c r="B27" s="75" t="s">
        <v>86</v>
      </c>
      <c r="C27" s="76">
        <v>37887000</v>
      </c>
      <c r="D27" s="76">
        <v>39696000</v>
      </c>
      <c r="E27" s="76">
        <f t="shared" si="2"/>
        <v>1809000</v>
      </c>
      <c r="F27" s="77">
        <f t="shared" si="3"/>
        <v>4.7747248396547627E-2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11620000</v>
      </c>
      <c r="D29" s="76">
        <v>11152000</v>
      </c>
      <c r="E29" s="76">
        <f t="shared" si="2"/>
        <v>-468000</v>
      </c>
      <c r="F29" s="77">
        <f t="shared" si="3"/>
        <v>-4.0275387263339069E-2</v>
      </c>
    </row>
    <row r="30" spans="1:7" ht="23.1" customHeight="1" x14ac:dyDescent="0.2">
      <c r="A30" s="74">
        <v>8</v>
      </c>
      <c r="B30" s="75" t="s">
        <v>89</v>
      </c>
      <c r="C30" s="76">
        <v>9863000</v>
      </c>
      <c r="D30" s="76">
        <v>6887000</v>
      </c>
      <c r="E30" s="76">
        <f t="shared" si="2"/>
        <v>-2976000</v>
      </c>
      <c r="F30" s="77">
        <f t="shared" si="3"/>
        <v>-0.30173375240798944</v>
      </c>
    </row>
    <row r="31" spans="1:7" ht="23.1" customHeight="1" x14ac:dyDescent="0.2">
      <c r="A31" s="74">
        <v>9</v>
      </c>
      <c r="B31" s="75" t="s">
        <v>90</v>
      </c>
      <c r="C31" s="76">
        <v>138508000</v>
      </c>
      <c r="D31" s="76">
        <v>148043000</v>
      </c>
      <c r="E31" s="76">
        <f t="shared" si="2"/>
        <v>9535000</v>
      </c>
      <c r="F31" s="77">
        <f t="shared" si="3"/>
        <v>6.884078897969792E-2</v>
      </c>
    </row>
    <row r="32" spans="1:7" ht="23.1" customHeight="1" x14ac:dyDescent="0.25">
      <c r="A32" s="71"/>
      <c r="B32" s="78" t="s">
        <v>91</v>
      </c>
      <c r="C32" s="79">
        <f>SUM(C23:C31)</f>
        <v>793699000</v>
      </c>
      <c r="D32" s="79">
        <f>SUM(D23:D31)</f>
        <v>815994000</v>
      </c>
      <c r="E32" s="79">
        <f t="shared" si="2"/>
        <v>22295000</v>
      </c>
      <c r="F32" s="80">
        <f t="shared" si="3"/>
        <v>2.8089993813775752E-2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11523000</v>
      </c>
      <c r="D34" s="79">
        <f>+D20-D32</f>
        <v>5972000</v>
      </c>
      <c r="E34" s="79">
        <f>D34-C34</f>
        <v>-5551000</v>
      </c>
      <c r="F34" s="80">
        <f>IF(C34=0,0,E34/C34)</f>
        <v>-0.48173218779831639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3625000</v>
      </c>
      <c r="D37" s="76">
        <v>-2530000</v>
      </c>
      <c r="E37" s="76">
        <f>D37-C37</f>
        <v>-6155000</v>
      </c>
      <c r="F37" s="77">
        <f>IF(C37=0,0,E37/C37)</f>
        <v>-1.6979310344827587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-2424000</v>
      </c>
      <c r="D39" s="76">
        <v>-17533000</v>
      </c>
      <c r="E39" s="76">
        <f>D39-C39</f>
        <v>-15109000</v>
      </c>
      <c r="F39" s="77">
        <f>IF(C39=0,0,E39/C39)</f>
        <v>6.2330858085808583</v>
      </c>
    </row>
    <row r="40" spans="1:6" ht="23.1" customHeight="1" x14ac:dyDescent="0.25">
      <c r="A40" s="83"/>
      <c r="B40" s="78" t="s">
        <v>97</v>
      </c>
      <c r="C40" s="79">
        <f>SUM(C37:C39)</f>
        <v>1201000</v>
      </c>
      <c r="D40" s="79">
        <f>SUM(D37:D39)</f>
        <v>-20063000</v>
      </c>
      <c r="E40" s="79">
        <f>D40-C40</f>
        <v>-21264000</v>
      </c>
      <c r="F40" s="80">
        <f>IF(C40=0,0,E40/C40)</f>
        <v>-17.705245628642796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12724000</v>
      </c>
      <c r="D42" s="79">
        <f>D34+D40</f>
        <v>-14091000</v>
      </c>
      <c r="E42" s="79">
        <f>D42-C42</f>
        <v>-26815000</v>
      </c>
      <c r="F42" s="80">
        <f>IF(C42=0,0,E42/C42)</f>
        <v>-2.1074347689405846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12724000</v>
      </c>
      <c r="D49" s="79">
        <f>D42+D47</f>
        <v>-14091000</v>
      </c>
      <c r="E49" s="79">
        <f>D49-C49</f>
        <v>-26815000</v>
      </c>
      <c r="F49" s="80">
        <f>IF(C49=0,0,E49/C49)</f>
        <v>-2.1074347689405846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FILING&amp;R&amp;8TRINITY HEALTH - NEW ENGLAND, INC. (FORMERLY SAINT FRANCIS CARE, INC.)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2016-07-21T17:22:18Z</cp:lastPrinted>
  <dcterms:created xsi:type="dcterms:W3CDTF">2016-07-21T17:12:59Z</dcterms:created>
  <dcterms:modified xsi:type="dcterms:W3CDTF">2016-07-27T14:56:54Z</dcterms:modified>
</cp:coreProperties>
</file>