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102" i="22" l="1"/>
  <c r="C102" i="22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E103" i="22"/>
  <c r="D83" i="22"/>
  <c r="D102" i="22"/>
  <c r="C83" i="22"/>
  <c r="C101" i="22"/>
  <c r="C103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6" i="22"/>
  <c r="E34" i="22"/>
  <c r="C34" i="22"/>
  <c r="E30" i="22"/>
  <c r="E28" i="22"/>
  <c r="D28" i="22"/>
  <c r="C28" i="22"/>
  <c r="E27" i="22"/>
  <c r="D27" i="22"/>
  <c r="C27" i="22"/>
  <c r="E23" i="22"/>
  <c r="C23" i="22"/>
  <c r="C36" i="22"/>
  <c r="E21" i="22"/>
  <c r="D21" i="22"/>
  <c r="C21" i="22"/>
  <c r="E12" i="22"/>
  <c r="E33" i="22"/>
  <c r="D12" i="22"/>
  <c r="D33" i="22"/>
  <c r="C12" i="22"/>
  <c r="C33" i="22"/>
  <c r="D21" i="21"/>
  <c r="C21" i="21"/>
  <c r="D19" i="21"/>
  <c r="C19" i="21"/>
  <c r="E17" i="21"/>
  <c r="F17" i="21"/>
  <c r="E15" i="21"/>
  <c r="F15" i="21"/>
  <c r="D45" i="20"/>
  <c r="C45" i="20"/>
  <c r="D44" i="20"/>
  <c r="C44" i="20"/>
  <c r="D43" i="20"/>
  <c r="D46" i="20"/>
  <c r="C43" i="20"/>
  <c r="D36" i="20"/>
  <c r="D40" i="20"/>
  <c r="C36" i="20"/>
  <c r="E35" i="20"/>
  <c r="F35" i="20"/>
  <c r="E34" i="20"/>
  <c r="F34" i="20"/>
  <c r="E33" i="20"/>
  <c r="F33" i="20"/>
  <c r="E30" i="20"/>
  <c r="F30" i="20"/>
  <c r="E29" i="20"/>
  <c r="F29" i="20"/>
  <c r="E28" i="20"/>
  <c r="F28" i="20"/>
  <c r="E27" i="20"/>
  <c r="F27" i="20"/>
  <c r="D25" i="20"/>
  <c r="D39" i="20"/>
  <c r="C25" i="20"/>
  <c r="E24" i="20"/>
  <c r="F24" i="20"/>
  <c r="E23" i="20"/>
  <c r="F23" i="20"/>
  <c r="E22" i="20"/>
  <c r="F22" i="20"/>
  <c r="D19" i="20"/>
  <c r="D20" i="20"/>
  <c r="C19" i="20"/>
  <c r="E18" i="20"/>
  <c r="F18" i="20"/>
  <c r="D16" i="20"/>
  <c r="C16" i="20"/>
  <c r="E15" i="20"/>
  <c r="F15" i="20"/>
  <c r="E13" i="20"/>
  <c r="F13" i="20"/>
  <c r="E12" i="20"/>
  <c r="F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3" i="19"/>
  <c r="C59" i="19"/>
  <c r="C60" i="19"/>
  <c r="C48" i="19"/>
  <c r="C64" i="19"/>
  <c r="C36" i="19"/>
  <c r="C32" i="19"/>
  <c r="C33" i="19"/>
  <c r="C21" i="19"/>
  <c r="C37" i="19"/>
  <c r="E328" i="18"/>
  <c r="E325" i="18"/>
  <c r="D324" i="18"/>
  <c r="D326" i="18"/>
  <c r="D330" i="18"/>
  <c r="C324" i="18"/>
  <c r="C326" i="18"/>
  <c r="C330" i="18"/>
  <c r="E330" i="18"/>
  <c r="E318" i="18"/>
  <c r="E315" i="18"/>
  <c r="D314" i="18"/>
  <c r="E314" i="18"/>
  <c r="C314" i="18"/>
  <c r="C316" i="18"/>
  <c r="C320" i="18"/>
  <c r="E308" i="18"/>
  <c r="E305" i="18"/>
  <c r="D301" i="18"/>
  <c r="C301" i="18"/>
  <c r="C303" i="18"/>
  <c r="C306" i="18"/>
  <c r="C310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E265" i="18"/>
  <c r="C265" i="18"/>
  <c r="C302" i="18"/>
  <c r="D262" i="18"/>
  <c r="C262" i="18"/>
  <c r="E262" i="18"/>
  <c r="D261" i="18"/>
  <c r="C260" i="18"/>
  <c r="D251" i="18"/>
  <c r="C251" i="18"/>
  <c r="D233" i="18"/>
  <c r="C233" i="18"/>
  <c r="E233" i="18"/>
  <c r="D232" i="18"/>
  <c r="E232" i="18"/>
  <c r="C232" i="18"/>
  <c r="D231" i="18"/>
  <c r="C231" i="18"/>
  <c r="D230" i="18"/>
  <c r="E230" i="18"/>
  <c r="C230" i="18"/>
  <c r="D228" i="18"/>
  <c r="E228" i="18"/>
  <c r="C228" i="18"/>
  <c r="D227" i="18"/>
  <c r="C227" i="18"/>
  <c r="E227" i="18"/>
  <c r="D221" i="18"/>
  <c r="E221" i="18"/>
  <c r="C221" i="18"/>
  <c r="C245" i="18"/>
  <c r="D220" i="18"/>
  <c r="D244" i="18"/>
  <c r="C220" i="18"/>
  <c r="E220" i="18"/>
  <c r="D219" i="18"/>
  <c r="E219" i="18"/>
  <c r="C219" i="18"/>
  <c r="C243" i="18"/>
  <c r="D218" i="18"/>
  <c r="D242" i="18"/>
  <c r="C218" i="18"/>
  <c r="C217" i="18"/>
  <c r="D217" i="18"/>
  <c r="E217" i="18"/>
  <c r="D216" i="18"/>
  <c r="D240" i="18"/>
  <c r="E240" i="18"/>
  <c r="C216" i="18"/>
  <c r="C240" i="18"/>
  <c r="D215" i="18"/>
  <c r="E215" i="18"/>
  <c r="C215" i="18"/>
  <c r="C239" i="18"/>
  <c r="D210" i="18"/>
  <c r="E209" i="18"/>
  <c r="E208" i="18"/>
  <c r="E207" i="18"/>
  <c r="E206" i="18"/>
  <c r="D205" i="18"/>
  <c r="D229" i="18"/>
  <c r="C205" i="18"/>
  <c r="C210" i="18"/>
  <c r="E204" i="18"/>
  <c r="E203" i="18"/>
  <c r="E197" i="18"/>
  <c r="E196" i="18"/>
  <c r="D195" i="18"/>
  <c r="C195" i="18"/>
  <c r="E194" i="18"/>
  <c r="E193" i="18"/>
  <c r="E192" i="18"/>
  <c r="E191" i="18"/>
  <c r="E190" i="18"/>
  <c r="D189" i="18"/>
  <c r="D188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C70" i="18"/>
  <c r="C76" i="18"/>
  <c r="D69" i="18"/>
  <c r="C69" i="18"/>
  <c r="E69" i="18"/>
  <c r="C65" i="18"/>
  <c r="C66" i="18"/>
  <c r="E64" i="18"/>
  <c r="E63" i="18"/>
  <c r="E62" i="18"/>
  <c r="E61" i="18"/>
  <c r="D60" i="18"/>
  <c r="D289" i="18"/>
  <c r="E289" i="18"/>
  <c r="C60" i="18"/>
  <c r="C289" i="18"/>
  <c r="E59" i="18"/>
  <c r="E58" i="18"/>
  <c r="C55" i="18"/>
  <c r="D54" i="18"/>
  <c r="D55" i="18"/>
  <c r="E55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C37" i="18"/>
  <c r="C43" i="18"/>
  <c r="C259" i="18"/>
  <c r="D36" i="18"/>
  <c r="D44" i="18"/>
  <c r="C36" i="18"/>
  <c r="C44" i="18"/>
  <c r="C33" i="18"/>
  <c r="D32" i="18"/>
  <c r="D33" i="18"/>
  <c r="C32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E335" i="17"/>
  <c r="F335" i="17"/>
  <c r="E334" i="17"/>
  <c r="F334" i="17"/>
  <c r="E333" i="17"/>
  <c r="F333" i="17"/>
  <c r="E332" i="17"/>
  <c r="F332" i="17"/>
  <c r="E331" i="17"/>
  <c r="F331" i="17"/>
  <c r="E330" i="17"/>
  <c r="F330" i="17"/>
  <c r="E329" i="17"/>
  <c r="F329" i="17"/>
  <c r="F316" i="17"/>
  <c r="E316" i="17"/>
  <c r="D311" i="17"/>
  <c r="C311" i="17"/>
  <c r="F311" i="17"/>
  <c r="E308" i="17"/>
  <c r="F308" i="17"/>
  <c r="D307" i="17"/>
  <c r="C307" i="17"/>
  <c r="D299" i="17"/>
  <c r="E299" i="17"/>
  <c r="F299" i="17"/>
  <c r="C299" i="17"/>
  <c r="F298" i="17"/>
  <c r="D298" i="17"/>
  <c r="E298" i="17"/>
  <c r="C298" i="17"/>
  <c r="D297" i="17"/>
  <c r="E297" i="17"/>
  <c r="F297" i="17"/>
  <c r="C297" i="17"/>
  <c r="D296" i="17"/>
  <c r="E296" i="17"/>
  <c r="F296" i="17"/>
  <c r="C296" i="17"/>
  <c r="D295" i="17"/>
  <c r="E295" i="17"/>
  <c r="F295" i="17"/>
  <c r="C295" i="17"/>
  <c r="D294" i="17"/>
  <c r="E294" i="17"/>
  <c r="F294" i="17"/>
  <c r="C294" i="17"/>
  <c r="D250" i="17"/>
  <c r="D306" i="17"/>
  <c r="C250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C226" i="17"/>
  <c r="E225" i="17"/>
  <c r="F225" i="17"/>
  <c r="E224" i="17"/>
  <c r="F224" i="17"/>
  <c r="D223" i="17"/>
  <c r="C223" i="17"/>
  <c r="E222" i="17"/>
  <c r="F222" i="17"/>
  <c r="E221" i="17"/>
  <c r="F221" i="17"/>
  <c r="D204" i="17"/>
  <c r="D285" i="17"/>
  <c r="C204" i="17"/>
  <c r="D203" i="17"/>
  <c r="D283" i="17"/>
  <c r="C203" i="17"/>
  <c r="D198" i="17"/>
  <c r="D290" i="17"/>
  <c r="C198" i="17"/>
  <c r="D191" i="17"/>
  <c r="D280" i="17"/>
  <c r="C191" i="17"/>
  <c r="D189" i="17"/>
  <c r="D278" i="17"/>
  <c r="C189" i="17"/>
  <c r="D188" i="17"/>
  <c r="D277" i="17"/>
  <c r="C188" i="17"/>
  <c r="D180" i="17"/>
  <c r="C180" i="17"/>
  <c r="F180" i="17"/>
  <c r="D179" i="17"/>
  <c r="D181" i="17"/>
  <c r="C179" i="17"/>
  <c r="F179" i="17"/>
  <c r="D171" i="17"/>
  <c r="D172" i="17"/>
  <c r="D173" i="17"/>
  <c r="C171" i="17"/>
  <c r="F171" i="17"/>
  <c r="D170" i="17"/>
  <c r="C170" i="17"/>
  <c r="F170" i="17"/>
  <c r="F169" i="17"/>
  <c r="E169" i="17"/>
  <c r="F168" i="17"/>
  <c r="E168" i="17"/>
  <c r="D165" i="17"/>
  <c r="C165" i="17"/>
  <c r="F165" i="17"/>
  <c r="D164" i="17"/>
  <c r="C164" i="17"/>
  <c r="F164" i="17"/>
  <c r="F163" i="17"/>
  <c r="E163" i="17"/>
  <c r="D158" i="17"/>
  <c r="D159" i="17"/>
  <c r="C158" i="17"/>
  <c r="F158" i="17"/>
  <c r="F157" i="17"/>
  <c r="E157" i="17"/>
  <c r="F156" i="17"/>
  <c r="E156" i="17"/>
  <c r="D155" i="17"/>
  <c r="C155" i="17"/>
  <c r="F155" i="17"/>
  <c r="F154" i="17"/>
  <c r="E154" i="17"/>
  <c r="F153" i="17"/>
  <c r="E153" i="17"/>
  <c r="D145" i="17"/>
  <c r="C145" i="17"/>
  <c r="D144" i="17"/>
  <c r="D146" i="17"/>
  <c r="C144" i="17"/>
  <c r="D136" i="17"/>
  <c r="D137" i="17"/>
  <c r="C136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D101" i="17"/>
  <c r="D102" i="17"/>
  <c r="C101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E87" i="17"/>
  <c r="F87" i="17"/>
  <c r="E86" i="17"/>
  <c r="F86" i="17"/>
  <c r="D85" i="17"/>
  <c r="C85" i="17"/>
  <c r="E84" i="17"/>
  <c r="F84" i="17"/>
  <c r="E83" i="17"/>
  <c r="F83" i="17"/>
  <c r="D76" i="17"/>
  <c r="E76" i="17"/>
  <c r="F76" i="17"/>
  <c r="C76" i="17"/>
  <c r="C77" i="17"/>
  <c r="F74" i="17"/>
  <c r="E74" i="17"/>
  <c r="F73" i="17"/>
  <c r="E73" i="17"/>
  <c r="D67" i="17"/>
  <c r="E67" i="17"/>
  <c r="F67" i="17"/>
  <c r="C67" i="17"/>
  <c r="D66" i="17"/>
  <c r="E66" i="17"/>
  <c r="F66" i="17"/>
  <c r="C66" i="17"/>
  <c r="C68" i="17"/>
  <c r="D59" i="17"/>
  <c r="E59" i="17"/>
  <c r="F59" i="17"/>
  <c r="C59" i="17"/>
  <c r="C60" i="17"/>
  <c r="C61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E47" i="17"/>
  <c r="F47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E35" i="17"/>
  <c r="F35" i="17"/>
  <c r="C35" i="17"/>
  <c r="D30" i="17"/>
  <c r="E30" i="17"/>
  <c r="F30" i="17"/>
  <c r="C30" i="17"/>
  <c r="C31" i="17"/>
  <c r="C32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2" i="16"/>
  <c r="E22" i="16"/>
  <c r="F22" i="16"/>
  <c r="C22" i="16"/>
  <c r="F21" i="16"/>
  <c r="E21" i="16"/>
  <c r="D18" i="16"/>
  <c r="E18" i="16"/>
  <c r="F18" i="16"/>
  <c r="C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1" i="14"/>
  <c r="H31" i="14"/>
  <c r="E17" i="14"/>
  <c r="E33" i="14"/>
  <c r="E36" i="14"/>
  <c r="E38" i="14"/>
  <c r="E40" i="14"/>
  <c r="D17" i="14"/>
  <c r="D31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E113" i="10"/>
  <c r="C113" i="10"/>
  <c r="C122" i="10"/>
  <c r="F122" i="10"/>
  <c r="F112" i="10"/>
  <c r="D112" i="10"/>
  <c r="E112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D199" i="9"/>
  <c r="D208" i="9"/>
  <c r="C199" i="9"/>
  <c r="D198" i="9"/>
  <c r="D207" i="9"/>
  <c r="E207" i="9"/>
  <c r="C198" i="9"/>
  <c r="C207" i="9"/>
  <c r="D193" i="9"/>
  <c r="C193" i="9"/>
  <c r="D192" i="9"/>
  <c r="C192" i="9"/>
  <c r="E191" i="9"/>
  <c r="F191" i="9"/>
  <c r="E190" i="9"/>
  <c r="F190" i="9"/>
  <c r="E189" i="9"/>
  <c r="F189" i="9"/>
  <c r="E188" i="9"/>
  <c r="F188" i="9"/>
  <c r="E187" i="9"/>
  <c r="F187" i="9"/>
  <c r="E186" i="9"/>
  <c r="F186" i="9"/>
  <c r="E185" i="9"/>
  <c r="F185" i="9"/>
  <c r="E184" i="9"/>
  <c r="F184" i="9"/>
  <c r="E183" i="9"/>
  <c r="F183" i="9"/>
  <c r="D180" i="9"/>
  <c r="C180" i="9"/>
  <c r="F180" i="9"/>
  <c r="D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/>
  <c r="D140" i="9"/>
  <c r="C140" i="9"/>
  <c r="F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C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D115" i="9"/>
  <c r="C115" i="9"/>
  <c r="D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D102" i="9"/>
  <c r="C102" i="9"/>
  <c r="F102" i="9"/>
  <c r="D101" i="9"/>
  <c r="C101" i="9"/>
  <c r="F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/>
  <c r="D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/>
  <c r="E73" i="9"/>
  <c r="F73" i="9"/>
  <c r="E72" i="9"/>
  <c r="F72" i="9"/>
  <c r="E71" i="9"/>
  <c r="F71" i="9"/>
  <c r="E70" i="9"/>
  <c r="F70" i="9"/>
  <c r="E69" i="9"/>
  <c r="F69" i="9"/>
  <c r="E68" i="9"/>
  <c r="F68" i="9"/>
  <c r="E67" i="9"/>
  <c r="F67" i="9"/>
  <c r="E66" i="9"/>
  <c r="F66" i="9"/>
  <c r="D63" i="9"/>
  <c r="C63" i="9"/>
  <c r="F63" i="9"/>
  <c r="D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/>
  <c r="E47" i="9"/>
  <c r="F47" i="9"/>
  <c r="E46" i="9"/>
  <c r="F46" i="9"/>
  <c r="E45" i="9"/>
  <c r="F45" i="9"/>
  <c r="E44" i="9"/>
  <c r="F44" i="9"/>
  <c r="E43" i="9"/>
  <c r="F43" i="9"/>
  <c r="E42" i="9"/>
  <c r="F42" i="9"/>
  <c r="E41" i="9"/>
  <c r="F41" i="9"/>
  <c r="E40" i="9"/>
  <c r="F40" i="9"/>
  <c r="D37" i="9"/>
  <c r="C37" i="9"/>
  <c r="F37" i="9"/>
  <c r="D36" i="9"/>
  <c r="C36" i="9"/>
  <c r="F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C140" i="8"/>
  <c r="E138" i="8"/>
  <c r="C138" i="8"/>
  <c r="D137" i="8"/>
  <c r="C136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C90" i="8"/>
  <c r="E89" i="8"/>
  <c r="D89" i="8"/>
  <c r="C89" i="8"/>
  <c r="E88" i="8"/>
  <c r="E90" i="8"/>
  <c r="E86" i="8"/>
  <c r="C88" i="8"/>
  <c r="E87" i="8"/>
  <c r="D87" i="8"/>
  <c r="C87" i="8"/>
  <c r="C86" i="8"/>
  <c r="E84" i="8"/>
  <c r="D84" i="8"/>
  <c r="D79" i="8"/>
  <c r="C84" i="8"/>
  <c r="E83" i="8"/>
  <c r="E79" i="8"/>
  <c r="D83" i="8"/>
  <c r="C83" i="8"/>
  <c r="C79" i="8"/>
  <c r="E77" i="8"/>
  <c r="E71" i="8"/>
  <c r="C77" i="8"/>
  <c r="E75" i="8"/>
  <c r="D75" i="8"/>
  <c r="C75" i="8"/>
  <c r="E74" i="8"/>
  <c r="D74" i="8"/>
  <c r="C74" i="8"/>
  <c r="E67" i="8"/>
  <c r="D67" i="8"/>
  <c r="C67" i="8"/>
  <c r="C57" i="8"/>
  <c r="C62" i="8"/>
  <c r="D53" i="8"/>
  <c r="E49" i="8"/>
  <c r="D43" i="8"/>
  <c r="E38" i="8"/>
  <c r="D38" i="8"/>
  <c r="D57" i="8"/>
  <c r="D62" i="8"/>
  <c r="C38" i="8"/>
  <c r="E33" i="8"/>
  <c r="E34" i="8"/>
  <c r="D33" i="8"/>
  <c r="D34" i="8"/>
  <c r="E27" i="8"/>
  <c r="E21" i="8"/>
  <c r="E26" i="8"/>
  <c r="D26" i="8"/>
  <c r="C26" i="8"/>
  <c r="E25" i="8"/>
  <c r="C25" i="8"/>
  <c r="C27" i="8"/>
  <c r="E15" i="8"/>
  <c r="C15" i="8"/>
  <c r="E13" i="8"/>
  <c r="D13" i="8"/>
  <c r="C13" i="8"/>
  <c r="F186" i="7"/>
  <c r="E186" i="7"/>
  <c r="D183" i="7"/>
  <c r="E183" i="7"/>
  <c r="F183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E90" i="7"/>
  <c r="F90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E41" i="6"/>
  <c r="F41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22" i="22"/>
  <c r="E111" i="22"/>
  <c r="E54" i="22"/>
  <c r="E46" i="22"/>
  <c r="E40" i="22"/>
  <c r="C30" i="22"/>
  <c r="D108" i="22"/>
  <c r="D109" i="22"/>
  <c r="D34" i="22"/>
  <c r="D23" i="22"/>
  <c r="C111" i="22"/>
  <c r="C54" i="22"/>
  <c r="C46" i="22"/>
  <c r="C40" i="22"/>
  <c r="E113" i="22"/>
  <c r="E56" i="22"/>
  <c r="E48" i="22"/>
  <c r="E38" i="22"/>
  <c r="C109" i="22"/>
  <c r="C108" i="22"/>
  <c r="E109" i="22"/>
  <c r="E108" i="22"/>
  <c r="D101" i="22"/>
  <c r="D103" i="22"/>
  <c r="C22" i="22"/>
  <c r="E22" i="22"/>
  <c r="E19" i="21"/>
  <c r="F19" i="21"/>
  <c r="E21" i="21"/>
  <c r="F21" i="21"/>
  <c r="D41" i="20"/>
  <c r="E20" i="20"/>
  <c r="E40" i="20"/>
  <c r="E16" i="20"/>
  <c r="F16" i="20"/>
  <c r="E19" i="20"/>
  <c r="F19" i="20"/>
  <c r="C20" i="20"/>
  <c r="E25" i="20"/>
  <c r="F25" i="20"/>
  <c r="E36" i="20"/>
  <c r="F36" i="20"/>
  <c r="C39" i="20"/>
  <c r="C40" i="20"/>
  <c r="E43" i="20"/>
  <c r="E44" i="20"/>
  <c r="F44" i="20"/>
  <c r="E45" i="20"/>
  <c r="F45" i="20"/>
  <c r="C46" i="20"/>
  <c r="C38" i="19"/>
  <c r="C127" i="19"/>
  <c r="C129" i="19"/>
  <c r="C133" i="19"/>
  <c r="C65" i="19"/>
  <c r="C114" i="19"/>
  <c r="C116" i="19"/>
  <c r="C119" i="19"/>
  <c r="C123" i="19"/>
  <c r="C22" i="19"/>
  <c r="C49" i="19"/>
  <c r="E33" i="18"/>
  <c r="C258" i="18"/>
  <c r="C100" i="18"/>
  <c r="C98" i="18"/>
  <c r="C96" i="18"/>
  <c r="C89" i="18"/>
  <c r="C87" i="18"/>
  <c r="C85" i="18"/>
  <c r="C83" i="18"/>
  <c r="C99" i="18"/>
  <c r="C95" i="18"/>
  <c r="C88" i="18"/>
  <c r="C84" i="18"/>
  <c r="C101" i="18"/>
  <c r="C97" i="18"/>
  <c r="C86" i="18"/>
  <c r="D76" i="18"/>
  <c r="E76" i="18"/>
  <c r="D258" i="18"/>
  <c r="D101" i="18"/>
  <c r="D99" i="18"/>
  <c r="E99" i="18"/>
  <c r="D97" i="18"/>
  <c r="E97" i="18"/>
  <c r="D95" i="18"/>
  <c r="D88" i="18"/>
  <c r="D86" i="18"/>
  <c r="E86" i="18"/>
  <c r="D84" i="18"/>
  <c r="D100" i="18"/>
  <c r="E100" i="18"/>
  <c r="D96" i="18"/>
  <c r="D89" i="18"/>
  <c r="E89" i="18"/>
  <c r="D85" i="18"/>
  <c r="D98" i="18"/>
  <c r="E98" i="18"/>
  <c r="D87" i="18"/>
  <c r="E87" i="18"/>
  <c r="D83" i="18"/>
  <c r="E44" i="18"/>
  <c r="D259" i="18"/>
  <c r="E43" i="18"/>
  <c r="D192" i="17"/>
  <c r="D193" i="17"/>
  <c r="D283" i="18"/>
  <c r="E283" i="18"/>
  <c r="C22" i="18"/>
  <c r="C284" i="18"/>
  <c r="C294" i="18"/>
  <c r="E32" i="18"/>
  <c r="E36" i="18"/>
  <c r="E54" i="18"/>
  <c r="E60" i="18"/>
  <c r="D65" i="18"/>
  <c r="E70" i="18"/>
  <c r="D71" i="18"/>
  <c r="E71" i="18"/>
  <c r="C77" i="18"/>
  <c r="E157" i="18"/>
  <c r="E21" i="18"/>
  <c r="D284" i="18"/>
  <c r="D294" i="18"/>
  <c r="E294" i="18"/>
  <c r="C295" i="18"/>
  <c r="E37" i="18"/>
  <c r="D234" i="18"/>
  <c r="E234" i="18"/>
  <c r="E139" i="18"/>
  <c r="D144" i="18"/>
  <c r="C145" i="18"/>
  <c r="C156" i="18"/>
  <c r="C157" i="18"/>
  <c r="E156" i="18"/>
  <c r="C163" i="18"/>
  <c r="E163" i="18"/>
  <c r="D175" i="18"/>
  <c r="E175" i="18"/>
  <c r="C180" i="18"/>
  <c r="E189" i="18"/>
  <c r="C234" i="18"/>
  <c r="E205" i="18"/>
  <c r="C211" i="18"/>
  <c r="C235" i="18"/>
  <c r="E216" i="18"/>
  <c r="C241" i="18"/>
  <c r="E218" i="18"/>
  <c r="C222" i="18"/>
  <c r="C246" i="18"/>
  <c r="C229" i="18"/>
  <c r="E229" i="18"/>
  <c r="C252" i="18"/>
  <c r="E231" i="18"/>
  <c r="D253" i="18"/>
  <c r="D241" i="18"/>
  <c r="E241" i="18"/>
  <c r="C244" i="18"/>
  <c r="E244" i="18"/>
  <c r="D245" i="18"/>
  <c r="E245" i="18"/>
  <c r="E251" i="18"/>
  <c r="C253" i="18"/>
  <c r="C254" i="18"/>
  <c r="D303" i="18"/>
  <c r="D302" i="18"/>
  <c r="E302" i="18"/>
  <c r="D316" i="18"/>
  <c r="E326" i="18"/>
  <c r="C261" i="18"/>
  <c r="C263" i="18"/>
  <c r="C189" i="18"/>
  <c r="E188" i="18"/>
  <c r="D260" i="18"/>
  <c r="E195" i="18"/>
  <c r="D211" i="18"/>
  <c r="E210" i="18"/>
  <c r="D239" i="18"/>
  <c r="E239" i="18"/>
  <c r="C242" i="18"/>
  <c r="E242" i="18"/>
  <c r="D243" i="18"/>
  <c r="E301" i="18"/>
  <c r="E324" i="18"/>
  <c r="D222" i="18"/>
  <c r="C223" i="18"/>
  <c r="C247" i="18"/>
  <c r="E20" i="17"/>
  <c r="F20" i="17"/>
  <c r="D21" i="17"/>
  <c r="D31" i="17"/>
  <c r="D37" i="17"/>
  <c r="D48" i="17"/>
  <c r="D60" i="17"/>
  <c r="D68" i="17"/>
  <c r="E68" i="17"/>
  <c r="F68" i="17"/>
  <c r="D207" i="17"/>
  <c r="D138" i="17"/>
  <c r="C62" i="17"/>
  <c r="D103" i="17"/>
  <c r="D77" i="17"/>
  <c r="E77" i="17"/>
  <c r="E85" i="17"/>
  <c r="F85" i="17"/>
  <c r="E88" i="17"/>
  <c r="F88" i="17"/>
  <c r="C89" i="17"/>
  <c r="E94" i="17"/>
  <c r="F94" i="17"/>
  <c r="E95" i="17"/>
  <c r="F95" i="17"/>
  <c r="E100" i="17"/>
  <c r="F100" i="17"/>
  <c r="E101" i="17"/>
  <c r="F101" i="17"/>
  <c r="C102" i="17"/>
  <c r="E109" i="17"/>
  <c r="F109" i="17"/>
  <c r="E110" i="17"/>
  <c r="F110" i="17"/>
  <c r="C111" i="17"/>
  <c r="E120" i="17"/>
  <c r="F120" i="17"/>
  <c r="E123" i="17"/>
  <c r="F123" i="17"/>
  <c r="C124" i="17"/>
  <c r="E129" i="17"/>
  <c r="F129" i="17"/>
  <c r="E130" i="17"/>
  <c r="F130" i="17"/>
  <c r="E135" i="17"/>
  <c r="F135" i="17"/>
  <c r="E136" i="17"/>
  <c r="F136" i="17"/>
  <c r="C137" i="17"/>
  <c r="E137" i="17"/>
  <c r="E145" i="17"/>
  <c r="F145" i="17"/>
  <c r="E158" i="17"/>
  <c r="E165" i="17"/>
  <c r="E171" i="17"/>
  <c r="E180" i="17"/>
  <c r="D287" i="17"/>
  <c r="D284" i="17"/>
  <c r="D279" i="17"/>
  <c r="C278" i="17"/>
  <c r="E189" i="17"/>
  <c r="F189" i="17"/>
  <c r="C192" i="17"/>
  <c r="C193" i="17"/>
  <c r="C290" i="17"/>
  <c r="C274" i="17"/>
  <c r="E198" i="17"/>
  <c r="F198" i="17"/>
  <c r="D286" i="17"/>
  <c r="C285" i="17"/>
  <c r="E204" i="17"/>
  <c r="F204" i="17"/>
  <c r="E226" i="17"/>
  <c r="F226" i="17"/>
  <c r="E229" i="17"/>
  <c r="F229" i="17"/>
  <c r="E237" i="17"/>
  <c r="F237" i="17"/>
  <c r="C239" i="17"/>
  <c r="C306" i="17"/>
  <c r="E250" i="17"/>
  <c r="F250" i="17"/>
  <c r="C282" i="17"/>
  <c r="C21" i="17"/>
  <c r="C37" i="17"/>
  <c r="D124" i="17"/>
  <c r="E124" i="17"/>
  <c r="E144" i="17"/>
  <c r="F144" i="17"/>
  <c r="C146" i="17"/>
  <c r="E155" i="17"/>
  <c r="C159" i="17"/>
  <c r="C160" i="17"/>
  <c r="E164" i="17"/>
  <c r="E170" i="17"/>
  <c r="C172" i="17"/>
  <c r="E179" i="17"/>
  <c r="C181" i="17"/>
  <c r="F181" i="17"/>
  <c r="C277" i="17"/>
  <c r="E277" i="17"/>
  <c r="E188" i="17"/>
  <c r="F188" i="17"/>
  <c r="E278" i="17"/>
  <c r="D288" i="17"/>
  <c r="C190" i="17"/>
  <c r="C280" i="17"/>
  <c r="E191" i="17"/>
  <c r="F191" i="17"/>
  <c r="E290" i="17"/>
  <c r="C199" i="17"/>
  <c r="C200" i="17"/>
  <c r="C283" i="17"/>
  <c r="E203" i="17"/>
  <c r="F203" i="17"/>
  <c r="E285" i="17"/>
  <c r="C205" i="17"/>
  <c r="C206" i="17"/>
  <c r="C214" i="17"/>
  <c r="C304" i="17"/>
  <c r="C215" i="17"/>
  <c r="E223" i="17"/>
  <c r="F223" i="17"/>
  <c r="C227" i="17"/>
  <c r="E230" i="17"/>
  <c r="F230" i="17"/>
  <c r="E238" i="17"/>
  <c r="F238" i="17"/>
  <c r="E306" i="17"/>
  <c r="C254" i="17"/>
  <c r="C255" i="17"/>
  <c r="C261" i="17"/>
  <c r="C262" i="17"/>
  <c r="C264" i="17"/>
  <c r="C266" i="17"/>
  <c r="C267" i="17"/>
  <c r="C269" i="17"/>
  <c r="E307" i="17"/>
  <c r="F307" i="17"/>
  <c r="E311" i="17"/>
  <c r="D190" i="17"/>
  <c r="E190" i="17"/>
  <c r="D199" i="17"/>
  <c r="E199" i="17"/>
  <c r="D200" i="17"/>
  <c r="E200" i="17"/>
  <c r="D205" i="17"/>
  <c r="E205" i="17"/>
  <c r="D206" i="17"/>
  <c r="E206" i="17"/>
  <c r="D214" i="17"/>
  <c r="D215" i="17"/>
  <c r="D261" i="17"/>
  <c r="D262" i="17"/>
  <c r="D264" i="17"/>
  <c r="D267" i="17"/>
  <c r="D269" i="17"/>
  <c r="E269" i="17"/>
  <c r="D274" i="17"/>
  <c r="E274" i="17"/>
  <c r="I33" i="14"/>
  <c r="I36" i="14"/>
  <c r="I38" i="14"/>
  <c r="I40" i="14"/>
  <c r="G36" i="14"/>
  <c r="G38" i="14"/>
  <c r="G40" i="14"/>
  <c r="H17" i="14"/>
  <c r="D33" i="14"/>
  <c r="D36" i="14"/>
  <c r="D38" i="14"/>
  <c r="D40" i="14"/>
  <c r="F33" i="14"/>
  <c r="I17" i="14"/>
  <c r="E21" i="13"/>
  <c r="E20" i="13"/>
  <c r="C69" i="13"/>
  <c r="D21" i="13"/>
  <c r="C21" i="13"/>
  <c r="C20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E43" i="11"/>
  <c r="F43" i="11"/>
  <c r="E41" i="11"/>
  <c r="F41" i="11"/>
  <c r="F75" i="11"/>
  <c r="F65" i="11"/>
  <c r="E22" i="11"/>
  <c r="F22" i="11"/>
  <c r="E38" i="11"/>
  <c r="F38" i="11"/>
  <c r="E56" i="11"/>
  <c r="F56" i="11"/>
  <c r="E61" i="11"/>
  <c r="F61" i="11"/>
  <c r="D121" i="10"/>
  <c r="E121" i="10"/>
  <c r="D122" i="10"/>
  <c r="E122" i="10"/>
  <c r="F207" i="9"/>
  <c r="E36" i="9"/>
  <c r="E50" i="9"/>
  <c r="F50" i="9"/>
  <c r="E63" i="9"/>
  <c r="F75" i="9"/>
  <c r="E75" i="9"/>
  <c r="E88" i="9"/>
  <c r="E101" i="9"/>
  <c r="F115" i="9"/>
  <c r="E115" i="9"/>
  <c r="F127" i="9"/>
  <c r="E127" i="9"/>
  <c r="E140" i="9"/>
  <c r="E153" i="9"/>
  <c r="E166" i="9"/>
  <c r="E179" i="9"/>
  <c r="F193" i="9"/>
  <c r="E193" i="9"/>
  <c r="F199" i="9"/>
  <c r="E199" i="9"/>
  <c r="F201" i="9"/>
  <c r="E201" i="9"/>
  <c r="F203" i="9"/>
  <c r="E203" i="9"/>
  <c r="F205" i="9"/>
  <c r="E205" i="9"/>
  <c r="C208" i="9"/>
  <c r="E208" i="9"/>
  <c r="F24" i="9"/>
  <c r="E37" i="9"/>
  <c r="E49" i="9"/>
  <c r="F49" i="9"/>
  <c r="E62" i="9"/>
  <c r="F76" i="9"/>
  <c r="E76" i="9"/>
  <c r="E89" i="9"/>
  <c r="E102" i="9"/>
  <c r="F114" i="9"/>
  <c r="E114" i="9"/>
  <c r="F128" i="9"/>
  <c r="E128" i="9"/>
  <c r="E141" i="9"/>
  <c r="E154" i="9"/>
  <c r="E167" i="9"/>
  <c r="E180" i="9"/>
  <c r="F192" i="9"/>
  <c r="E192" i="9"/>
  <c r="F198" i="9"/>
  <c r="E198" i="9"/>
  <c r="F200" i="9"/>
  <c r="E200" i="9"/>
  <c r="F202" i="9"/>
  <c r="E202" i="9"/>
  <c r="F204" i="9"/>
  <c r="E204" i="9"/>
  <c r="F206" i="9"/>
  <c r="E206" i="9"/>
  <c r="C21" i="8"/>
  <c r="C20" i="8"/>
  <c r="E24" i="8"/>
  <c r="E17" i="8"/>
  <c r="E139" i="8"/>
  <c r="E137" i="8"/>
  <c r="E135" i="8"/>
  <c r="E140" i="8"/>
  <c r="D140" i="8"/>
  <c r="D138" i="8"/>
  <c r="D136" i="8"/>
  <c r="C156" i="8"/>
  <c r="C154" i="8"/>
  <c r="C152" i="8"/>
  <c r="C157" i="8"/>
  <c r="C155" i="8"/>
  <c r="C153" i="8"/>
  <c r="D25" i="8"/>
  <c r="D27" i="8"/>
  <c r="D15" i="8"/>
  <c r="C24" i="8"/>
  <c r="C17" i="8"/>
  <c r="E20" i="8"/>
  <c r="C53" i="8"/>
  <c r="C43" i="8"/>
  <c r="E53" i="8"/>
  <c r="E43" i="8"/>
  <c r="C49" i="8"/>
  <c r="E57" i="8"/>
  <c r="E62" i="8"/>
  <c r="D88" i="8"/>
  <c r="D90" i="8"/>
  <c r="D86" i="8"/>
  <c r="D77" i="8"/>
  <c r="D71" i="8"/>
  <c r="C71" i="8"/>
  <c r="D109" i="8"/>
  <c r="D106" i="8"/>
  <c r="D135" i="8"/>
  <c r="E136" i="8"/>
  <c r="D139" i="8"/>
  <c r="C139" i="8"/>
  <c r="C137" i="8"/>
  <c r="C135" i="8"/>
  <c r="C141" i="8"/>
  <c r="E156" i="8"/>
  <c r="E154" i="8"/>
  <c r="E152" i="8"/>
  <c r="E157" i="8"/>
  <c r="E155" i="8"/>
  <c r="E153" i="8"/>
  <c r="D157" i="8"/>
  <c r="D155" i="8"/>
  <c r="D153" i="8"/>
  <c r="D156" i="8"/>
  <c r="D154" i="8"/>
  <c r="D152" i="8"/>
  <c r="D158" i="8"/>
  <c r="D49" i="8"/>
  <c r="D95" i="7"/>
  <c r="E95" i="7"/>
  <c r="F95" i="7"/>
  <c r="D188" i="7"/>
  <c r="E188" i="7"/>
  <c r="F188" i="7"/>
  <c r="F95" i="6"/>
  <c r="D52" i="6"/>
  <c r="E52" i="6"/>
  <c r="F52" i="6"/>
  <c r="E84" i="6"/>
  <c r="F84" i="6"/>
  <c r="D21" i="5"/>
  <c r="E18" i="5"/>
  <c r="F18" i="5"/>
  <c r="C21" i="5"/>
  <c r="E16" i="5"/>
  <c r="F16" i="5"/>
  <c r="E43" i="4"/>
  <c r="E41" i="4"/>
  <c r="F41" i="4"/>
  <c r="F75" i="4"/>
  <c r="F65" i="4"/>
  <c r="F73" i="4"/>
  <c r="F43" i="4"/>
  <c r="E22" i="4"/>
  <c r="F22" i="4"/>
  <c r="E38" i="4"/>
  <c r="F38" i="4"/>
  <c r="E56" i="4"/>
  <c r="F56" i="4"/>
  <c r="E61" i="4"/>
  <c r="F61" i="4"/>
  <c r="C53" i="22"/>
  <c r="C45" i="22"/>
  <c r="C39" i="22"/>
  <c r="C35" i="22"/>
  <c r="C29" i="22"/>
  <c r="C110" i="22"/>
  <c r="D54" i="22"/>
  <c r="D46" i="22"/>
  <c r="D40" i="22"/>
  <c r="D36" i="22"/>
  <c r="D30" i="22"/>
  <c r="D111" i="22"/>
  <c r="C113" i="22"/>
  <c r="C56" i="22"/>
  <c r="C48" i="22"/>
  <c r="C38" i="22"/>
  <c r="E53" i="22"/>
  <c r="E45" i="22"/>
  <c r="E39" i="22"/>
  <c r="E35" i="22"/>
  <c r="E29" i="22"/>
  <c r="E110" i="22"/>
  <c r="D110" i="22"/>
  <c r="D53" i="22"/>
  <c r="D45" i="22"/>
  <c r="D39" i="22"/>
  <c r="D35" i="22"/>
  <c r="D29" i="22"/>
  <c r="E46" i="20"/>
  <c r="F39" i="20"/>
  <c r="C41" i="20"/>
  <c r="F43" i="20"/>
  <c r="E39" i="20"/>
  <c r="E41" i="20"/>
  <c r="F46" i="20"/>
  <c r="F40" i="20"/>
  <c r="F20" i="20"/>
  <c r="E192" i="17"/>
  <c r="D246" i="18"/>
  <c r="E246" i="18"/>
  <c r="E222" i="18"/>
  <c r="E316" i="18"/>
  <c r="D320" i="18"/>
  <c r="E320" i="18"/>
  <c r="D306" i="18"/>
  <c r="E303" i="18"/>
  <c r="E253" i="18"/>
  <c r="D223" i="18"/>
  <c r="C181" i="18"/>
  <c r="C169" i="18"/>
  <c r="C126" i="18"/>
  <c r="C124" i="18"/>
  <c r="C122" i="18"/>
  <c r="C115" i="18"/>
  <c r="C113" i="18"/>
  <c r="C111" i="18"/>
  <c r="C127" i="18"/>
  <c r="C125" i="18"/>
  <c r="C123" i="18"/>
  <c r="C121" i="18"/>
  <c r="C114" i="18"/>
  <c r="C112" i="18"/>
  <c r="C110" i="18"/>
  <c r="C116" i="18"/>
  <c r="C109" i="18"/>
  <c r="D66" i="18"/>
  <c r="E65" i="18"/>
  <c r="E259" i="18"/>
  <c r="D263" i="18"/>
  <c r="E263" i="18"/>
  <c r="E83" i="18"/>
  <c r="D103" i="18"/>
  <c r="E95" i="18"/>
  <c r="D264" i="18"/>
  <c r="E258" i="18"/>
  <c r="C264" i="18"/>
  <c r="C266" i="18"/>
  <c r="C267" i="18"/>
  <c r="E243" i="18"/>
  <c r="D252" i="18"/>
  <c r="D235" i="18"/>
  <c r="E235" i="18"/>
  <c r="E211" i="18"/>
  <c r="E260" i="18"/>
  <c r="E261" i="18"/>
  <c r="D180" i="18"/>
  <c r="E180" i="18"/>
  <c r="D145" i="18"/>
  <c r="E144" i="18"/>
  <c r="D168" i="18"/>
  <c r="C168" i="18"/>
  <c r="E284" i="18"/>
  <c r="D77" i="18"/>
  <c r="E85" i="18"/>
  <c r="E96" i="18"/>
  <c r="D102" i="18"/>
  <c r="D90" i="18"/>
  <c r="E90" i="18"/>
  <c r="E84" i="18"/>
  <c r="E88" i="18"/>
  <c r="E101" i="18"/>
  <c r="E22" i="18"/>
  <c r="C90" i="18"/>
  <c r="C91" i="18"/>
  <c r="C102" i="18"/>
  <c r="C103" i="18"/>
  <c r="D300" i="17"/>
  <c r="E264" i="17"/>
  <c r="F264" i="17"/>
  <c r="D271" i="17"/>
  <c r="D268" i="17"/>
  <c r="D263" i="17"/>
  <c r="E261" i="17"/>
  <c r="F261" i="17"/>
  <c r="D255" i="17"/>
  <c r="E255" i="17"/>
  <c r="E215" i="17"/>
  <c r="F215" i="17"/>
  <c r="D194" i="17"/>
  <c r="E194" i="17"/>
  <c r="E193" i="17"/>
  <c r="F193" i="17"/>
  <c r="C270" i="17"/>
  <c r="C300" i="17"/>
  <c r="C265" i="17"/>
  <c r="C271" i="17"/>
  <c r="C268" i="17"/>
  <c r="C263" i="17"/>
  <c r="F206" i="17"/>
  <c r="F200" i="17"/>
  <c r="F190" i="17"/>
  <c r="F172" i="17"/>
  <c r="C173" i="17"/>
  <c r="E172" i="17"/>
  <c r="E286" i="17"/>
  <c r="F274" i="17"/>
  <c r="C194" i="17"/>
  <c r="C288" i="17"/>
  <c r="F278" i="17"/>
  <c r="F124" i="17"/>
  <c r="C103" i="17"/>
  <c r="E102" i="17"/>
  <c r="F102" i="17"/>
  <c r="C125" i="17"/>
  <c r="E181" i="17"/>
  <c r="D208" i="17"/>
  <c r="E207" i="17"/>
  <c r="D160" i="17"/>
  <c r="E160" i="17"/>
  <c r="F160" i="17"/>
  <c r="D125" i="17"/>
  <c r="E125" i="17"/>
  <c r="D90" i="17"/>
  <c r="E90" i="17"/>
  <c r="E48" i="17"/>
  <c r="F48" i="17"/>
  <c r="E31" i="17"/>
  <c r="F31" i="17"/>
  <c r="D32" i="17"/>
  <c r="D282" i="17"/>
  <c r="D270" i="17"/>
  <c r="E270" i="17"/>
  <c r="E267" i="17"/>
  <c r="F267" i="17"/>
  <c r="D272" i="17"/>
  <c r="E262" i="17"/>
  <c r="F262" i="17"/>
  <c r="D254" i="17"/>
  <c r="D216" i="17"/>
  <c r="E216" i="17"/>
  <c r="E214" i="17"/>
  <c r="F214" i="17"/>
  <c r="F269" i="17"/>
  <c r="C272" i="17"/>
  <c r="F255" i="17"/>
  <c r="E227" i="17"/>
  <c r="F227" i="17"/>
  <c r="C216" i="17"/>
  <c r="F205" i="17"/>
  <c r="C286" i="17"/>
  <c r="F199" i="17"/>
  <c r="C281" i="17"/>
  <c r="E288" i="17"/>
  <c r="C287" i="17"/>
  <c r="C284" i="17"/>
  <c r="C279" i="17"/>
  <c r="F277" i="17"/>
  <c r="F159" i="17"/>
  <c r="E159" i="17"/>
  <c r="C161" i="17"/>
  <c r="C49" i="17"/>
  <c r="C196" i="17"/>
  <c r="C126" i="17"/>
  <c r="C91" i="17"/>
  <c r="F285" i="17"/>
  <c r="E283" i="17"/>
  <c r="F283" i="17"/>
  <c r="F290" i="17"/>
  <c r="F192" i="17"/>
  <c r="E280" i="17"/>
  <c r="F280" i="17"/>
  <c r="E279" i="17"/>
  <c r="E287" i="17"/>
  <c r="D291" i="17"/>
  <c r="D289" i="17"/>
  <c r="C207" i="17"/>
  <c r="F137" i="17"/>
  <c r="C138" i="17"/>
  <c r="E239" i="17"/>
  <c r="F239" i="17"/>
  <c r="E111" i="17"/>
  <c r="F111" i="17"/>
  <c r="E103" i="17"/>
  <c r="C90" i="17"/>
  <c r="C63" i="17"/>
  <c r="E146" i="17"/>
  <c r="F146" i="17"/>
  <c r="E138" i="17"/>
  <c r="E89" i="17"/>
  <c r="F89" i="17"/>
  <c r="E60" i="17"/>
  <c r="F60" i="17"/>
  <c r="D61" i="17"/>
  <c r="E37" i="17"/>
  <c r="F37" i="17"/>
  <c r="D196" i="17"/>
  <c r="D161" i="17"/>
  <c r="D126" i="17"/>
  <c r="D91" i="17"/>
  <c r="E21" i="17"/>
  <c r="F21" i="17"/>
  <c r="D49" i="17"/>
  <c r="D266" i="17"/>
  <c r="E266" i="17"/>
  <c r="F266" i="17"/>
  <c r="F36" i="14"/>
  <c r="F38" i="14"/>
  <c r="F40" i="14"/>
  <c r="H33" i="14"/>
  <c r="H36" i="14"/>
  <c r="H38" i="14"/>
  <c r="H40" i="14"/>
  <c r="D24" i="13"/>
  <c r="D20" i="13"/>
  <c r="D17" i="13"/>
  <c r="D28" i="13"/>
  <c r="C22" i="13"/>
  <c r="E22" i="13"/>
  <c r="D34" i="12"/>
  <c r="E20" i="12"/>
  <c r="F20" i="12"/>
  <c r="C34" i="12"/>
  <c r="F208" i="9"/>
  <c r="C28" i="8"/>
  <c r="C112" i="8"/>
  <c r="C111" i="8"/>
  <c r="D24" i="8"/>
  <c r="D17" i="8"/>
  <c r="E141" i="8"/>
  <c r="E28" i="8"/>
  <c r="E112" i="8"/>
  <c r="E111" i="8"/>
  <c r="E158" i="8"/>
  <c r="D141" i="8"/>
  <c r="D20" i="8"/>
  <c r="D21" i="8"/>
  <c r="C158" i="8"/>
  <c r="D35" i="5"/>
  <c r="E21" i="5"/>
  <c r="F21" i="5"/>
  <c r="C35" i="5"/>
  <c r="D112" i="22"/>
  <c r="D55" i="22"/>
  <c r="D47" i="22"/>
  <c r="D37" i="22"/>
  <c r="E55" i="22"/>
  <c r="E47" i="22"/>
  <c r="E37" i="22"/>
  <c r="E112" i="22"/>
  <c r="D56" i="22"/>
  <c r="D48" i="22"/>
  <c r="D38" i="22"/>
  <c r="D113" i="22"/>
  <c r="C55" i="22"/>
  <c r="C47" i="22"/>
  <c r="C37" i="22"/>
  <c r="C112" i="22"/>
  <c r="F41" i="20"/>
  <c r="C269" i="18"/>
  <c r="C268" i="18"/>
  <c r="C271" i="18"/>
  <c r="D127" i="18"/>
  <c r="E127" i="18"/>
  <c r="D125" i="18"/>
  <c r="E125" i="18"/>
  <c r="D123" i="18"/>
  <c r="E123" i="18"/>
  <c r="D121" i="18"/>
  <c r="D114" i="18"/>
  <c r="E114" i="18"/>
  <c r="D112" i="18"/>
  <c r="E112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E77" i="18"/>
  <c r="D110" i="18"/>
  <c r="C105" i="18"/>
  <c r="E102" i="18"/>
  <c r="E168" i="18"/>
  <c r="D169" i="18"/>
  <c r="E169" i="18"/>
  <c r="D181" i="18"/>
  <c r="E181" i="18"/>
  <c r="E145" i="18"/>
  <c r="D91" i="18"/>
  <c r="C117" i="18"/>
  <c r="E223" i="18"/>
  <c r="D247" i="18"/>
  <c r="E247" i="18"/>
  <c r="E252" i="18"/>
  <c r="D254" i="18"/>
  <c r="E254" i="18"/>
  <c r="D266" i="18"/>
  <c r="E264" i="18"/>
  <c r="E103" i="18"/>
  <c r="E66" i="18"/>
  <c r="D295" i="18"/>
  <c r="E295" i="18"/>
  <c r="C128" i="18"/>
  <c r="C129" i="18"/>
  <c r="D310" i="18"/>
  <c r="E310" i="18"/>
  <c r="E306" i="18"/>
  <c r="D127" i="17"/>
  <c r="E126" i="17"/>
  <c r="D197" i="17"/>
  <c r="E196" i="17"/>
  <c r="F196" i="17"/>
  <c r="D209" i="17"/>
  <c r="D174" i="17"/>
  <c r="D139" i="17"/>
  <c r="D104" i="17"/>
  <c r="E61" i="17"/>
  <c r="F61" i="17"/>
  <c r="F126" i="17"/>
  <c r="C127" i="17"/>
  <c r="C50" i="17"/>
  <c r="E282" i="17"/>
  <c r="F282" i="17"/>
  <c r="D281" i="17"/>
  <c r="E281" i="17"/>
  <c r="F281" i="17"/>
  <c r="E284" i="17"/>
  <c r="F284" i="17"/>
  <c r="F288" i="17"/>
  <c r="F173" i="17"/>
  <c r="E173" i="17"/>
  <c r="C175" i="17"/>
  <c r="C174" i="17"/>
  <c r="E263" i="17"/>
  <c r="F263" i="17"/>
  <c r="E271" i="17"/>
  <c r="D304" i="17"/>
  <c r="D273" i="17"/>
  <c r="D265" i="17"/>
  <c r="E265" i="17"/>
  <c r="F265" i="17"/>
  <c r="E49" i="17"/>
  <c r="F49" i="17"/>
  <c r="D50" i="17"/>
  <c r="D92" i="17"/>
  <c r="E91" i="17"/>
  <c r="F91" i="17"/>
  <c r="D162" i="17"/>
  <c r="E161" i="17"/>
  <c r="F161" i="17"/>
  <c r="F90" i="17"/>
  <c r="F138" i="17"/>
  <c r="C139" i="17"/>
  <c r="C140" i="17"/>
  <c r="F207" i="17"/>
  <c r="C208" i="17"/>
  <c r="D305" i="17"/>
  <c r="C92" i="17"/>
  <c r="C162" i="17"/>
  <c r="F279" i="17"/>
  <c r="C291" i="17"/>
  <c r="C289" i="17"/>
  <c r="F287" i="17"/>
  <c r="F286" i="17"/>
  <c r="F216" i="17"/>
  <c r="E254" i="17"/>
  <c r="F254" i="17"/>
  <c r="E272" i="17"/>
  <c r="F272" i="17"/>
  <c r="D210" i="17"/>
  <c r="D175" i="17"/>
  <c r="D140" i="17"/>
  <c r="D105" i="17"/>
  <c r="E32" i="17"/>
  <c r="F32" i="17"/>
  <c r="D62" i="17"/>
  <c r="D195" i="17"/>
  <c r="E208" i="17"/>
  <c r="F125" i="17"/>
  <c r="F103" i="17"/>
  <c r="C105" i="17"/>
  <c r="C104" i="17"/>
  <c r="F194" i="17"/>
  <c r="C195" i="17"/>
  <c r="C273" i="17"/>
  <c r="F271" i="17"/>
  <c r="F270" i="17"/>
  <c r="E268" i="17"/>
  <c r="F268" i="17"/>
  <c r="E300" i="17"/>
  <c r="F300" i="17"/>
  <c r="D70" i="13"/>
  <c r="D72" i="13"/>
  <c r="D69" i="13"/>
  <c r="D22" i="13"/>
  <c r="D42" i="12"/>
  <c r="E34" i="12"/>
  <c r="F34" i="12"/>
  <c r="C42" i="12"/>
  <c r="C99" i="8"/>
  <c r="C101" i="8"/>
  <c r="C98" i="8"/>
  <c r="C22" i="8"/>
  <c r="E99" i="8"/>
  <c r="E101" i="8"/>
  <c r="E98" i="8"/>
  <c r="E22" i="8"/>
  <c r="D112" i="8"/>
  <c r="D111" i="8"/>
  <c r="D28" i="8"/>
  <c r="D43" i="5"/>
  <c r="E35" i="5"/>
  <c r="F35" i="5"/>
  <c r="C43" i="5"/>
  <c r="E91" i="18"/>
  <c r="D105" i="18"/>
  <c r="E105" i="18"/>
  <c r="E121" i="18"/>
  <c r="E266" i="18"/>
  <c r="D267" i="18"/>
  <c r="C131" i="18"/>
  <c r="D116" i="18"/>
  <c r="E116" i="18"/>
  <c r="E110" i="18"/>
  <c r="D117" i="18"/>
  <c r="E109" i="18"/>
  <c r="E122" i="18"/>
  <c r="D128" i="18"/>
  <c r="E128" i="18"/>
  <c r="E62" i="17"/>
  <c r="F62" i="17"/>
  <c r="D63" i="17"/>
  <c r="E63" i="17"/>
  <c r="F63" i="17"/>
  <c r="D106" i="17"/>
  <c r="E105" i="17"/>
  <c r="D176" i="17"/>
  <c r="E176" i="17"/>
  <c r="E175" i="17"/>
  <c r="F175" i="17"/>
  <c r="D309" i="17"/>
  <c r="D310" i="17"/>
  <c r="F208" i="17"/>
  <c r="C210" i="17"/>
  <c r="C209" i="17"/>
  <c r="C141" i="17"/>
  <c r="E50" i="17"/>
  <c r="F50" i="17"/>
  <c r="E304" i="17"/>
  <c r="F304" i="17"/>
  <c r="C70" i="17"/>
  <c r="E104" i="17"/>
  <c r="F104" i="17"/>
  <c r="E174" i="17"/>
  <c r="F174" i="17"/>
  <c r="F105" i="17"/>
  <c r="C106" i="17"/>
  <c r="E195" i="17"/>
  <c r="F195" i="17"/>
  <c r="D141" i="17"/>
  <c r="E140" i="17"/>
  <c r="F140" i="17"/>
  <c r="D211" i="17"/>
  <c r="E210" i="17"/>
  <c r="C305" i="17"/>
  <c r="C323" i="17"/>
  <c r="F323" i="17"/>
  <c r="F162" i="17"/>
  <c r="C183" i="17"/>
  <c r="F183" i="17"/>
  <c r="E291" i="17"/>
  <c r="F291" i="17"/>
  <c r="D183" i="17"/>
  <c r="E183" i="17"/>
  <c r="E162" i="17"/>
  <c r="D324" i="17"/>
  <c r="E92" i="17"/>
  <c r="F92" i="17"/>
  <c r="E273" i="17"/>
  <c r="F273" i="17"/>
  <c r="C176" i="17"/>
  <c r="F176" i="17"/>
  <c r="C148" i="17"/>
  <c r="C197" i="17"/>
  <c r="E289" i="17"/>
  <c r="F289" i="17"/>
  <c r="E139" i="17"/>
  <c r="F139" i="17"/>
  <c r="E197" i="17"/>
  <c r="E127" i="17"/>
  <c r="F127" i="17"/>
  <c r="D49" i="12"/>
  <c r="E49" i="12"/>
  <c r="E42" i="12"/>
  <c r="F42" i="12"/>
  <c r="C49" i="12"/>
  <c r="D99" i="8"/>
  <c r="D101" i="8"/>
  <c r="D98" i="8"/>
  <c r="D22" i="8"/>
  <c r="F43" i="5"/>
  <c r="C50" i="5"/>
  <c r="D50" i="5"/>
  <c r="E50" i="5"/>
  <c r="E43" i="5"/>
  <c r="D70" i="17"/>
  <c r="E70" i="17"/>
  <c r="F70" i="17"/>
  <c r="D129" i="18"/>
  <c r="E129" i="18"/>
  <c r="E117" i="18"/>
  <c r="D131" i="18"/>
  <c r="E131" i="18"/>
  <c r="E267" i="18"/>
  <c r="D269" i="18"/>
  <c r="E269" i="18"/>
  <c r="D268" i="18"/>
  <c r="F197" i="17"/>
  <c r="E324" i="17"/>
  <c r="C309" i="17"/>
  <c r="D322" i="17"/>
  <c r="E322" i="17"/>
  <c r="E141" i="17"/>
  <c r="F141" i="17"/>
  <c r="D312" i="17"/>
  <c r="C322" i="17"/>
  <c r="C211" i="17"/>
  <c r="E309" i="17"/>
  <c r="E106" i="17"/>
  <c r="F106" i="17"/>
  <c r="D148" i="17"/>
  <c r="E148" i="17"/>
  <c r="F148" i="17"/>
  <c r="E209" i="17"/>
  <c r="F209" i="17"/>
  <c r="D113" i="17"/>
  <c r="D323" i="17"/>
  <c r="E323" i="17"/>
  <c r="F210" i="17"/>
  <c r="E305" i="17"/>
  <c r="F305" i="17"/>
  <c r="C113" i="17"/>
  <c r="C324" i="17"/>
  <c r="F49" i="12"/>
  <c r="F50" i="5"/>
  <c r="E268" i="18"/>
  <c r="D271" i="18"/>
  <c r="E271" i="18"/>
  <c r="F324" i="17"/>
  <c r="C325" i="17"/>
  <c r="E113" i="17"/>
  <c r="F113" i="17"/>
  <c r="F322" i="17"/>
  <c r="D313" i="17"/>
  <c r="E211" i="17"/>
  <c r="F211" i="17"/>
  <c r="F309" i="17"/>
  <c r="C310" i="17"/>
  <c r="D325" i="17"/>
  <c r="E325" i="17"/>
  <c r="D315" i="17"/>
  <c r="D314" i="17"/>
  <c r="D251" i="17"/>
  <c r="D256" i="17"/>
  <c r="C312" i="17"/>
  <c r="E310" i="17"/>
  <c r="F310" i="17"/>
  <c r="F325" i="17"/>
  <c r="D318" i="17"/>
  <c r="C313" i="17"/>
  <c r="E312" i="17"/>
  <c r="F312" i="17"/>
  <c r="D257" i="17"/>
  <c r="C251" i="17"/>
  <c r="C315" i="17"/>
  <c r="C314" i="17"/>
  <c r="C256" i="17"/>
  <c r="E313" i="17"/>
  <c r="F313" i="17"/>
  <c r="C318" i="17"/>
  <c r="E314" i="17"/>
  <c r="F314" i="17"/>
  <c r="E251" i="17"/>
  <c r="F251" i="17"/>
  <c r="C257" i="17"/>
  <c r="E256" i="17"/>
  <c r="F256" i="17"/>
  <c r="E315" i="17"/>
  <c r="F315" i="17"/>
  <c r="E318" i="17"/>
  <c r="F318" i="17"/>
  <c r="E257" i="17"/>
  <c r="F257" i="17"/>
</calcChain>
</file>

<file path=xl/sharedStrings.xml><?xml version="1.0" encoding="utf-8"?>
<sst xmlns="http://schemas.openxmlformats.org/spreadsheetml/2006/main" count="2334" uniqueCount="1009">
  <si>
    <t>SAINT FRANCIS HOSPITAL AND MEDICAL CENTER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</si>
  <si>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</si>
  <si>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</si>
  <si>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</si>
  <si>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</si>
  <si>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</si>
  <si>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</si>
  <si>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</si>
  <si>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</si>
  <si>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</si>
  <si>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</si>
  <si>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</si>
  <si>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</si>
  <si>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</si>
  <si>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</si>
  <si>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</si>
  <si>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</si>
  <si>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</si>
  <si>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</si>
  <si>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</si>
  <si>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</si>
  <si>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</si>
  <si>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</si>
  <si>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</si>
  <si>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</si>
  <si>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</si>
  <si>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</si>
  <si>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</si>
  <si>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</si>
  <si>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</si>
  <si>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</si>
  <si>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</si>
  <si>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</si>
  <si>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</si>
  <si>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</si>
  <si>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</si>
  <si>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</si>
  <si>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</si>
  <si>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</si>
  <si>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</si>
  <si>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</si>
  <si>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</si>
  <si>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</si>
  <si>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</si>
  <si>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</si>
  <si>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</si>
  <si>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</si>
  <si>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</si>
  <si>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</si>
  <si>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</si>
  <si>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</si>
  <si>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</si>
  <si>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</si>
  <si>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</si>
  <si>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</si>
  <si>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</si>
  <si>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</si>
  <si>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</si>
  <si>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</si>
  <si>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</si>
  <si>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</si>
  <si>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</si>
  <si>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</si>
  <si>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</si>
  <si>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</si>
  <si>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</si>
  <si>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</si>
  <si>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</si>
  <si>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</si>
  <si>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</si>
  <si>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</si>
  <si>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</si>
  <si>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</si>
  <si>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</si>
  <si>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</si>
  <si>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</si>
  <si>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</si>
  <si>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</si>
  <si>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</si>
  <si>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</si>
  <si>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</si>
  <si>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</si>
  <si>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</si>
  <si>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</si>
  <si>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</si>
  <si>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</si>
  <si>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</si>
  <si>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</si>
  <si>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</si>
  <si>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</si>
  <si>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</si>
  <si>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</si>
  <si>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</si>
  <si>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</si>
  <si>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</si>
  <si>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</si>
  <si>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</si>
  <si>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</si>
  <si>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</si>
  <si>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</si>
  <si>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</si>
  <si>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</si>
  <si>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</si>
  <si>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</si>
  <si>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</si>
  <si>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</si>
  <si>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</si>
  <si>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</si>
  <si>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</si>
  <si>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</si>
  <si>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</si>
  <si>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</si>
  <si>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</si>
  <si>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</si>
  <si>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</si>
  <si>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</si>
  <si>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</si>
  <si>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</si>
  <si>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</si>
  <si>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</si>
  <si>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</si>
  <si>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</si>
  <si>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</si>
  <si>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</si>
  <si>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</si>
  <si>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</si>
  <si>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</si>
  <si>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</si>
  <si>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</si>
  <si>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</si>
  <si>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</si>
  <si>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</si>
  <si>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</si>
  <si>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</si>
  <si>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</si>
  <si>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</si>
  <si>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</si>
  <si>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</si>
  <si>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</si>
  <si>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</si>
  <si>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</si>
  <si>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</si>
  <si>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</si>
  <si>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</si>
  <si>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</si>
  <si>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</si>
  <si>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</si>
  <si>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</si>
  <si>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</si>
  <si>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</si>
  <si>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</si>
  <si>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</si>
  <si>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</si>
  <si>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</si>
  <si>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</si>
  <si>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</si>
  <si>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</si>
  <si>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</si>
  <si>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</si>
  <si>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</si>
  <si>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</si>
  <si>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</si>
  <si>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</si>
  <si>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</si>
  <si>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</si>
  <si>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</si>
  <si>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</si>
  <si>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</si>
  <si>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</si>
  <si>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</si>
  <si>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</si>
  <si>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</si>
  <si>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</si>
  <si>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</si>
  <si>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</si>
  <si>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</si>
  <si>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</si>
  <si>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</si>
  <si>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</si>
  <si>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</si>
  <si>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</si>
  <si>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</si>
  <si>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</si>
  <si>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</si>
  <si>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</si>
  <si>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</si>
  <si>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</si>
  <si>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</si>
  <si>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</si>
  <si>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</si>
  <si>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</si>
  <si>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</si>
  <si>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</si>
  <si>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</si>
  <si>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</si>
  <si>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</si>
  <si>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</si>
  <si>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</si>
  <si>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</si>
  <si>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</si>
  <si>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</si>
  <si>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</si>
  <si>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</si>
  <si>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</si>
  <si>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</si>
  <si>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</si>
  <si>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</si>
  <si>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</si>
  <si>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</si>
  <si>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</si>
  <si>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</si>
  <si>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</si>
  <si>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</si>
  <si>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</si>
  <si>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</si>
  <si>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</si>
  <si>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</si>
  <si>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</si>
  <si>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</si>
  <si>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</si>
  <si>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</si>
  <si>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</si>
  <si>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</si>
  <si>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</si>
  <si>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</si>
  <si>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</si>
  <si>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</si>
  <si>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</si>
  <si>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</si>
  <si>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</si>
  <si>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</si>
  <si>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</si>
  <si>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</si>
  <si>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</si>
  <si>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</si>
  <si>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</si>
  <si>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</si>
  <si>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</si>
  <si>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</si>
  <si>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</si>
  <si>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</si>
  <si>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</si>
  <si>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</si>
  <si>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</si>
  <si>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</si>
  <si>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</si>
  <si>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</si>
  <si>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</si>
  <si>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</si>
  <si>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</si>
  <si>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</si>
  <si>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</si>
  <si>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</si>
  <si>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</si>
  <si>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</si>
  <si>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</si>
  <si>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</si>
  <si>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</si>
  <si>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</si>
  <si>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</si>
  <si>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</si>
  <si>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</si>
  <si>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</si>
  <si>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</si>
  <si>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</si>
  <si>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</si>
  <si>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</si>
  <si>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</si>
  <si>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</si>
  <si>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</si>
  <si>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</si>
  <si>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</si>
  <si>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</si>
  <si>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</si>
  <si>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</si>
  <si>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</si>
  <si>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</si>
  <si>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</si>
  <si>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</si>
  <si>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</si>
  <si>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</si>
  <si>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</si>
  <si>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</si>
  <si>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</si>
  <si>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</si>
  <si>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</si>
  <si>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</si>
  <si>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</si>
  <si>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</si>
  <si>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</si>
  <si>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</si>
  <si>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</si>
  <si>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</si>
  <si>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</si>
  <si>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</si>
  <si>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</si>
  <si>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</si>
  <si>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</si>
  <si>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</si>
  <si>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</si>
  <si>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</si>
  <si>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</si>
  <si>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</si>
  <si>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</si>
  <si>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</si>
  <si>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</si>
  <si>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</si>
  <si>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</si>
  <si>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</si>
  <si>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</si>
  <si>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</si>
  <si>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</si>
  <si>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</si>
  <si>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</si>
  <si>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</si>
  <si>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</si>
  <si>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</si>
  <si>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</si>
  <si>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</si>
  <si>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</si>
  <si>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</si>
  <si>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</si>
  <si>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</si>
  <si>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</si>
  <si>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</si>
  <si>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</si>
  <si>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</si>
  <si>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</si>
  <si>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</si>
  <si>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</si>
  <si>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</si>
  <si>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</si>
  <si>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</si>
  <si>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</si>
  <si>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</si>
  <si>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</si>
  <si>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</si>
  <si>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</si>
  <si>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</si>
  <si>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</si>
  <si>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</si>
  <si>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</si>
  <si>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</si>
  <si>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</si>
  <si>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</si>
  <si>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</si>
  <si>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</si>
  <si>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</si>
  <si>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</si>
  <si>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</si>
  <si>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</si>
  <si>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</si>
  <si>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</si>
  <si>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</si>
  <si>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</si>
  <si>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</si>
  <si>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</si>
  <si>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</si>
  <si>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</si>
  <si>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</si>
  <si>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</si>
  <si>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</si>
  <si>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</si>
  <si>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</si>
  <si>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</si>
  <si>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</si>
  <si>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</si>
  <si>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</si>
  <si>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</si>
  <si>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</si>
  <si>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</si>
  <si>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</si>
  <si>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</si>
  <si>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</si>
  <si>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</si>
  <si>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</si>
  <si>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</si>
  <si>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</si>
  <si>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</si>
  <si>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</si>
  <si>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</si>
  <si>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</si>
  <si>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</si>
  <si>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</si>
  <si>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</si>
  <si>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</si>
  <si>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</si>
  <si>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</si>
  <si>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</si>
  <si>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</si>
  <si>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</si>
  <si>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</si>
  <si>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</si>
  <si>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</si>
  <si>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</si>
  <si>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</si>
  <si>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</si>
  <si>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</si>
  <si>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</si>
  <si>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</si>
  <si>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</si>
  <si>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</si>
  <si>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</si>
  <si>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</si>
  <si>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</si>
  <si>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</si>
  <si>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</si>
  <si>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</si>
  <si>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</si>
  <si>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</si>
  <si>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</si>
  <si>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</si>
  <si>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</si>
  <si>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</si>
  <si>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</si>
  <si>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</si>
  <si>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</si>
  <si>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</si>
  <si>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</si>
  <si>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</si>
  <si>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</si>
  <si>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</si>
  <si>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</si>
  <si>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</si>
  <si>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</si>
  <si>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</si>
  <si>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</si>
  <si>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</si>
  <si>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</si>
  <si>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</si>
  <si>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</si>
  <si>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</si>
  <si>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</si>
  <si>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</si>
  <si>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</si>
  <si>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</si>
  <si>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</si>
  <si>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</si>
  <si>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</si>
  <si>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</si>
  <si>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</si>
  <si>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</si>
  <si>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</si>
  <si>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</si>
  <si>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</si>
  <si>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</si>
  <si>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</si>
  <si>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</si>
  <si>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</si>
  <si>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</si>
  <si>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</si>
  <si>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</si>
  <si>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</si>
  <si>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</si>
  <si>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</si>
  <si>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</si>
  <si>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</si>
  <si>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</si>
  <si>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</si>
  <si>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</si>
  <si>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</si>
  <si>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</si>
  <si>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</si>
  <si>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</si>
  <si>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</si>
  <si>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</si>
  <si>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</si>
  <si>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</si>
  <si>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</si>
  <si>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</si>
  <si>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</si>
  <si>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</si>
  <si>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</si>
  <si>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</si>
  <si>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</si>
  <si>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</si>
  <si>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</si>
  <si>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</si>
  <si>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</si>
  <si>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</si>
  <si>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</si>
  <si>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</si>
  <si>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</si>
  <si>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</si>
  <si>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</si>
  <si>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</si>
  <si>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</si>
  <si>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</si>
  <si>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</si>
  <si>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</si>
  <si>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</si>
  <si>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</si>
  <si>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</si>
  <si>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</si>
  <si>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</si>
  <si>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</si>
  <si>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</si>
  <si>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</si>
  <si>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</si>
  <si>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</si>
  <si>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SAINT FRANCIS CARE,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</si>
  <si>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</si>
  <si>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</si>
  <si>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</si>
  <si>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</si>
  <si>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</si>
  <si>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</si>
  <si>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</si>
  <si>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</si>
  <si>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</si>
  <si>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</si>
  <si>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</si>
  <si>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</si>
  <si>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</si>
  <si>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</si>
  <si>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</si>
  <si>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</si>
  <si>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</si>
  <si>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</si>
  <si>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</si>
  <si>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</si>
  <si>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</si>
  <si>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</si>
  <si>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</si>
  <si>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</si>
  <si>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</si>
  <si>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</si>
  <si>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</si>
  <si>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</si>
  <si>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</si>
  <si>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</si>
  <si>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</si>
  <si>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</si>
  <si>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</si>
  <si>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</si>
  <si>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</si>
  <si>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</si>
  <si>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</si>
  <si>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</si>
  <si>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</si>
  <si>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</si>
  <si>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</si>
  <si>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</si>
  <si>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</si>
  <si>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</si>
  <si>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</si>
  <si>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</si>
  <si>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</si>
  <si>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</si>
  <si>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</si>
  <si>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</si>
  <si>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</si>
  <si>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</si>
  <si>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</si>
  <si>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</si>
  <si>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</si>
  <si>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</si>
  <si>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</si>
  <si>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</si>
  <si>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</si>
  <si>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</si>
  <si>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</si>
  <si>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</si>
  <si>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</si>
  <si>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</si>
  <si>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</si>
  <si>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</si>
  <si>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</si>
  <si>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</si>
  <si>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</si>
  <si>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</si>
  <si>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</si>
  <si>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</si>
  <si>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</si>
  <si>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</si>
  <si>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</si>
  <si>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</si>
  <si>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</si>
  <si>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</si>
  <si>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</si>
  <si>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</si>
  <si>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</si>
  <si>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</si>
  <si>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</si>
  <si>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</si>
  <si>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</si>
  <si>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</si>
  <si>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</si>
  <si>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</si>
  <si>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</si>
  <si>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</si>
  <si>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</si>
  <si>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</si>
  <si>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</si>
  <si>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</si>
  <si>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</si>
  <si>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</si>
  <si>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</si>
  <si>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</si>
  <si>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</si>
  <si>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</si>
  <si>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</si>
  <si>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</si>
  <si>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</si>
  <si>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</si>
  <si>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</si>
  <si>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</si>
  <si>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</si>
  <si>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</si>
  <si>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</si>
  <si>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</si>
  <si>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</si>
  <si>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</si>
  <si>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</si>
  <si>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</si>
  <si>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</si>
  <si>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</si>
  <si>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</si>
  <si>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</si>
  <si>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</si>
  <si>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</si>
  <si>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Saint Francis Hospital</t>
  </si>
  <si>
    <t>SFHMC - Mount Sinai Campus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</si>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</sst>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80260000</v>
      </c>
      <c r="D13" s="22">
        <v>70507000</v>
      </c>
      <c r="E13" s="22">
        <f t="shared" ref="E13:E22" si="0">D13-C13</f>
        <v>-9753000</v>
      </c>
      <c r="F13" s="23">
        <f t="shared" ref="F13:F22" si="1">IF(C13=0,0,E13/C13)</f>
        <v>-0.12151756790431099</v>
      </c>
    </row>
    <row r="14" spans="1:8" ht="24" customHeight="1" x14ac:dyDescent="0.2">
      <c r="A14" s="20">
        <v>2</v>
      </c>
      <c r="B14" s="21" t="s">
        <v>17</v>
      </c>
      <c r="C14" s="22">
        <v>30428000</v>
      </c>
      <c r="D14" s="22">
        <v>25411000</v>
      </c>
      <c r="E14" s="22">
        <f t="shared" si="0"/>
        <v>-5017000</v>
      </c>
      <c r="F14" s="23">
        <f t="shared" si="1"/>
        <v>-0.16488103062968318</v>
      </c>
    </row>
    <row r="15" spans="1:8" ht="24" customHeight="1" x14ac:dyDescent="0.2">
      <c r="A15" s="20">
        <v>3</v>
      </c>
      <c r="B15" s="21" t="s">
        <v>18</v>
      </c>
      <c r="C15" s="22">
        <v>60969000</v>
      </c>
      <c r="D15" s="22">
        <v>70949000</v>
      </c>
      <c r="E15" s="22">
        <f t="shared" si="0"/>
        <v>9980000</v>
      </c>
      <c r="F15" s="23">
        <f t="shared" si="1"/>
        <v>0.16368974396824615</v>
      </c>
    </row>
    <row r="16" spans="1:8" ht="24" customHeight="1" x14ac:dyDescent="0.2">
      <c r="A16" s="20">
        <v>4</v>
      </c>
      <c r="B16" s="21" t="s">
        <v>19</v>
      </c>
      <c r="C16" s="22">
        <v>4883000</v>
      </c>
      <c r="D16" s="22">
        <v>1459000</v>
      </c>
      <c r="E16" s="22">
        <f t="shared" si="0"/>
        <v>-3424000</v>
      </c>
      <c r="F16" s="23">
        <f t="shared" si="1"/>
        <v>-0.70120827360229365</v>
      </c>
    </row>
    <row r="17" spans="1:11" ht="24" customHeight="1" x14ac:dyDescent="0.2">
      <c r="A17" s="20">
        <v>5</v>
      </c>
      <c r="B17" s="21" t="s">
        <v>20</v>
      </c>
      <c r="C17" s="22">
        <v>-2789000</v>
      </c>
      <c r="D17" s="22">
        <v>13206000</v>
      </c>
      <c r="E17" s="22">
        <f t="shared" si="0"/>
        <v>15995000</v>
      </c>
      <c r="F17" s="23">
        <f t="shared" si="1"/>
        <v>-5.7350304768734315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7188000</v>
      </c>
      <c r="D19" s="22">
        <v>8855000</v>
      </c>
      <c r="E19" s="22">
        <f t="shared" si="0"/>
        <v>1667000</v>
      </c>
      <c r="F19" s="23">
        <f t="shared" si="1"/>
        <v>0.23191430161380078</v>
      </c>
    </row>
    <row r="20" spans="1:11" ht="24" customHeight="1" x14ac:dyDescent="0.2">
      <c r="A20" s="20">
        <v>8</v>
      </c>
      <c r="B20" s="21" t="s">
        <v>23</v>
      </c>
      <c r="C20" s="22">
        <v>5740000</v>
      </c>
      <c r="D20" s="22">
        <v>6327000</v>
      </c>
      <c r="E20" s="22">
        <f t="shared" si="0"/>
        <v>587000</v>
      </c>
      <c r="F20" s="23">
        <f t="shared" si="1"/>
        <v>0.10226480836236934</v>
      </c>
    </row>
    <row r="21" spans="1:11" ht="24" customHeight="1" x14ac:dyDescent="0.2">
      <c r="A21" s="20">
        <v>9</v>
      </c>
      <c r="B21" s="21" t="s">
        <v>24</v>
      </c>
      <c r="C21" s="22">
        <v>1245000</v>
      </c>
      <c r="D21" s="22">
        <v>1443000</v>
      </c>
      <c r="E21" s="22">
        <f t="shared" si="0"/>
        <v>198000</v>
      </c>
      <c r="F21" s="23">
        <f t="shared" si="1"/>
        <v>0.15903614457831325</v>
      </c>
    </row>
    <row r="22" spans="1:11" ht="24" customHeight="1" x14ac:dyDescent="0.25">
      <c r="A22" s="24"/>
      <c r="B22" s="25" t="s">
        <v>25</v>
      </c>
      <c r="C22" s="26">
        <f>SUM(C13:C21)</f>
        <v>187924000</v>
      </c>
      <c r="D22" s="26">
        <f>SUM(D13:D21)</f>
        <v>198157000</v>
      </c>
      <c r="E22" s="26">
        <f t="shared" si="0"/>
        <v>10233000</v>
      </c>
      <c r="F22" s="27">
        <f t="shared" si="1"/>
        <v>5.4452863923713839E-2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51164000</v>
      </c>
      <c r="D25" s="22">
        <v>53033000</v>
      </c>
      <c r="E25" s="22">
        <f>D25-C25</f>
        <v>1869000</v>
      </c>
      <c r="F25" s="23">
        <f>IF(C25=0,0,E25/C25)</f>
        <v>3.6529591118755374E-2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21396000</v>
      </c>
      <c r="D26" s="22">
        <v>25208000</v>
      </c>
      <c r="E26" s="22">
        <f>D26-C26</f>
        <v>3812000</v>
      </c>
      <c r="F26" s="23">
        <f>IF(C26=0,0,E26/C26)</f>
        <v>0.17816414283043561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4167000</v>
      </c>
      <c r="D28" s="22">
        <v>3784000</v>
      </c>
      <c r="E28" s="22">
        <f>D28-C28</f>
        <v>-383000</v>
      </c>
      <c r="F28" s="23">
        <f>IF(C28=0,0,E28/C28)</f>
        <v>-9.1912646988240934E-2</v>
      </c>
    </row>
    <row r="29" spans="1:11" ht="24" customHeight="1" x14ac:dyDescent="0.25">
      <c r="A29" s="24"/>
      <c r="B29" s="25" t="s">
        <v>32</v>
      </c>
      <c r="C29" s="26">
        <f>SUM(C25:C28)</f>
        <v>76727000</v>
      </c>
      <c r="D29" s="26">
        <f>SUM(D25:D28)</f>
        <v>82025000</v>
      </c>
      <c r="E29" s="26">
        <f>D29-C29</f>
        <v>5298000</v>
      </c>
      <c r="F29" s="27">
        <f>IF(C29=0,0,E29/C29)</f>
        <v>6.9050008471594093E-2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10952000</v>
      </c>
      <c r="D31" s="22">
        <v>10789000</v>
      </c>
      <c r="E31" s="22">
        <f>D31-C31</f>
        <v>-163000</v>
      </c>
      <c r="F31" s="23">
        <f>IF(C31=0,0,E31/C31)</f>
        <v>-1.4883126369612856E-2</v>
      </c>
    </row>
    <row r="32" spans="1:11" ht="24" customHeight="1" x14ac:dyDescent="0.2">
      <c r="A32" s="20">
        <v>6</v>
      </c>
      <c r="B32" s="21" t="s">
        <v>34</v>
      </c>
      <c r="C32" s="22">
        <v>16916000</v>
      </c>
      <c r="D32" s="22">
        <v>17495000</v>
      </c>
      <c r="E32" s="22">
        <f>D32-C32</f>
        <v>579000</v>
      </c>
      <c r="F32" s="23">
        <f>IF(C32=0,0,E32/C32)</f>
        <v>3.4227949869945616E-2</v>
      </c>
    </row>
    <row r="33" spans="1:8" ht="24" customHeight="1" x14ac:dyDescent="0.2">
      <c r="A33" s="20">
        <v>7</v>
      </c>
      <c r="B33" s="21" t="s">
        <v>35</v>
      </c>
      <c r="C33" s="22">
        <v>5143000</v>
      </c>
      <c r="D33" s="22">
        <v>9717000</v>
      </c>
      <c r="E33" s="22">
        <f>D33-C33</f>
        <v>4574000</v>
      </c>
      <c r="F33" s="23">
        <f>IF(C33=0,0,E33/C33)</f>
        <v>0.88936418432821307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769669000</v>
      </c>
      <c r="D36" s="22">
        <v>839530000</v>
      </c>
      <c r="E36" s="22">
        <f>D36-C36</f>
        <v>69861000</v>
      </c>
      <c r="F36" s="23">
        <f>IF(C36=0,0,E36/C36)</f>
        <v>9.0767589704145543E-2</v>
      </c>
    </row>
    <row r="37" spans="1:8" ht="24" customHeight="1" x14ac:dyDescent="0.2">
      <c r="A37" s="20">
        <v>2</v>
      </c>
      <c r="B37" s="21" t="s">
        <v>39</v>
      </c>
      <c r="C37" s="22">
        <v>356050000</v>
      </c>
      <c r="D37" s="22">
        <v>391133000</v>
      </c>
      <c r="E37" s="22">
        <f>D37-C37</f>
        <v>35083000</v>
      </c>
      <c r="F37" s="23">
        <f>IF(C37=0,0,E37/C37)</f>
        <v>9.853391377615503E-2</v>
      </c>
    </row>
    <row r="38" spans="1:8" ht="24" customHeight="1" x14ac:dyDescent="0.25">
      <c r="A38" s="24"/>
      <c r="B38" s="25" t="s">
        <v>40</v>
      </c>
      <c r="C38" s="26">
        <f>C36-C37</f>
        <v>413619000</v>
      </c>
      <c r="D38" s="26">
        <f>D36-D37</f>
        <v>448397000</v>
      </c>
      <c r="E38" s="26">
        <f>D38-C38</f>
        <v>34778000</v>
      </c>
      <c r="F38" s="27">
        <f>IF(C38=0,0,E38/C38)</f>
        <v>8.4082210923579426E-2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39905000</v>
      </c>
      <c r="D40" s="22">
        <v>13586000</v>
      </c>
      <c r="E40" s="22">
        <f>D40-C40</f>
        <v>-26319000</v>
      </c>
      <c r="F40" s="23">
        <f>IF(C40=0,0,E40/C40)</f>
        <v>-0.65954141085077056</v>
      </c>
    </row>
    <row r="41" spans="1:8" ht="24" customHeight="1" x14ac:dyDescent="0.25">
      <c r="A41" s="24"/>
      <c r="B41" s="25" t="s">
        <v>42</v>
      </c>
      <c r="C41" s="26">
        <f>+C38+C40</f>
        <v>453524000</v>
      </c>
      <c r="D41" s="26">
        <f>+D38+D40</f>
        <v>461983000</v>
      </c>
      <c r="E41" s="26">
        <f>D41-C41</f>
        <v>8459000</v>
      </c>
      <c r="F41" s="27">
        <f>IF(C41=0,0,E41/C41)</f>
        <v>1.8651714131997423E-2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751186000</v>
      </c>
      <c r="D43" s="26">
        <f>D22+D29+D31+D32+D33+D41</f>
        <v>780166000</v>
      </c>
      <c r="E43" s="26">
        <f>D43-C43</f>
        <v>28980000</v>
      </c>
      <c r="F43" s="27">
        <f>IF(C43=0,0,E43/C43)</f>
        <v>3.8578993751214749E-2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32109000</v>
      </c>
      <c r="D49" s="22">
        <v>32842000</v>
      </c>
      <c r="E49" s="22">
        <f t="shared" ref="E49:E56" si="2">D49-C49</f>
        <v>733000</v>
      </c>
      <c r="F49" s="23">
        <f t="shared" ref="F49:F56" si="3">IF(C49=0,0,E49/C49)</f>
        <v>2.2828490454389734E-2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32532000</v>
      </c>
      <c r="D50" s="22">
        <v>33833000</v>
      </c>
      <c r="E50" s="22">
        <f t="shared" si="2"/>
        <v>1301000</v>
      </c>
      <c r="F50" s="23">
        <f t="shared" si="3"/>
        <v>3.9991393089880735E-2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12474000</v>
      </c>
      <c r="D51" s="22">
        <v>14939000</v>
      </c>
      <c r="E51" s="22">
        <f t="shared" si="2"/>
        <v>2465000</v>
      </c>
      <c r="F51" s="23">
        <f t="shared" si="3"/>
        <v>0.19761103094436427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8819000</v>
      </c>
      <c r="D53" s="22">
        <v>8760000</v>
      </c>
      <c r="E53" s="22">
        <f t="shared" si="2"/>
        <v>-59000</v>
      </c>
      <c r="F53" s="23">
        <f t="shared" si="3"/>
        <v>-6.6901009184714821E-3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6283000</v>
      </c>
      <c r="D55" s="22">
        <v>6978000</v>
      </c>
      <c r="E55" s="22">
        <f t="shared" si="2"/>
        <v>695000</v>
      </c>
      <c r="F55" s="23">
        <f t="shared" si="3"/>
        <v>0.11061594779563902</v>
      </c>
    </row>
    <row r="56" spans="1:6" ht="24" customHeight="1" x14ac:dyDescent="0.25">
      <c r="A56" s="24"/>
      <c r="B56" s="25" t="s">
        <v>54</v>
      </c>
      <c r="C56" s="26">
        <f>SUM(C49:C55)</f>
        <v>92217000</v>
      </c>
      <c r="D56" s="26">
        <f>SUM(D49:D55)</f>
        <v>97352000</v>
      </c>
      <c r="E56" s="26">
        <f t="shared" si="2"/>
        <v>5135000</v>
      </c>
      <c r="F56" s="27">
        <f t="shared" si="3"/>
        <v>5.5683876074910266E-2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258637000</v>
      </c>
      <c r="D59" s="22">
        <v>251476000</v>
      </c>
      <c r="E59" s="22">
        <f>D59-C59</f>
        <v>-7161000</v>
      </c>
      <c r="F59" s="23">
        <f>IF(C59=0,0,E59/C59)</f>
        <v>-2.7687453844577534E-2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258637000</v>
      </c>
      <c r="D61" s="26">
        <f>SUM(D59:D60)</f>
        <v>251476000</v>
      </c>
      <c r="E61" s="26">
        <f>D61-C61</f>
        <v>-7161000</v>
      </c>
      <c r="F61" s="27">
        <f>IF(C61=0,0,E61/C61)</f>
        <v>-2.7687453844577534E-2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191376000</v>
      </c>
      <c r="D63" s="22">
        <v>249644000</v>
      </c>
      <c r="E63" s="22">
        <f>D63-C63</f>
        <v>58268000</v>
      </c>
      <c r="F63" s="23">
        <f>IF(C63=0,0,E63/C63)</f>
        <v>0.30446868990887049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450013000</v>
      </c>
      <c r="D65" s="26">
        <f>SUM(D61:D64)</f>
        <v>501120000</v>
      </c>
      <c r="E65" s="26">
        <f>D65-C65</f>
        <v>51107000</v>
      </c>
      <c r="F65" s="27">
        <f>IF(C65=0,0,E65/C65)</f>
        <v>0.1135678302626813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127892000</v>
      </c>
      <c r="D70" s="22">
        <v>100020000</v>
      </c>
      <c r="E70" s="22">
        <f>D70-C70</f>
        <v>-27872000</v>
      </c>
      <c r="F70" s="23">
        <f>IF(C70=0,0,E70/C70)</f>
        <v>-0.21793388171269509</v>
      </c>
    </row>
    <row r="71" spans="1:6" ht="24" customHeight="1" x14ac:dyDescent="0.2">
      <c r="A71" s="20">
        <v>2</v>
      </c>
      <c r="B71" s="21" t="s">
        <v>65</v>
      </c>
      <c r="C71" s="22">
        <v>25614000</v>
      </c>
      <c r="D71" s="22">
        <v>24355000</v>
      </c>
      <c r="E71" s="22">
        <f>D71-C71</f>
        <v>-1259000</v>
      </c>
      <c r="F71" s="23">
        <f>IF(C71=0,0,E71/C71)</f>
        <v>-4.9152807058639808E-2</v>
      </c>
    </row>
    <row r="72" spans="1:6" ht="24" customHeight="1" x14ac:dyDescent="0.2">
      <c r="A72" s="20">
        <v>3</v>
      </c>
      <c r="B72" s="21" t="s">
        <v>66</v>
      </c>
      <c r="C72" s="22">
        <v>55450000</v>
      </c>
      <c r="D72" s="22">
        <v>57319000</v>
      </c>
      <c r="E72" s="22">
        <f>D72-C72</f>
        <v>1869000</v>
      </c>
      <c r="F72" s="23">
        <f>IF(C72=0,0,E72/C72)</f>
        <v>3.3706041478809741E-2</v>
      </c>
    </row>
    <row r="73" spans="1:6" ht="24" customHeight="1" x14ac:dyDescent="0.25">
      <c r="A73" s="20"/>
      <c r="B73" s="25" t="s">
        <v>67</v>
      </c>
      <c r="C73" s="26">
        <f>SUM(C70:C72)</f>
        <v>208956000</v>
      </c>
      <c r="D73" s="26">
        <f>SUM(D70:D72)</f>
        <v>181694000</v>
      </c>
      <c r="E73" s="26">
        <f>D73-C73</f>
        <v>-27262000</v>
      </c>
      <c r="F73" s="27">
        <f>IF(C73=0,0,E73/C73)</f>
        <v>-0.13046765826298359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751186000</v>
      </c>
      <c r="D75" s="26">
        <f>D56+D65+D67+D73</f>
        <v>780166000</v>
      </c>
      <c r="E75" s="26">
        <f>D75-C75</f>
        <v>28980000</v>
      </c>
      <c r="F75" s="27">
        <f>IF(C75=0,0,E75/C75)</f>
        <v>3.8578993751214749E-2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734727000</v>
      </c>
      <c r="D11" s="76">
        <v>734852000</v>
      </c>
      <c r="E11" s="76">
        <v>756781000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55322000</v>
      </c>
      <c r="D12" s="185">
        <v>49283000</v>
      </c>
      <c r="E12" s="185">
        <v>48441000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790049000</v>
      </c>
      <c r="D13" s="76">
        <f>+D11+D12</f>
        <v>784135000</v>
      </c>
      <c r="E13" s="76">
        <f>+E11+E12</f>
        <v>805222000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774695000</v>
      </c>
      <c r="D14" s="185">
        <v>775909000</v>
      </c>
      <c r="E14" s="185">
        <v>793699000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15354000</v>
      </c>
      <c r="D15" s="76">
        <f>+D13-D14</f>
        <v>8226000</v>
      </c>
      <c r="E15" s="76">
        <f>+E13-E14</f>
        <v>11523000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-10790000</v>
      </c>
      <c r="D16" s="185">
        <v>24517000</v>
      </c>
      <c r="E16" s="185">
        <v>1201000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4564000</v>
      </c>
      <c r="D17" s="76">
        <f>D15+D16</f>
        <v>32743000</v>
      </c>
      <c r="E17" s="76">
        <f>E15+E16</f>
        <v>12724000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1.9703333551489299E-2</v>
      </c>
      <c r="D20" s="189">
        <f>IF(+D27=0,0,+D24/+D27)</f>
        <v>1.0172484579275139E-2</v>
      </c>
      <c r="E20" s="189">
        <f>IF(+E27=0,0,+E24/+E27)</f>
        <v>1.4289026974677061E-2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-1.3846487496454965E-2</v>
      </c>
      <c r="D21" s="189">
        <f>IF(+D27=0,0,+D26/+D27)</f>
        <v>3.0318356969376195E-2</v>
      </c>
      <c r="E21" s="189">
        <f>IF(+E27=0,0,+E26/+E27)</f>
        <v>1.4892928401099672E-3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5.8568460550343336E-3</v>
      </c>
      <c r="D22" s="189">
        <f>IF(+D27=0,0,+D28/+D27)</f>
        <v>4.0490841548651332E-2</v>
      </c>
      <c r="E22" s="189">
        <f>IF(+E27=0,0,+E28/+E27)</f>
        <v>1.5778319814787028E-2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15354000</v>
      </c>
      <c r="D24" s="76">
        <f>+D15</f>
        <v>8226000</v>
      </c>
      <c r="E24" s="76">
        <f>+E15</f>
        <v>11523000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790049000</v>
      </c>
      <c r="D25" s="76">
        <f>+D13</f>
        <v>784135000</v>
      </c>
      <c r="E25" s="76">
        <f>+E13</f>
        <v>805222000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-10790000</v>
      </c>
      <c r="D26" s="76">
        <f>+D16</f>
        <v>24517000</v>
      </c>
      <c r="E26" s="76">
        <f>+E16</f>
        <v>1201000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779259000</v>
      </c>
      <c r="D27" s="76">
        <f>SUM(D25:D26)</f>
        <v>808652000</v>
      </c>
      <c r="E27" s="76">
        <f>SUM(E25:E26)</f>
        <v>806423000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4564000</v>
      </c>
      <c r="D28" s="76">
        <f>+D17</f>
        <v>32743000</v>
      </c>
      <c r="E28" s="76">
        <f>+E17</f>
        <v>12724000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45665000</v>
      </c>
      <c r="D31" s="76">
        <v>178467000</v>
      </c>
      <c r="E31" s="76">
        <v>137311000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144158000</v>
      </c>
      <c r="D32" s="76">
        <v>260573000</v>
      </c>
      <c r="E32" s="76">
        <v>220721000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-39864801</v>
      </c>
      <c r="D33" s="76">
        <f>+D32-C32</f>
        <v>116415000</v>
      </c>
      <c r="E33" s="76">
        <f>+E32-D32</f>
        <v>-39852000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0.7833</v>
      </c>
      <c r="D34" s="193">
        <f>IF(C32=0,0,+D33/C32)</f>
        <v>0.80755143661815509</v>
      </c>
      <c r="E34" s="193">
        <f>IF(D32=0,0,+E33/D32)</f>
        <v>-0.15293986713895913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2.334109705307621</v>
      </c>
      <c r="D38" s="338">
        <f>IF(+D40=0,0,+D39/+D40)</f>
        <v>2.1886598303942093</v>
      </c>
      <c r="E38" s="338">
        <f>IF(+E40=0,0,+E39/+E40)</f>
        <v>2.054057917395399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236506000</v>
      </c>
      <c r="D39" s="341">
        <v>246732000</v>
      </c>
      <c r="E39" s="341">
        <v>244285000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101326000</v>
      </c>
      <c r="D40" s="341">
        <v>112732000</v>
      </c>
      <c r="E40" s="341">
        <v>118928000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70.736526102459052</v>
      </c>
      <c r="D42" s="343">
        <f>IF((D48/365)=0,0,+D45/(D48/365))</f>
        <v>73.184579856488853</v>
      </c>
      <c r="E42" s="343">
        <f>IF((E48/365)=0,0,+E45/(E48/365))</f>
        <v>65.386021920795116</v>
      </c>
    </row>
    <row r="43" spans="1:14" ht="24" customHeight="1" x14ac:dyDescent="0.2">
      <c r="A43" s="339">
        <v>5</v>
      </c>
      <c r="B43" s="344" t="s">
        <v>16</v>
      </c>
      <c r="C43" s="345">
        <v>89328000</v>
      </c>
      <c r="D43" s="345">
        <v>97524000</v>
      </c>
      <c r="E43" s="345">
        <v>93155000</v>
      </c>
    </row>
    <row r="44" spans="1:14" ht="24" customHeight="1" x14ac:dyDescent="0.2">
      <c r="A44" s="339">
        <v>6</v>
      </c>
      <c r="B44" s="346" t="s">
        <v>17</v>
      </c>
      <c r="C44" s="345">
        <v>53728000</v>
      </c>
      <c r="D44" s="345">
        <v>50685000</v>
      </c>
      <c r="E44" s="345">
        <v>42241000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143056000</v>
      </c>
      <c r="D45" s="341">
        <f>+D43+D44</f>
        <v>148209000</v>
      </c>
      <c r="E45" s="341">
        <f>+E43+E44</f>
        <v>135396000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774695000</v>
      </c>
      <c r="D46" s="341">
        <f>+D14</f>
        <v>775909000</v>
      </c>
      <c r="E46" s="341">
        <f>+E14</f>
        <v>793699000</v>
      </c>
    </row>
    <row r="47" spans="1:14" ht="24" customHeight="1" x14ac:dyDescent="0.2">
      <c r="A47" s="339">
        <v>9</v>
      </c>
      <c r="B47" s="340" t="s">
        <v>356</v>
      </c>
      <c r="C47" s="341">
        <v>36527000</v>
      </c>
      <c r="D47" s="341">
        <v>36733000</v>
      </c>
      <c r="E47" s="341">
        <v>37887000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738168000</v>
      </c>
      <c r="D48" s="341">
        <f>+D46-D47</f>
        <v>739176000</v>
      </c>
      <c r="E48" s="341">
        <f>+E46-E47</f>
        <v>755812000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33.214425221885136</v>
      </c>
      <c r="D50" s="350">
        <f>IF((D55/365)=0,0,+D54/(D55/365))</f>
        <v>29.245616804472192</v>
      </c>
      <c r="E50" s="350">
        <f>IF((E55/365)=0,0,+E54/(E55/365))</f>
        <v>33.33891839250721</v>
      </c>
    </row>
    <row r="51" spans="1:5" ht="24" customHeight="1" x14ac:dyDescent="0.2">
      <c r="A51" s="339">
        <v>12</v>
      </c>
      <c r="B51" s="344" t="s">
        <v>359</v>
      </c>
      <c r="C51" s="351">
        <v>69853000</v>
      </c>
      <c r="D51" s="351">
        <v>72901000</v>
      </c>
      <c r="E51" s="351">
        <v>84904000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2994000</v>
      </c>
      <c r="D53" s="341">
        <v>14021000</v>
      </c>
      <c r="E53" s="341">
        <v>15780000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66859000</v>
      </c>
      <c r="D54" s="352">
        <f>+D51+D52-D53</f>
        <v>58880000</v>
      </c>
      <c r="E54" s="352">
        <f>+E51+E52-E53</f>
        <v>69124000</v>
      </c>
    </row>
    <row r="55" spans="1:5" ht="24" customHeight="1" x14ac:dyDescent="0.2">
      <c r="A55" s="339">
        <v>16</v>
      </c>
      <c r="B55" s="340" t="s">
        <v>75</v>
      </c>
      <c r="C55" s="341">
        <f>+C11</f>
        <v>734727000</v>
      </c>
      <c r="D55" s="341">
        <f>+D11</f>
        <v>734852000</v>
      </c>
      <c r="E55" s="341">
        <f>+E11</f>
        <v>756781000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50.102402163193197</v>
      </c>
      <c r="D57" s="355">
        <f>IF((D61/365)=0,0,+D58/(D61/365))</f>
        <v>55.666282455058067</v>
      </c>
      <c r="E57" s="355">
        <f>IF((E61/365)=0,0,+E58/(E61/365))</f>
        <v>57.433224135102378</v>
      </c>
    </row>
    <row r="58" spans="1:5" ht="24" customHeight="1" x14ac:dyDescent="0.2">
      <c r="A58" s="339">
        <v>18</v>
      </c>
      <c r="B58" s="340" t="s">
        <v>54</v>
      </c>
      <c r="C58" s="353">
        <f>+C40</f>
        <v>101326000</v>
      </c>
      <c r="D58" s="353">
        <f>+D40</f>
        <v>112732000</v>
      </c>
      <c r="E58" s="353">
        <f>+E40</f>
        <v>118928000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774695000</v>
      </c>
      <c r="D59" s="353">
        <f t="shared" si="0"/>
        <v>775909000</v>
      </c>
      <c r="E59" s="353">
        <f t="shared" si="0"/>
        <v>793699000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36527000</v>
      </c>
      <c r="D60" s="356">
        <f t="shared" si="0"/>
        <v>36733000</v>
      </c>
      <c r="E60" s="356">
        <f t="shared" si="0"/>
        <v>37887000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738168000</v>
      </c>
      <c r="D61" s="353">
        <f>+D59-D60</f>
        <v>739176000</v>
      </c>
      <c r="E61" s="353">
        <f>+E59-E60</f>
        <v>755812000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17.510309434878991</v>
      </c>
      <c r="D65" s="357">
        <f>IF(D67=0,0,(D66/D67)*100)</f>
        <v>30.456461798660289</v>
      </c>
      <c r="E65" s="357">
        <f>IF(E67=0,0,(E66/E67)*100)</f>
        <v>25.174648905799657</v>
      </c>
    </row>
    <row r="66" spans="1:5" ht="24" customHeight="1" x14ac:dyDescent="0.2">
      <c r="A66" s="339">
        <v>2</v>
      </c>
      <c r="B66" s="340" t="s">
        <v>67</v>
      </c>
      <c r="C66" s="353">
        <f>+C32</f>
        <v>144158000</v>
      </c>
      <c r="D66" s="353">
        <f>+D32</f>
        <v>260573000</v>
      </c>
      <c r="E66" s="353">
        <f>+E32</f>
        <v>220721000</v>
      </c>
    </row>
    <row r="67" spans="1:5" ht="24" customHeight="1" x14ac:dyDescent="0.2">
      <c r="A67" s="339">
        <v>3</v>
      </c>
      <c r="B67" s="340" t="s">
        <v>43</v>
      </c>
      <c r="C67" s="353">
        <v>823275000</v>
      </c>
      <c r="D67" s="353">
        <v>855559000</v>
      </c>
      <c r="E67" s="353">
        <v>876759000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11.404947667302263</v>
      </c>
      <c r="D69" s="357">
        <f>IF(D75=0,0,(D72/D75)*100)</f>
        <v>18.708077410877053</v>
      </c>
      <c r="E69" s="357">
        <f>IF(E75=0,0,(E72/E75)*100)</f>
        <v>13.663729333376528</v>
      </c>
    </row>
    <row r="70" spans="1:5" ht="24" customHeight="1" x14ac:dyDescent="0.2">
      <c r="A70" s="339">
        <v>5</v>
      </c>
      <c r="B70" s="340" t="s">
        <v>366</v>
      </c>
      <c r="C70" s="353">
        <f>+C28</f>
        <v>4564000</v>
      </c>
      <c r="D70" s="353">
        <f>+D28</f>
        <v>32743000</v>
      </c>
      <c r="E70" s="353">
        <f>+E28</f>
        <v>12724000</v>
      </c>
    </row>
    <row r="71" spans="1:5" ht="24" customHeight="1" x14ac:dyDescent="0.2">
      <c r="A71" s="339">
        <v>6</v>
      </c>
      <c r="B71" s="340" t="s">
        <v>356</v>
      </c>
      <c r="C71" s="356">
        <f>+C47</f>
        <v>36527000</v>
      </c>
      <c r="D71" s="356">
        <f>+D47</f>
        <v>36733000</v>
      </c>
      <c r="E71" s="356">
        <f>+E47</f>
        <v>37887000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41091000</v>
      </c>
      <c r="D72" s="353">
        <f>+D70+D71</f>
        <v>69476000</v>
      </c>
      <c r="E72" s="353">
        <f>+E70+E71</f>
        <v>50611000</v>
      </c>
    </row>
    <row r="73" spans="1:5" ht="24" customHeight="1" x14ac:dyDescent="0.2">
      <c r="A73" s="339">
        <v>8</v>
      </c>
      <c r="B73" s="340" t="s">
        <v>54</v>
      </c>
      <c r="C73" s="341">
        <f>+C40</f>
        <v>101326000</v>
      </c>
      <c r="D73" s="341">
        <f>+D40</f>
        <v>112732000</v>
      </c>
      <c r="E73" s="341">
        <f>+E40</f>
        <v>118928000</v>
      </c>
    </row>
    <row r="74" spans="1:5" ht="24" customHeight="1" x14ac:dyDescent="0.2">
      <c r="A74" s="339">
        <v>9</v>
      </c>
      <c r="B74" s="340" t="s">
        <v>58</v>
      </c>
      <c r="C74" s="353">
        <v>258965000</v>
      </c>
      <c r="D74" s="353">
        <v>258637000</v>
      </c>
      <c r="E74" s="353">
        <v>251476000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360291000</v>
      </c>
      <c r="D75" s="341">
        <f>+D73+D74</f>
        <v>371369000</v>
      </c>
      <c r="E75" s="341">
        <f>+E73+E74</f>
        <v>370404000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64.239698553543207</v>
      </c>
      <c r="D77" s="359">
        <f>IF(D80=0,0,(D78/D80)*100)</f>
        <v>49.813562912886887</v>
      </c>
      <c r="E77" s="359">
        <f>IF(E80=0,0,(E78/E80)*100)</f>
        <v>53.256585704695283</v>
      </c>
    </row>
    <row r="78" spans="1:5" ht="24" customHeight="1" x14ac:dyDescent="0.2">
      <c r="A78" s="339">
        <v>12</v>
      </c>
      <c r="B78" s="340" t="s">
        <v>58</v>
      </c>
      <c r="C78" s="341">
        <f>+C74</f>
        <v>258965000</v>
      </c>
      <c r="D78" s="341">
        <f>+D74</f>
        <v>258637000</v>
      </c>
      <c r="E78" s="341">
        <f>+E74</f>
        <v>251476000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144158000</v>
      </c>
      <c r="D79" s="341">
        <f>+D32</f>
        <v>260573000</v>
      </c>
      <c r="E79" s="341">
        <f>+E32</f>
        <v>220721000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403123000</v>
      </c>
      <c r="D80" s="341">
        <f>+D78+D79</f>
        <v>519210000</v>
      </c>
      <c r="E80" s="341">
        <f>+E78+E79</f>
        <v>472197000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FILING&amp;R&amp;8SAINT FRANCIS CARE,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105466</v>
      </c>
      <c r="D11" s="376">
        <v>23264</v>
      </c>
      <c r="E11" s="376">
        <v>21332</v>
      </c>
      <c r="F11" s="377">
        <v>394</v>
      </c>
      <c r="G11" s="377">
        <v>394</v>
      </c>
      <c r="H11" s="378">
        <f>IF(F11=0,0,$C11/(F11*365))</f>
        <v>0.73337041930324731</v>
      </c>
      <c r="I11" s="378">
        <f>IF(G11=0,0,$C11/(G11*365))</f>
        <v>0.73337041930324731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10827</v>
      </c>
      <c r="D13" s="376">
        <v>378</v>
      </c>
      <c r="E13" s="376">
        <v>0</v>
      </c>
      <c r="F13" s="377">
        <v>42</v>
      </c>
      <c r="G13" s="377">
        <v>42</v>
      </c>
      <c r="H13" s="378">
        <f>IF(F13=0,0,$C13/(F13*365))</f>
        <v>0.70626223091976514</v>
      </c>
      <c r="I13" s="378">
        <f>IF(G13=0,0,$C13/(G13*365))</f>
        <v>0.70626223091976514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4085</v>
      </c>
      <c r="D15" s="376">
        <v>379</v>
      </c>
      <c r="E15" s="376">
        <v>375</v>
      </c>
      <c r="F15" s="377">
        <v>20</v>
      </c>
      <c r="G15" s="377">
        <v>20</v>
      </c>
      <c r="H15" s="378">
        <f t="shared" ref="H15:I17" si="0">IF(F15=0,0,$C15/(F15*365))</f>
        <v>0.55958904109589036</v>
      </c>
      <c r="I15" s="378">
        <f t="shared" si="0"/>
        <v>0.55958904109589036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10542</v>
      </c>
      <c r="D16" s="376">
        <v>1582</v>
      </c>
      <c r="E16" s="376">
        <v>1587</v>
      </c>
      <c r="F16" s="377">
        <v>55</v>
      </c>
      <c r="G16" s="377">
        <v>55</v>
      </c>
      <c r="H16" s="378">
        <f t="shared" si="0"/>
        <v>0.52513075965130762</v>
      </c>
      <c r="I16" s="378">
        <f t="shared" si="0"/>
        <v>0.52513075965130762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14627</v>
      </c>
      <c r="D17" s="381">
        <f>SUM(D15:D16)</f>
        <v>1961</v>
      </c>
      <c r="E17" s="381">
        <f>SUM(E15:E16)</f>
        <v>1962</v>
      </c>
      <c r="F17" s="381">
        <f>SUM(F15:F16)</f>
        <v>75</v>
      </c>
      <c r="G17" s="381">
        <f>SUM(G15:G16)</f>
        <v>75</v>
      </c>
      <c r="H17" s="382">
        <f t="shared" si="0"/>
        <v>0.53431963470319632</v>
      </c>
      <c r="I17" s="382">
        <f t="shared" si="0"/>
        <v>0.53431963470319632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9630</v>
      </c>
      <c r="D21" s="376">
        <v>3075</v>
      </c>
      <c r="E21" s="376">
        <v>3069</v>
      </c>
      <c r="F21" s="377">
        <v>30</v>
      </c>
      <c r="G21" s="377">
        <v>30</v>
      </c>
      <c r="H21" s="378">
        <f>IF(F21=0,0,$C21/(F21*365))</f>
        <v>0.8794520547945206</v>
      </c>
      <c r="I21" s="378">
        <f>IF(G21=0,0,$C21/(G21*365))</f>
        <v>0.8794520547945206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6307</v>
      </c>
      <c r="D23" s="376">
        <v>2640</v>
      </c>
      <c r="E23" s="376">
        <v>2566</v>
      </c>
      <c r="F23" s="377">
        <v>26</v>
      </c>
      <c r="G23" s="377">
        <v>26</v>
      </c>
      <c r="H23" s="378">
        <f>IF(F23=0,0,$C23/(F23*365))</f>
        <v>0.66459430979978928</v>
      </c>
      <c r="I23" s="378">
        <f>IF(G23=0,0,$C23/(G23*365))</f>
        <v>0.66459430979978928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5010</v>
      </c>
      <c r="D25" s="376">
        <v>294</v>
      </c>
      <c r="E25" s="376">
        <v>0</v>
      </c>
      <c r="F25" s="377">
        <v>28</v>
      </c>
      <c r="G25" s="377">
        <v>28</v>
      </c>
      <c r="H25" s="378">
        <f>IF(F25=0,0,$C25/(F25*365))</f>
        <v>0.49021526418786693</v>
      </c>
      <c r="I25" s="378">
        <f>IF(G25=0,0,$C25/(G25*365))</f>
        <v>0.49021526418786693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145560</v>
      </c>
      <c r="D31" s="384">
        <f>SUM(D10:D29)-D13-D17-D23</f>
        <v>28594</v>
      </c>
      <c r="E31" s="384">
        <f>SUM(E10:E29)-E17-E23</f>
        <v>26363</v>
      </c>
      <c r="F31" s="384">
        <f>SUM(F10:F29)-F17-F23</f>
        <v>569</v>
      </c>
      <c r="G31" s="384">
        <f>SUM(G10:G29)-G17-G23</f>
        <v>569</v>
      </c>
      <c r="H31" s="385">
        <f>IF(F31=0,0,$C31/(F31*365))</f>
        <v>0.70086910465368224</v>
      </c>
      <c r="I31" s="385">
        <f>IF(G31=0,0,$C31/(G31*365))</f>
        <v>0.70086910465368224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151867</v>
      </c>
      <c r="D33" s="384">
        <f>SUM(D10:D29)-D13-D17</f>
        <v>31234</v>
      </c>
      <c r="E33" s="384">
        <f>SUM(E10:E29)-E17</f>
        <v>28929</v>
      </c>
      <c r="F33" s="384">
        <f>SUM(F10:F29)-F17</f>
        <v>595</v>
      </c>
      <c r="G33" s="384">
        <f>SUM(G10:G29)-G17</f>
        <v>595</v>
      </c>
      <c r="H33" s="385">
        <f>IF(F33=0,0,$C33/(F33*365))</f>
        <v>0.69928398756762977</v>
      </c>
      <c r="I33" s="385">
        <f>IF(G33=0,0,$C33/(G33*365))</f>
        <v>0.69928398756762977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151867</v>
      </c>
      <c r="D36" s="384">
        <f t="shared" si="1"/>
        <v>31234</v>
      </c>
      <c r="E36" s="384">
        <f t="shared" si="1"/>
        <v>28929</v>
      </c>
      <c r="F36" s="384">
        <f t="shared" si="1"/>
        <v>595</v>
      </c>
      <c r="G36" s="384">
        <f t="shared" si="1"/>
        <v>595</v>
      </c>
      <c r="H36" s="387">
        <f t="shared" si="1"/>
        <v>0.69928398756762977</v>
      </c>
      <c r="I36" s="387">
        <f t="shared" si="1"/>
        <v>0.69928398756762977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159375</v>
      </c>
      <c r="D37" s="384">
        <v>32366</v>
      </c>
      <c r="E37" s="384">
        <v>30287</v>
      </c>
      <c r="F37" s="386">
        <v>595</v>
      </c>
      <c r="G37" s="386">
        <v>595</v>
      </c>
      <c r="H37" s="385">
        <f>IF(F37=0,0,$C37/(F37*365))</f>
        <v>0.73385518590998045</v>
      </c>
      <c r="I37" s="385">
        <f>IF(G37=0,0,$C37/(G37*365))</f>
        <v>0.73385518590998045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-7508</v>
      </c>
      <c r="D38" s="384">
        <f t="shared" si="2"/>
        <v>-1132</v>
      </c>
      <c r="E38" s="384">
        <f t="shared" si="2"/>
        <v>-1358</v>
      </c>
      <c r="F38" s="384">
        <f t="shared" si="2"/>
        <v>0</v>
      </c>
      <c r="G38" s="384">
        <f t="shared" si="2"/>
        <v>0</v>
      </c>
      <c r="H38" s="387">
        <f t="shared" si="2"/>
        <v>-3.4571198342350673E-2</v>
      </c>
      <c r="I38" s="387">
        <f t="shared" si="2"/>
        <v>-3.4571198342350673E-2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-4.7109019607843139E-2</v>
      </c>
      <c r="D40" s="389">
        <f t="shared" si="3"/>
        <v>-3.4974973737873075E-2</v>
      </c>
      <c r="E40" s="389">
        <f t="shared" si="3"/>
        <v>-4.4837719153432168E-2</v>
      </c>
      <c r="F40" s="389">
        <f t="shared" si="3"/>
        <v>0</v>
      </c>
      <c r="G40" s="389">
        <f t="shared" si="3"/>
        <v>0</v>
      </c>
      <c r="H40" s="389">
        <f t="shared" si="3"/>
        <v>-4.7109019607843181E-2</v>
      </c>
      <c r="I40" s="389">
        <f t="shared" si="3"/>
        <v>-4.7109019607843181E-2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682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FILING&amp;RSAINT FRANCIS HOSPITAL AND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18641</v>
      </c>
      <c r="D12" s="409">
        <v>18714</v>
      </c>
      <c r="E12" s="409">
        <f>+D12-C12</f>
        <v>73</v>
      </c>
      <c r="F12" s="410">
        <f>IF(C12=0,0,+E12/C12)</f>
        <v>3.9160989217316665E-3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9804</v>
      </c>
      <c r="D13" s="409">
        <v>9886</v>
      </c>
      <c r="E13" s="409">
        <f>+D13-C13</f>
        <v>82</v>
      </c>
      <c r="F13" s="410">
        <f>IF(C13=0,0,+E13/C13)</f>
        <v>8.3639330885352924E-3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12946</v>
      </c>
      <c r="D14" s="409">
        <v>12985</v>
      </c>
      <c r="E14" s="409">
        <f>+D14-C14</f>
        <v>39</v>
      </c>
      <c r="F14" s="410">
        <f>IF(C14=0,0,+E14/C14)</f>
        <v>3.0125135176888615E-3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41391</v>
      </c>
      <c r="D16" s="401">
        <f>SUM(D12:D15)</f>
        <v>41585</v>
      </c>
      <c r="E16" s="401">
        <f>+D16-C16</f>
        <v>194</v>
      </c>
      <c r="F16" s="402">
        <f>IF(C16=0,0,+E16/C16)</f>
        <v>4.6870092532192986E-3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4892</v>
      </c>
      <c r="D19" s="409">
        <v>4739</v>
      </c>
      <c r="E19" s="409">
        <f>+D19-C19</f>
        <v>-153</v>
      </c>
      <c r="F19" s="410">
        <f>IF(C19=0,0,+E19/C19)</f>
        <v>-3.1275551921504496E-2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8877</v>
      </c>
      <c r="D20" s="409">
        <v>8909</v>
      </c>
      <c r="E20" s="409">
        <f>+D20-C20</f>
        <v>32</v>
      </c>
      <c r="F20" s="410">
        <f>IF(C20=0,0,+E20/C20)</f>
        <v>3.6048214486876199E-3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594</v>
      </c>
      <c r="D21" s="409">
        <v>594</v>
      </c>
      <c r="E21" s="409">
        <f>+D21-C21</f>
        <v>0</v>
      </c>
      <c r="F21" s="410">
        <f>IF(C21=0,0,+E21/C21)</f>
        <v>0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14363</v>
      </c>
      <c r="D23" s="401">
        <f>SUM(D19:D22)</f>
        <v>14242</v>
      </c>
      <c r="E23" s="401">
        <f>+D23-C23</f>
        <v>-121</v>
      </c>
      <c r="F23" s="402">
        <f>IF(C23=0,0,+E23/C23)</f>
        <v>-8.4244238668801791E-3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28</v>
      </c>
      <c r="D33" s="409">
        <v>80</v>
      </c>
      <c r="E33" s="409">
        <f>+D33-C33</f>
        <v>52</v>
      </c>
      <c r="F33" s="410">
        <f>IF(C33=0,0,+E33/C33)</f>
        <v>1.8571428571428572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1280</v>
      </c>
      <c r="D34" s="409">
        <v>1135</v>
      </c>
      <c r="E34" s="409">
        <f>+D34-C34</f>
        <v>-145</v>
      </c>
      <c r="F34" s="410">
        <f>IF(C34=0,0,+E34/C34)</f>
        <v>-0.11328125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1308</v>
      </c>
      <c r="D37" s="401">
        <f>SUM(D33:D36)</f>
        <v>1215</v>
      </c>
      <c r="E37" s="401">
        <f>+D37-C37</f>
        <v>-93</v>
      </c>
      <c r="F37" s="402">
        <f>IF(C37=0,0,+E37/C37)</f>
        <v>-7.1100917431192664E-2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788</v>
      </c>
      <c r="D43" s="409">
        <v>790</v>
      </c>
      <c r="E43" s="409">
        <f>+D43-C43</f>
        <v>2</v>
      </c>
      <c r="F43" s="410">
        <f>IF(C43=0,0,+E43/C43)</f>
        <v>2.5380710659898475E-3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16630</v>
      </c>
      <c r="D44" s="409">
        <v>17623</v>
      </c>
      <c r="E44" s="409">
        <f>+D44-C44</f>
        <v>993</v>
      </c>
      <c r="F44" s="410">
        <f>IF(C44=0,0,+E44/C44)</f>
        <v>5.9711365003006611E-2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17418</v>
      </c>
      <c r="D45" s="401">
        <f>SUM(D43:D44)</f>
        <v>18413</v>
      </c>
      <c r="E45" s="401">
        <f>+D45-C45</f>
        <v>995</v>
      </c>
      <c r="F45" s="402">
        <f>IF(C45=0,0,+E45/C45)</f>
        <v>5.7124813411413483E-2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1363</v>
      </c>
      <c r="D48" s="409">
        <v>1310</v>
      </c>
      <c r="E48" s="409">
        <f>+D48-C48</f>
        <v>-53</v>
      </c>
      <c r="F48" s="410">
        <f>IF(C48=0,0,+E48/C48)</f>
        <v>-3.8884812912692593E-2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1514</v>
      </c>
      <c r="D49" s="409">
        <v>1337</v>
      </c>
      <c r="E49" s="409">
        <f>+D49-C49</f>
        <v>-177</v>
      </c>
      <c r="F49" s="410">
        <f>IF(C49=0,0,+E49/C49)</f>
        <v>-0.11690885072655217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2877</v>
      </c>
      <c r="D50" s="401">
        <f>SUM(D48:D49)</f>
        <v>2647</v>
      </c>
      <c r="E50" s="401">
        <f>+D50-C50</f>
        <v>-230</v>
      </c>
      <c r="F50" s="402">
        <f>IF(C50=0,0,+E50/C50)</f>
        <v>-7.9944386513729579E-2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398</v>
      </c>
      <c r="D53" s="409">
        <v>404</v>
      </c>
      <c r="E53" s="409">
        <f>+D53-C53</f>
        <v>6</v>
      </c>
      <c r="F53" s="410">
        <f>IF(C53=0,0,+E53/C53)</f>
        <v>1.507537688442211E-2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544</v>
      </c>
      <c r="D54" s="409">
        <v>455</v>
      </c>
      <c r="E54" s="409">
        <f>+D54-C54</f>
        <v>-89</v>
      </c>
      <c r="F54" s="410">
        <f>IF(C54=0,0,+E54/C54)</f>
        <v>-0.16360294117647059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942</v>
      </c>
      <c r="D55" s="401">
        <f>SUM(D53:D54)</f>
        <v>859</v>
      </c>
      <c r="E55" s="401">
        <f>+D55-C55</f>
        <v>-83</v>
      </c>
      <c r="F55" s="402">
        <f>IF(C55=0,0,+E55/C55)</f>
        <v>-8.8110403397027595E-2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345</v>
      </c>
      <c r="D58" s="409">
        <v>298</v>
      </c>
      <c r="E58" s="409">
        <f>+D58-C58</f>
        <v>-47</v>
      </c>
      <c r="F58" s="410">
        <f>IF(C58=0,0,+E58/C58)</f>
        <v>-0.13623188405797101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455</v>
      </c>
      <c r="D59" s="409">
        <v>326</v>
      </c>
      <c r="E59" s="409">
        <f>+D59-C59</f>
        <v>-129</v>
      </c>
      <c r="F59" s="410">
        <f>IF(C59=0,0,+E59/C59)</f>
        <v>-0.28351648351648351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800</v>
      </c>
      <c r="D60" s="401">
        <f>SUM(D58:D59)</f>
        <v>624</v>
      </c>
      <c r="E60" s="401">
        <f>SUM(E58:E59)</f>
        <v>-176</v>
      </c>
      <c r="F60" s="402">
        <f>IF(C60=0,0,+E60/C60)</f>
        <v>-0.22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10447</v>
      </c>
      <c r="D63" s="409">
        <v>9987</v>
      </c>
      <c r="E63" s="409">
        <f>+D63-C63</f>
        <v>-460</v>
      </c>
      <c r="F63" s="410">
        <f>IF(C63=0,0,+E63/C63)</f>
        <v>-4.4031779458217672E-2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17663</v>
      </c>
      <c r="D64" s="409">
        <v>16695</v>
      </c>
      <c r="E64" s="409">
        <f>+D64-C64</f>
        <v>-968</v>
      </c>
      <c r="F64" s="410">
        <f>IF(C64=0,0,+E64/C64)</f>
        <v>-5.480382720942082E-2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28110</v>
      </c>
      <c r="D65" s="401">
        <f>SUM(D63:D64)</f>
        <v>26682</v>
      </c>
      <c r="E65" s="401">
        <f>+D65-C65</f>
        <v>-1428</v>
      </c>
      <c r="F65" s="402">
        <f>IF(C65=0,0,+E65/C65)</f>
        <v>-5.080042689434365E-2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1630</v>
      </c>
      <c r="D68" s="409">
        <v>1644</v>
      </c>
      <c r="E68" s="409">
        <f>+D68-C68</f>
        <v>14</v>
      </c>
      <c r="F68" s="410">
        <f>IF(C68=0,0,+E68/C68)</f>
        <v>8.5889570552147246E-3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6841</v>
      </c>
      <c r="D69" s="409">
        <v>6168</v>
      </c>
      <c r="E69" s="409">
        <f>+D69-C69</f>
        <v>-673</v>
      </c>
      <c r="F69" s="412">
        <f>IF(C69=0,0,+E69/C69)</f>
        <v>-9.8377430200263113E-2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8471</v>
      </c>
      <c r="D70" s="401">
        <f>SUM(D68:D69)</f>
        <v>7812</v>
      </c>
      <c r="E70" s="401">
        <f>+D70-C70</f>
        <v>-659</v>
      </c>
      <c r="F70" s="402">
        <f>IF(C70=0,0,+E70/C70)</f>
        <v>-7.7794829418014397E-2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17868</v>
      </c>
      <c r="D73" s="376">
        <v>17605</v>
      </c>
      <c r="E73" s="409">
        <f>+D73-C73</f>
        <v>-263</v>
      </c>
      <c r="F73" s="410">
        <f>IF(C73=0,0,+E73/C73)</f>
        <v>-1.4719050817103202E-2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63204</v>
      </c>
      <c r="D74" s="376">
        <v>65315</v>
      </c>
      <c r="E74" s="409">
        <f>+D74-C74</f>
        <v>2111</v>
      </c>
      <c r="F74" s="410">
        <f>IF(C74=0,0,+E74/C74)</f>
        <v>3.3399784823745331E-2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81072</v>
      </c>
      <c r="D75" s="401">
        <f>SUM(D73:D74)</f>
        <v>82920</v>
      </c>
      <c r="E75" s="401">
        <f>SUM(E73:E74)</f>
        <v>1848</v>
      </c>
      <c r="F75" s="402">
        <f>IF(C75=0,0,+E75/C75)</f>
        <v>2.2794552989934873E-2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17434</v>
      </c>
      <c r="D83" s="376">
        <v>15754</v>
      </c>
      <c r="E83" s="409">
        <f t="shared" si="0"/>
        <v>-1680</v>
      </c>
      <c r="F83" s="410">
        <f t="shared" si="1"/>
        <v>-9.6363427784788347E-2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20895</v>
      </c>
      <c r="D85" s="376">
        <v>16377</v>
      </c>
      <c r="E85" s="409">
        <f t="shared" si="0"/>
        <v>-4518</v>
      </c>
      <c r="F85" s="410">
        <f t="shared" si="1"/>
        <v>-0.21622397702799712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42</v>
      </c>
      <c r="D86" s="376">
        <v>21</v>
      </c>
      <c r="E86" s="409">
        <f t="shared" si="0"/>
        <v>-21</v>
      </c>
      <c r="F86" s="410">
        <f t="shared" si="1"/>
        <v>-0.5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977</v>
      </c>
      <c r="D88" s="376">
        <v>1421</v>
      </c>
      <c r="E88" s="409">
        <f t="shared" si="0"/>
        <v>444</v>
      </c>
      <c r="F88" s="410">
        <f t="shared" si="1"/>
        <v>0.45445240532241554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2130</v>
      </c>
      <c r="D89" s="376">
        <v>1730</v>
      </c>
      <c r="E89" s="409">
        <f t="shared" si="0"/>
        <v>-400</v>
      </c>
      <c r="F89" s="410">
        <f t="shared" si="1"/>
        <v>-0.18779342723004694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3</v>
      </c>
      <c r="D90" s="376">
        <v>0</v>
      </c>
      <c r="E90" s="409">
        <f t="shared" si="0"/>
        <v>-3</v>
      </c>
      <c r="F90" s="410">
        <f t="shared" si="1"/>
        <v>-1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16806</v>
      </c>
      <c r="D91" s="376">
        <v>15964</v>
      </c>
      <c r="E91" s="409">
        <f t="shared" si="0"/>
        <v>-842</v>
      </c>
      <c r="F91" s="410">
        <f t="shared" si="1"/>
        <v>-5.0101154349637037E-2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58287</v>
      </c>
      <c r="D92" s="381">
        <f>SUM(D79:D91)</f>
        <v>51267</v>
      </c>
      <c r="E92" s="401">
        <f t="shared" si="0"/>
        <v>-7020</v>
      </c>
      <c r="F92" s="402">
        <f t="shared" si="1"/>
        <v>-0.12043851973853519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837</v>
      </c>
      <c r="D95" s="414">
        <v>977</v>
      </c>
      <c r="E95" s="415">
        <f t="shared" ref="E95:E100" si="2">+D95-C95</f>
        <v>140</v>
      </c>
      <c r="F95" s="412">
        <f t="shared" ref="F95:F100" si="3">IF(C95=0,0,+E95/C95)</f>
        <v>0.16726403823178015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548</v>
      </c>
      <c r="D96" s="414">
        <v>655</v>
      </c>
      <c r="E96" s="409">
        <f t="shared" si="2"/>
        <v>107</v>
      </c>
      <c r="F96" s="410">
        <f t="shared" si="3"/>
        <v>0.19525547445255476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3779</v>
      </c>
      <c r="D97" s="414">
        <v>4199</v>
      </c>
      <c r="E97" s="409">
        <f t="shared" si="2"/>
        <v>420</v>
      </c>
      <c r="F97" s="410">
        <f t="shared" si="3"/>
        <v>0.11114051336332363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1496</v>
      </c>
      <c r="D98" s="414">
        <v>1296</v>
      </c>
      <c r="E98" s="409">
        <f t="shared" si="2"/>
        <v>-200</v>
      </c>
      <c r="F98" s="410">
        <f t="shared" si="3"/>
        <v>-0.13368983957219252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157070</v>
      </c>
      <c r="D99" s="414">
        <v>144316</v>
      </c>
      <c r="E99" s="409">
        <f t="shared" si="2"/>
        <v>-12754</v>
      </c>
      <c r="F99" s="410">
        <f t="shared" si="3"/>
        <v>-8.1199465206595781E-2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163730</v>
      </c>
      <c r="D100" s="381">
        <f>SUM(D95:D99)</f>
        <v>151443</v>
      </c>
      <c r="E100" s="401">
        <f t="shared" si="2"/>
        <v>-12287</v>
      </c>
      <c r="F100" s="402">
        <f t="shared" si="3"/>
        <v>-7.5044280217431134E-2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1396</v>
      </c>
      <c r="D104" s="416">
        <v>1322.9</v>
      </c>
      <c r="E104" s="417">
        <f>+D104-C104</f>
        <v>-73.099999999999909</v>
      </c>
      <c r="F104" s="410">
        <f>IF(C104=0,0,+E104/C104)</f>
        <v>-5.236389684813747E-2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40.5</v>
      </c>
      <c r="D105" s="416">
        <v>40</v>
      </c>
      <c r="E105" s="417">
        <f>+D105-C105</f>
        <v>-0.5</v>
      </c>
      <c r="F105" s="410">
        <f>IF(C105=0,0,+E105/C105)</f>
        <v>-1.2345679012345678E-2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2380.1</v>
      </c>
      <c r="D106" s="416">
        <v>2439.9</v>
      </c>
      <c r="E106" s="417">
        <f>+D106-C106</f>
        <v>59.800000000000182</v>
      </c>
      <c r="F106" s="410">
        <f>IF(C106=0,0,+E106/C106)</f>
        <v>2.5124994748119904E-2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3816.6</v>
      </c>
      <c r="D107" s="418">
        <f>SUM(D104:D106)</f>
        <v>3802.8</v>
      </c>
      <c r="E107" s="418">
        <f>+D107-C107</f>
        <v>-13.799999999999727</v>
      </c>
      <c r="F107" s="402">
        <f>IF(C107=0,0,+E107/C107)</f>
        <v>-3.6157836818109645E-3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FRANCIS HOSPITAL AND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16368</v>
      </c>
      <c r="D12" s="409">
        <v>15824</v>
      </c>
      <c r="E12" s="409">
        <f>+D12-C12</f>
        <v>-544</v>
      </c>
      <c r="F12" s="410">
        <f>IF(C12=0,0,+E12/C12)</f>
        <v>-3.3235581622678395E-2</v>
      </c>
    </row>
    <row r="13" spans="1:6" ht="15.75" customHeight="1" x14ac:dyDescent="0.2">
      <c r="A13" s="374">
        <v>2</v>
      </c>
      <c r="B13" s="408" t="s">
        <v>622</v>
      </c>
      <c r="C13" s="409">
        <v>1295</v>
      </c>
      <c r="D13" s="409">
        <v>871</v>
      </c>
      <c r="E13" s="409">
        <f>+D13-C13</f>
        <v>-424</v>
      </c>
      <c r="F13" s="410">
        <f>IF(C13=0,0,+E13/C13)</f>
        <v>-0.32741312741312739</v>
      </c>
    </row>
    <row r="14" spans="1:6" ht="15.75" customHeight="1" x14ac:dyDescent="0.25">
      <c r="A14" s="374"/>
      <c r="B14" s="399" t="s">
        <v>623</v>
      </c>
      <c r="C14" s="401">
        <f>SUM(C11:C13)</f>
        <v>17663</v>
      </c>
      <c r="D14" s="401">
        <f>SUM(D11:D13)</f>
        <v>16695</v>
      </c>
      <c r="E14" s="401">
        <f>+D14-C14</f>
        <v>-968</v>
      </c>
      <c r="F14" s="402">
        <f>IF(C14=0,0,+E14/C14)</f>
        <v>-5.480382720942082E-2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6841</v>
      </c>
      <c r="D17" s="409">
        <v>6168</v>
      </c>
      <c r="E17" s="409">
        <f>+D17-C17</f>
        <v>-673</v>
      </c>
      <c r="F17" s="410">
        <f>IF(C17=0,0,+E17/C17)</f>
        <v>-9.8377430200263113E-2</v>
      </c>
    </row>
    <row r="18" spans="1:6" ht="15.75" customHeight="1" x14ac:dyDescent="0.25">
      <c r="A18" s="374"/>
      <c r="B18" s="399" t="s">
        <v>624</v>
      </c>
      <c r="C18" s="401">
        <f>SUM(C16:C17)</f>
        <v>6841</v>
      </c>
      <c r="D18" s="401">
        <f>SUM(D16:D17)</f>
        <v>6168</v>
      </c>
      <c r="E18" s="401">
        <f>+D18-C18</f>
        <v>-673</v>
      </c>
      <c r="F18" s="402">
        <f>IF(C18=0,0,+E18/C18)</f>
        <v>-9.8377430200263113E-2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625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621</v>
      </c>
      <c r="C21" s="409">
        <v>63204</v>
      </c>
      <c r="D21" s="409">
        <v>65315</v>
      </c>
      <c r="E21" s="409">
        <f>+D21-C21</f>
        <v>2111</v>
      </c>
      <c r="F21" s="410">
        <f>IF(C21=0,0,+E21/C21)</f>
        <v>3.3399784823745331E-2</v>
      </c>
    </row>
    <row r="22" spans="1:6" ht="15.75" customHeight="1" x14ac:dyDescent="0.25">
      <c r="A22" s="374"/>
      <c r="B22" s="399" t="s">
        <v>626</v>
      </c>
      <c r="C22" s="401">
        <f>SUM(C20:C21)</f>
        <v>63204</v>
      </c>
      <c r="D22" s="401">
        <f>SUM(D20:D21)</f>
        <v>65315</v>
      </c>
      <c r="E22" s="401">
        <f>+D22-C22</f>
        <v>2111</v>
      </c>
      <c r="F22" s="402">
        <f>IF(C22=0,0,+E22/C22)</f>
        <v>3.3399784823745331E-2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580447200</v>
      </c>
      <c r="D15" s="448">
        <v>615260232</v>
      </c>
      <c r="E15" s="448">
        <f t="shared" ref="E15:E24" si="0">D15-C15</f>
        <v>34813032</v>
      </c>
      <c r="F15" s="449">
        <f t="shared" ref="F15:F24" si="1">IF(C15=0,0,E15/C15)</f>
        <v>5.9976225227720968E-2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203609796</v>
      </c>
      <c r="D16" s="448">
        <v>211507952</v>
      </c>
      <c r="E16" s="448">
        <f t="shared" si="0"/>
        <v>7898156</v>
      </c>
      <c r="F16" s="449">
        <f t="shared" si="1"/>
        <v>3.8790648363500151E-2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0.35078090823764851</v>
      </c>
      <c r="D17" s="453">
        <f>IF(LN_IA1=0,0,LN_IA2/LN_IA1)</f>
        <v>0.34376990580467098</v>
      </c>
      <c r="E17" s="454">
        <f t="shared" si="0"/>
        <v>-7.0110024329775311E-3</v>
      </c>
      <c r="F17" s="449">
        <f t="shared" si="1"/>
        <v>-1.9986841553610687E-2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14271</v>
      </c>
      <c r="D18" s="456">
        <v>13744</v>
      </c>
      <c r="E18" s="456">
        <f t="shared" si="0"/>
        <v>-527</v>
      </c>
      <c r="F18" s="449">
        <f t="shared" si="1"/>
        <v>-3.6928035876953265E-2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1.6898</v>
      </c>
      <c r="D19" s="459">
        <v>1.696</v>
      </c>
      <c r="E19" s="460">
        <f t="shared" si="0"/>
        <v>6.1999999999999833E-3</v>
      </c>
      <c r="F19" s="449">
        <f t="shared" si="1"/>
        <v>3.6690732631080502E-3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24115.1358</v>
      </c>
      <c r="D20" s="463">
        <f>LN_IA4*LN_IA5</f>
        <v>23309.824000000001</v>
      </c>
      <c r="E20" s="463">
        <f t="shared" si="0"/>
        <v>-805.31179999999949</v>
      </c>
      <c r="F20" s="449">
        <f t="shared" si="1"/>
        <v>-3.3394454282940404E-2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8443.2365502167322</v>
      </c>
      <c r="D21" s="465">
        <f>IF(LN_IA6=0,0,LN_IA2/LN_IA6)</f>
        <v>9073.7687251521074</v>
      </c>
      <c r="E21" s="465">
        <f t="shared" si="0"/>
        <v>630.53217493537522</v>
      </c>
      <c r="F21" s="449">
        <f t="shared" si="1"/>
        <v>7.4678965961126581E-2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78202</v>
      </c>
      <c r="D22" s="456">
        <v>75996</v>
      </c>
      <c r="E22" s="456">
        <f t="shared" si="0"/>
        <v>-2206</v>
      </c>
      <c r="F22" s="449">
        <f t="shared" si="1"/>
        <v>-2.8208997212347511E-2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2603.6392419631211</v>
      </c>
      <c r="D23" s="465">
        <f>IF(LN_IA8=0,0,LN_IA2/LN_IA8)</f>
        <v>2783.1458497815674</v>
      </c>
      <c r="E23" s="465">
        <f t="shared" si="0"/>
        <v>179.50660781844635</v>
      </c>
      <c r="F23" s="449">
        <f t="shared" si="1"/>
        <v>6.8944500806916692E-2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5.4797841777030341</v>
      </c>
      <c r="D24" s="466">
        <f>IF(LN_IA4=0,0,LN_IA8/LN_IA4)</f>
        <v>5.5293946449359721</v>
      </c>
      <c r="E24" s="466">
        <f t="shared" si="0"/>
        <v>4.9610467232938049E-2</v>
      </c>
      <c r="F24" s="449">
        <f t="shared" si="1"/>
        <v>9.0533615237622933E-3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271008656</v>
      </c>
      <c r="D27" s="448">
        <v>284498629</v>
      </c>
      <c r="E27" s="448">
        <f t="shared" ref="E27:E32" si="2">D27-C27</f>
        <v>13489973</v>
      </c>
      <c r="F27" s="449">
        <f t="shared" ref="F27:F32" si="3">IF(C27=0,0,E27/C27)</f>
        <v>4.9776908232776154E-2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56665166</v>
      </c>
      <c r="D28" s="448">
        <v>64007913</v>
      </c>
      <c r="E28" s="448">
        <f t="shared" si="2"/>
        <v>7342747</v>
      </c>
      <c r="F28" s="449">
        <f t="shared" si="3"/>
        <v>0.12958131985354107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0.20908987497432555</v>
      </c>
      <c r="D29" s="453">
        <f>IF(LN_IA11=0,0,LN_IA12/LN_IA11)</f>
        <v>0.22498496117533137</v>
      </c>
      <c r="E29" s="454">
        <f t="shared" si="2"/>
        <v>1.5895086201005826E-2</v>
      </c>
      <c r="F29" s="449">
        <f t="shared" si="3"/>
        <v>7.6020353462632306E-2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0.46689631029316708</v>
      </c>
      <c r="D30" s="453">
        <f>IF(LN_IA1=0,0,LN_IA11/LN_IA1)</f>
        <v>0.46240373455503947</v>
      </c>
      <c r="E30" s="454">
        <f t="shared" si="2"/>
        <v>-4.4925757381276132E-3</v>
      </c>
      <c r="F30" s="449">
        <f t="shared" si="3"/>
        <v>-9.6222129819503125E-3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6663.077244193787</v>
      </c>
      <c r="D31" s="463">
        <f>LN_IA14*LN_IA4</f>
        <v>6355.2769277244624</v>
      </c>
      <c r="E31" s="463">
        <f t="shared" si="2"/>
        <v>-307.80031646932457</v>
      </c>
      <c r="F31" s="449">
        <f t="shared" si="3"/>
        <v>-4.6194919432690371E-2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8504.3537577743209</v>
      </c>
      <c r="D32" s="465">
        <f>IF(LN_IA15=0,0,LN_IA12/LN_IA15)</f>
        <v>10071.616662488748</v>
      </c>
      <c r="E32" s="465">
        <f t="shared" si="2"/>
        <v>1567.2629047144273</v>
      </c>
      <c r="F32" s="449">
        <f t="shared" si="3"/>
        <v>0.1842894768202348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851455856</v>
      </c>
      <c r="D35" s="448">
        <f>LN_IA1+LN_IA11</f>
        <v>899758861</v>
      </c>
      <c r="E35" s="448">
        <f>D35-C35</f>
        <v>48303005</v>
      </c>
      <c r="F35" s="449">
        <f>IF(C35=0,0,E35/C35)</f>
        <v>5.6729899336084896E-2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260274962</v>
      </c>
      <c r="D36" s="448">
        <f>LN_IA2+LN_IA12</f>
        <v>275515865</v>
      </c>
      <c r="E36" s="448">
        <f>D36-C36</f>
        <v>15240903</v>
      </c>
      <c r="F36" s="449">
        <f>IF(C36=0,0,E36/C36)</f>
        <v>5.8556931035110477E-2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591180894</v>
      </c>
      <c r="D37" s="448">
        <f>LN_IA17-LN_IA18</f>
        <v>624242996</v>
      </c>
      <c r="E37" s="448">
        <f>D37-C37</f>
        <v>33062102</v>
      </c>
      <c r="F37" s="449">
        <f>IF(C37=0,0,E37/C37)</f>
        <v>5.5925525225109865E-2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297747099</v>
      </c>
      <c r="D42" s="448">
        <v>300608652</v>
      </c>
      <c r="E42" s="448">
        <f t="shared" ref="E42:E53" si="4">D42-C42</f>
        <v>2861553</v>
      </c>
      <c r="F42" s="449">
        <f t="shared" ref="F42:F53" si="5">IF(C42=0,0,E42/C42)</f>
        <v>9.6106830582419877E-3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161294879</v>
      </c>
      <c r="D43" s="448">
        <v>151641760</v>
      </c>
      <c r="E43" s="448">
        <f t="shared" si="4"/>
        <v>-9653119</v>
      </c>
      <c r="F43" s="449">
        <f t="shared" si="5"/>
        <v>-5.9847647115938506E-2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0.5417177179617122</v>
      </c>
      <c r="D44" s="453">
        <f>IF(LN_IB1=0,0,LN_IB2/LN_IB1)</f>
        <v>0.50444908684797274</v>
      </c>
      <c r="E44" s="454">
        <f t="shared" si="4"/>
        <v>-3.7268631113739459E-2</v>
      </c>
      <c r="F44" s="449">
        <f t="shared" si="5"/>
        <v>-6.8797142640945608E-2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10159</v>
      </c>
      <c r="D45" s="456">
        <v>9526</v>
      </c>
      <c r="E45" s="456">
        <f t="shared" si="4"/>
        <v>-633</v>
      </c>
      <c r="F45" s="449">
        <f t="shared" si="5"/>
        <v>-6.2309282409685994E-2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1.4196</v>
      </c>
      <c r="D46" s="459">
        <v>1.4157</v>
      </c>
      <c r="E46" s="460">
        <f t="shared" si="4"/>
        <v>-3.9000000000000146E-3</v>
      </c>
      <c r="F46" s="449">
        <f t="shared" si="5"/>
        <v>-2.7472527472527574E-3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14421.716399999999</v>
      </c>
      <c r="D47" s="463">
        <f>LN_IB4*LN_IB5</f>
        <v>13485.958199999999</v>
      </c>
      <c r="E47" s="463">
        <f t="shared" si="4"/>
        <v>-935.75820000000022</v>
      </c>
      <c r="F47" s="449">
        <f t="shared" si="5"/>
        <v>-6.4885355809659401E-2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11184.166608629193</v>
      </c>
      <c r="D48" s="465">
        <f>IF(LN_IB6=0,0,LN_IB2/LN_IB6)</f>
        <v>11244.418657622713</v>
      </c>
      <c r="E48" s="465">
        <f t="shared" si="4"/>
        <v>60.252048993519566</v>
      </c>
      <c r="F48" s="449">
        <f t="shared" si="5"/>
        <v>5.3872631821339136E-3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-2740.9300584124612</v>
      </c>
      <c r="D49" s="465">
        <f>LN_IA7-LN_IB7</f>
        <v>-2170.6499324706056</v>
      </c>
      <c r="E49" s="465">
        <f t="shared" si="4"/>
        <v>570.28012594185566</v>
      </c>
      <c r="F49" s="449">
        <f t="shared" si="5"/>
        <v>-0.20806080921019934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-39528915.97465995</v>
      </c>
      <c r="D50" s="479">
        <f>LN_IB8*LN_IB6</f>
        <v>-29273294.256131407</v>
      </c>
      <c r="E50" s="479">
        <f t="shared" si="4"/>
        <v>10255621.718528543</v>
      </c>
      <c r="F50" s="449">
        <f t="shared" si="5"/>
        <v>-0.25944606538420933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40742</v>
      </c>
      <c r="D51" s="456">
        <v>36979</v>
      </c>
      <c r="E51" s="456">
        <f t="shared" si="4"/>
        <v>-3763</v>
      </c>
      <c r="F51" s="449">
        <f t="shared" si="5"/>
        <v>-9.2361690638652988E-2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3958.9337538657896</v>
      </c>
      <c r="D52" s="465">
        <f>IF(LN_IB10=0,0,LN_IB2/LN_IB10)</f>
        <v>4100.7534005787065</v>
      </c>
      <c r="E52" s="465">
        <f t="shared" si="4"/>
        <v>141.81964671291689</v>
      </c>
      <c r="F52" s="449">
        <f t="shared" si="5"/>
        <v>3.5822687503784048E-2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4.0104340978442758</v>
      </c>
      <c r="D53" s="466">
        <f>IF(LN_IB4=0,0,LN_IB10/LN_IB4)</f>
        <v>3.8819021625026244</v>
      </c>
      <c r="E53" s="466">
        <f t="shared" si="4"/>
        <v>-0.12853193534165142</v>
      </c>
      <c r="F53" s="449">
        <f t="shared" si="5"/>
        <v>-3.2049382237883187E-2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353160662</v>
      </c>
      <c r="D56" s="448">
        <v>351531066</v>
      </c>
      <c r="E56" s="448">
        <f t="shared" ref="E56:E63" si="6">D56-C56</f>
        <v>-1629596</v>
      </c>
      <c r="F56" s="449">
        <f t="shared" ref="F56:F63" si="7">IF(C56=0,0,E56/C56)</f>
        <v>-4.6143191338790732E-3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141586007</v>
      </c>
      <c r="D57" s="448">
        <v>136065078</v>
      </c>
      <c r="E57" s="448">
        <f t="shared" si="6"/>
        <v>-5520929</v>
      </c>
      <c r="F57" s="449">
        <f t="shared" si="7"/>
        <v>-3.8993464940359539E-2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0.40091103634866332</v>
      </c>
      <c r="D58" s="453">
        <f>IF(LN_IB13=0,0,LN_IB14/LN_IB13)</f>
        <v>0.38706416348420258</v>
      </c>
      <c r="E58" s="454">
        <f t="shared" si="6"/>
        <v>-1.3846872864460735E-2</v>
      </c>
      <c r="F58" s="449">
        <f t="shared" si="7"/>
        <v>-3.453851754886194E-2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1.1861094975773383</v>
      </c>
      <c r="D59" s="453">
        <f>IF(LN_IB1=0,0,LN_IB13/LN_IB1)</f>
        <v>1.1693976991720119</v>
      </c>
      <c r="E59" s="454">
        <f t="shared" si="6"/>
        <v>-1.6711798405326439E-2</v>
      </c>
      <c r="F59" s="449">
        <f t="shared" si="7"/>
        <v>-1.4089591592901627E-2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12049.686385888181</v>
      </c>
      <c r="D60" s="463">
        <f>LN_IB16*LN_IB4</f>
        <v>11139.682482312584</v>
      </c>
      <c r="E60" s="463">
        <f t="shared" si="6"/>
        <v>-910.00390357559627</v>
      </c>
      <c r="F60" s="449">
        <f t="shared" si="7"/>
        <v>-7.5520961660988498E-2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11750.181910611089</v>
      </c>
      <c r="D61" s="465">
        <f>IF(LN_IB17=0,0,LN_IB14/LN_IB17)</f>
        <v>12214.448501206567</v>
      </c>
      <c r="E61" s="465">
        <f t="shared" si="6"/>
        <v>464.26659059547819</v>
      </c>
      <c r="F61" s="449">
        <f t="shared" si="7"/>
        <v>3.9511438557067687E-2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-3245.8281528367679</v>
      </c>
      <c r="D62" s="465">
        <f>LN_IA16-LN_IB18</f>
        <v>-2142.8318387178188</v>
      </c>
      <c r="E62" s="465">
        <f t="shared" si="6"/>
        <v>1102.9963141189492</v>
      </c>
      <c r="F62" s="449">
        <f t="shared" si="7"/>
        <v>-0.33981968920780958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-39111211.304169782</v>
      </c>
      <c r="D63" s="448">
        <f>LN_IB19*LN_IB17</f>
        <v>-23870466.296306551</v>
      </c>
      <c r="E63" s="448">
        <f t="shared" si="6"/>
        <v>15240745.007863231</v>
      </c>
      <c r="F63" s="449">
        <f t="shared" si="7"/>
        <v>-0.38967714114848606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650907761</v>
      </c>
      <c r="D66" s="448">
        <f>LN_IB1+LN_IB13</f>
        <v>652139718</v>
      </c>
      <c r="E66" s="448">
        <f>D66-C66</f>
        <v>1231957</v>
      </c>
      <c r="F66" s="449">
        <f>IF(C66=0,0,E66/C66)</f>
        <v>1.8926752357466513E-3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302880886</v>
      </c>
      <c r="D67" s="448">
        <f>LN_IB2+LN_IB14</f>
        <v>287706838</v>
      </c>
      <c r="E67" s="448">
        <f>D67-C67</f>
        <v>-15174048</v>
      </c>
      <c r="F67" s="449">
        <f>IF(C67=0,0,E67/C67)</f>
        <v>-5.0099061054648397E-2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348026875</v>
      </c>
      <c r="D68" s="448">
        <f>LN_IB21-LN_IB22</f>
        <v>364432880</v>
      </c>
      <c r="E68" s="448">
        <f>D68-C68</f>
        <v>16406005</v>
      </c>
      <c r="F68" s="449">
        <f>IF(C68=0,0,E68/C68)</f>
        <v>4.7140052043394637E-2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-78640127.278829724</v>
      </c>
      <c r="D70" s="441">
        <f>LN_IB9+LN_IB20</f>
        <v>-53143760.552437961</v>
      </c>
      <c r="E70" s="448">
        <f>D70-C70</f>
        <v>25496366.726391762</v>
      </c>
      <c r="F70" s="449">
        <f>IF(C70=0,0,E70/C70)</f>
        <v>-0.32421573576541629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545975025</v>
      </c>
      <c r="D73" s="488">
        <v>558621454</v>
      </c>
      <c r="E73" s="488">
        <f>D73-C73</f>
        <v>12646429</v>
      </c>
      <c r="F73" s="489">
        <f>IF(C73=0,0,E73/C73)</f>
        <v>2.3163017392599596E-2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258276116</v>
      </c>
      <c r="D74" s="488">
        <v>269000765</v>
      </c>
      <c r="E74" s="488">
        <f>D74-C74</f>
        <v>10724649</v>
      </c>
      <c r="F74" s="489">
        <f>IF(C74=0,0,E74/C74)</f>
        <v>4.1523967318758966E-2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287698909</v>
      </c>
      <c r="D76" s="441">
        <f>LN_IB32-LN_IB33</f>
        <v>289620689</v>
      </c>
      <c r="E76" s="488">
        <f>D76-C76</f>
        <v>1921780</v>
      </c>
      <c r="F76" s="489">
        <f>IF(E76=0,0,E76/C76)</f>
        <v>6.6798306836818762E-3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0.52694518215370745</v>
      </c>
      <c r="D77" s="453">
        <f>IF(LN_IB32=0,0,LN_IB34/LN_IB32)</f>
        <v>0.51845607956188522</v>
      </c>
      <c r="E77" s="493">
        <f>D77-C77</f>
        <v>-8.4891025918222285E-3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6566137</v>
      </c>
      <c r="D83" s="448">
        <v>8698928</v>
      </c>
      <c r="E83" s="448">
        <f t="shared" ref="E83:E95" si="8">D83-C83</f>
        <v>2132791</v>
      </c>
      <c r="F83" s="449">
        <f t="shared" ref="F83:F95" si="9">IF(C83=0,0,E83/C83)</f>
        <v>0.32481670729684747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272142</v>
      </c>
      <c r="D84" s="448">
        <v>202548</v>
      </c>
      <c r="E84" s="448">
        <f t="shared" si="8"/>
        <v>-69594</v>
      </c>
      <c r="F84" s="449">
        <f t="shared" si="9"/>
        <v>-0.25572678969067619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4.1446287215755627E-2</v>
      </c>
      <c r="D85" s="453">
        <f>IF(LN_IC1=0,0,LN_IC2/LN_IC1)</f>
        <v>2.328424835795859E-2</v>
      </c>
      <c r="E85" s="454">
        <f t="shared" si="8"/>
        <v>-1.8162038857797037E-2</v>
      </c>
      <c r="F85" s="449">
        <f t="shared" si="9"/>
        <v>-0.43820665439226159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281</v>
      </c>
      <c r="D86" s="456">
        <v>319</v>
      </c>
      <c r="E86" s="456">
        <f t="shared" si="8"/>
        <v>38</v>
      </c>
      <c r="F86" s="449">
        <f t="shared" si="9"/>
        <v>0.13523131672597866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1.2102999999999999</v>
      </c>
      <c r="D87" s="459">
        <v>1.2447999999999999</v>
      </c>
      <c r="E87" s="460">
        <f t="shared" si="8"/>
        <v>3.4499999999999975E-2</v>
      </c>
      <c r="F87" s="449">
        <f t="shared" si="9"/>
        <v>2.8505329257208938E-2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340.09429999999998</v>
      </c>
      <c r="D88" s="463">
        <f>LN_IC4*LN_IC5</f>
        <v>397.09119999999996</v>
      </c>
      <c r="E88" s="463">
        <f t="shared" si="8"/>
        <v>56.996899999999982</v>
      </c>
      <c r="F88" s="449">
        <f t="shared" si="9"/>
        <v>0.1675914591923475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800.19571042502037</v>
      </c>
      <c r="D89" s="465">
        <f>IF(LN_IC6=0,0,LN_IC2/LN_IC6)</f>
        <v>510.07929664520395</v>
      </c>
      <c r="E89" s="465">
        <f t="shared" si="8"/>
        <v>-290.11641377981641</v>
      </c>
      <c r="F89" s="449">
        <f t="shared" si="9"/>
        <v>-0.36255682203760176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10383.970898204174</v>
      </c>
      <c r="D90" s="465">
        <f>LN_IB7-LN_IC7</f>
        <v>10734.339360977508</v>
      </c>
      <c r="E90" s="465">
        <f t="shared" si="8"/>
        <v>350.36846277333461</v>
      </c>
      <c r="F90" s="449">
        <f t="shared" si="9"/>
        <v>3.3741279343716971E-2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7643.0408397917117</v>
      </c>
      <c r="D91" s="465">
        <f>LN_IA7-LN_IC7</f>
        <v>8563.6894285069029</v>
      </c>
      <c r="E91" s="465">
        <f t="shared" si="8"/>
        <v>920.64858871519118</v>
      </c>
      <c r="F91" s="449">
        <f t="shared" si="9"/>
        <v>0.12045579868186086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2599354.624280374</v>
      </c>
      <c r="D92" s="441">
        <f>LN_IC9*LN_IC6</f>
        <v>3400565.7115931199</v>
      </c>
      <c r="E92" s="441">
        <f t="shared" si="8"/>
        <v>801211.08731274586</v>
      </c>
      <c r="F92" s="449">
        <f t="shared" si="9"/>
        <v>0.30823462094348114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931</v>
      </c>
      <c r="D93" s="456">
        <v>1069</v>
      </c>
      <c r="E93" s="456">
        <f t="shared" si="8"/>
        <v>138</v>
      </c>
      <c r="F93" s="449">
        <f t="shared" si="9"/>
        <v>0.14822771213748656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292.31149301825991</v>
      </c>
      <c r="D94" s="499">
        <f>IF(LN_IC11=0,0,LN_IC2/LN_IC11)</f>
        <v>189.47427502338635</v>
      </c>
      <c r="E94" s="499">
        <f t="shared" si="8"/>
        <v>-102.83721799487355</v>
      </c>
      <c r="F94" s="449">
        <f t="shared" si="9"/>
        <v>-0.35180696089992464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3.3131672597864767</v>
      </c>
      <c r="D95" s="466">
        <f>IF(LN_IC4=0,0,LN_IC11/LN_IC4)</f>
        <v>3.3510971786833856</v>
      </c>
      <c r="E95" s="466">
        <f t="shared" si="8"/>
        <v>3.7929918896908887E-2</v>
      </c>
      <c r="F95" s="449">
        <f t="shared" si="9"/>
        <v>1.1448235456532114E-2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28175261</v>
      </c>
      <c r="D98" s="448">
        <v>23806549</v>
      </c>
      <c r="E98" s="448">
        <f t="shared" ref="E98:E106" si="10">D98-C98</f>
        <v>-4368712</v>
      </c>
      <c r="F98" s="449">
        <f t="shared" ref="F98:F106" si="11">IF(C98=0,0,E98/C98)</f>
        <v>-0.15505489017475296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670219</v>
      </c>
      <c r="D99" s="448">
        <v>533376</v>
      </c>
      <c r="E99" s="448">
        <f t="shared" si="10"/>
        <v>-136843</v>
      </c>
      <c r="F99" s="449">
        <f t="shared" si="11"/>
        <v>-0.20417654527848361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2.3787499253334336E-2</v>
      </c>
      <c r="D100" s="453">
        <f>IF(LN_IC14=0,0,LN_IC15/LN_IC14)</f>
        <v>2.2404591274443011E-2</v>
      </c>
      <c r="E100" s="454">
        <f t="shared" si="10"/>
        <v>-1.3829079788913248E-3</v>
      </c>
      <c r="F100" s="449">
        <f t="shared" si="11"/>
        <v>-5.813591265578201E-2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4.2909949944693508</v>
      </c>
      <c r="D101" s="453">
        <f>IF(LN_IC1=0,0,LN_IC14/LN_IC1)</f>
        <v>2.7367221570290039</v>
      </c>
      <c r="E101" s="454">
        <f t="shared" si="10"/>
        <v>-1.5542728374403469</v>
      </c>
      <c r="F101" s="449">
        <f t="shared" si="11"/>
        <v>-0.36221735039160941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1205.7695934458875</v>
      </c>
      <c r="D102" s="463">
        <f>LN_IC17*LN_IC4</f>
        <v>873.0143680922522</v>
      </c>
      <c r="E102" s="463">
        <f t="shared" si="10"/>
        <v>-332.7552253536353</v>
      </c>
      <c r="F102" s="449">
        <f t="shared" si="11"/>
        <v>-0.27596916290008328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555.84334158288596</v>
      </c>
      <c r="D103" s="465">
        <f>IF(LN_IC18=0,0,LN_IC15/LN_IC18)</f>
        <v>610.95901682071474</v>
      </c>
      <c r="E103" s="465">
        <f t="shared" si="10"/>
        <v>55.115675237828782</v>
      </c>
      <c r="F103" s="449">
        <f t="shared" si="11"/>
        <v>9.9156850707026178E-2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11194.338569028203</v>
      </c>
      <c r="D104" s="465">
        <f>LN_IB18-LN_IC19</f>
        <v>11603.489484385853</v>
      </c>
      <c r="E104" s="465">
        <f t="shared" si="10"/>
        <v>409.15091535764986</v>
      </c>
      <c r="F104" s="449">
        <f t="shared" si="11"/>
        <v>3.6549807104250272E-2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7948.5104161914351</v>
      </c>
      <c r="D105" s="465">
        <f>LN_IA16-LN_IC19</f>
        <v>9460.6576456680341</v>
      </c>
      <c r="E105" s="465">
        <f t="shared" si="10"/>
        <v>1512.147229476599</v>
      </c>
      <c r="F105" s="449">
        <f t="shared" si="11"/>
        <v>0.19024284429398172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9584072.173031548</v>
      </c>
      <c r="D106" s="448">
        <f>LN_IC21*LN_IC18</f>
        <v>8259290.0562700136</v>
      </c>
      <c r="E106" s="448">
        <f t="shared" si="10"/>
        <v>-1324782.1167615345</v>
      </c>
      <c r="F106" s="449">
        <f t="shared" si="11"/>
        <v>-0.13822747709364247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34741398</v>
      </c>
      <c r="D109" s="448">
        <f>LN_IC1+LN_IC14</f>
        <v>32505477</v>
      </c>
      <c r="E109" s="448">
        <f>D109-C109</f>
        <v>-2235921</v>
      </c>
      <c r="F109" s="449">
        <f>IF(C109=0,0,E109/C109)</f>
        <v>-6.4358981754274833E-2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942361</v>
      </c>
      <c r="D110" s="448">
        <f>LN_IC2+LN_IC15</f>
        <v>735924</v>
      </c>
      <c r="E110" s="448">
        <f>D110-C110</f>
        <v>-206437</v>
      </c>
      <c r="F110" s="449">
        <f>IF(C110=0,0,E110/C110)</f>
        <v>-0.21906360725878937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33799037</v>
      </c>
      <c r="D111" s="448">
        <f>LN_IC23-LN_IC24</f>
        <v>31769553</v>
      </c>
      <c r="E111" s="448">
        <f>D111-C111</f>
        <v>-2029484</v>
      </c>
      <c r="F111" s="449">
        <f>IF(C111=0,0,E111/C111)</f>
        <v>-6.004561609255317E-2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12183426.797311923</v>
      </c>
      <c r="D113" s="448">
        <f>LN_IC10+LN_IC22</f>
        <v>11659855.767863134</v>
      </c>
      <c r="E113" s="448">
        <f>D113-C113</f>
        <v>-523571.02944878861</v>
      </c>
      <c r="F113" s="449">
        <f>IF(C113=0,0,E113/C113)</f>
        <v>-4.2974036628537562E-2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221760677</v>
      </c>
      <c r="D118" s="448">
        <v>227632619</v>
      </c>
      <c r="E118" s="448">
        <f t="shared" ref="E118:E130" si="12">D118-C118</f>
        <v>5871942</v>
      </c>
      <c r="F118" s="449">
        <f t="shared" ref="F118:F130" si="13">IF(C118=0,0,E118/C118)</f>
        <v>2.6478734099463452E-2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52943114</v>
      </c>
      <c r="D119" s="448">
        <v>64775728</v>
      </c>
      <c r="E119" s="448">
        <f t="shared" si="12"/>
        <v>11832614</v>
      </c>
      <c r="F119" s="449">
        <f t="shared" si="13"/>
        <v>0.22349675162666102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0.23873986459736501</v>
      </c>
      <c r="D120" s="453">
        <f>IF(LN_ID1=0,0,LN_1D2/LN_ID1)</f>
        <v>0.2845625916204918</v>
      </c>
      <c r="E120" s="454">
        <f t="shared" si="12"/>
        <v>4.5822727023126786E-2</v>
      </c>
      <c r="F120" s="449">
        <f t="shared" si="13"/>
        <v>0.19193580050154949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7857</v>
      </c>
      <c r="D121" s="456">
        <v>7876</v>
      </c>
      <c r="E121" s="456">
        <f t="shared" si="12"/>
        <v>19</v>
      </c>
      <c r="F121" s="449">
        <f t="shared" si="13"/>
        <v>2.4182257859233806E-3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1.1608000000000001</v>
      </c>
      <c r="D122" s="459">
        <v>1.1567000000000001</v>
      </c>
      <c r="E122" s="460">
        <f t="shared" si="12"/>
        <v>-4.0999999999999925E-3</v>
      </c>
      <c r="F122" s="449">
        <f t="shared" si="13"/>
        <v>-3.5320468642315579E-3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9120.4056</v>
      </c>
      <c r="D123" s="463">
        <f>LN_ID4*LN_ID5</f>
        <v>9110.1692000000003</v>
      </c>
      <c r="E123" s="463">
        <f t="shared" si="12"/>
        <v>-10.236399999999776</v>
      </c>
      <c r="F123" s="449">
        <f t="shared" si="13"/>
        <v>-1.122362365112334E-3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5804.9078431336429</v>
      </c>
      <c r="D124" s="465">
        <f>IF(LN_ID6=0,0,LN_1D2/LN_ID6)</f>
        <v>7110.2661847378204</v>
      </c>
      <c r="E124" s="465">
        <f t="shared" si="12"/>
        <v>1305.3583416041774</v>
      </c>
      <c r="F124" s="449">
        <f t="shared" si="13"/>
        <v>0.22487150130182093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5379.2587654955505</v>
      </c>
      <c r="D125" s="465">
        <f>LN_IB7-LN_ID7</f>
        <v>4134.1524728848926</v>
      </c>
      <c r="E125" s="465">
        <f t="shared" si="12"/>
        <v>-1245.1062926106579</v>
      </c>
      <c r="F125" s="449">
        <f t="shared" si="13"/>
        <v>-0.2314642866034268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2638.3287070830893</v>
      </c>
      <c r="D126" s="465">
        <f>LN_IA7-LN_ID7</f>
        <v>1963.5025404142871</v>
      </c>
      <c r="E126" s="465">
        <f t="shared" si="12"/>
        <v>-674.82616666880222</v>
      </c>
      <c r="F126" s="449">
        <f t="shared" si="13"/>
        <v>-0.25577789638459547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24062627.914721366</v>
      </c>
      <c r="D127" s="479">
        <f>LN_ID9*LN_ID6</f>
        <v>17887840.367803995</v>
      </c>
      <c r="E127" s="479">
        <f t="shared" si="12"/>
        <v>-6174787.5469173715</v>
      </c>
      <c r="F127" s="449">
        <f t="shared" si="13"/>
        <v>-0.25661318326497806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40108</v>
      </c>
      <c r="D128" s="456">
        <v>38518</v>
      </c>
      <c r="E128" s="456">
        <f t="shared" si="12"/>
        <v>-1590</v>
      </c>
      <c r="F128" s="449">
        <f t="shared" si="13"/>
        <v>-3.9642963997207542E-2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1320.0138127056946</v>
      </c>
      <c r="D129" s="465">
        <f>IF(LN_ID11=0,0,LN_1D2/LN_ID11)</f>
        <v>1681.7001921179708</v>
      </c>
      <c r="E129" s="465">
        <f t="shared" si="12"/>
        <v>361.68637941227621</v>
      </c>
      <c r="F129" s="449">
        <f t="shared" si="13"/>
        <v>0.27400196568467006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5.104747359042892</v>
      </c>
      <c r="D130" s="466">
        <f>IF(LN_ID4=0,0,LN_ID11/LN_ID4)</f>
        <v>4.8905535804977145</v>
      </c>
      <c r="E130" s="466">
        <f t="shared" si="12"/>
        <v>-0.21419377854517752</v>
      </c>
      <c r="F130" s="449">
        <f t="shared" si="13"/>
        <v>-4.1959721702140712E-2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202212572</v>
      </c>
      <c r="D133" s="448">
        <v>205257874</v>
      </c>
      <c r="E133" s="448">
        <f t="shared" ref="E133:E141" si="14">D133-C133</f>
        <v>3045302</v>
      </c>
      <c r="F133" s="449">
        <f t="shared" ref="F133:F141" si="15">IF(C133=0,0,E133/C133)</f>
        <v>1.5059904386162499E-2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40967256</v>
      </c>
      <c r="D134" s="448">
        <v>36712862</v>
      </c>
      <c r="E134" s="448">
        <f t="shared" si="14"/>
        <v>-4254394</v>
      </c>
      <c r="F134" s="449">
        <f t="shared" si="15"/>
        <v>-0.10384864439053472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0.20259499987963162</v>
      </c>
      <c r="D135" s="453">
        <f>IF(LN_ID14=0,0,LN_ID15/LN_ID14)</f>
        <v>0.17886213709881843</v>
      </c>
      <c r="E135" s="454">
        <f t="shared" si="14"/>
        <v>-2.3732862780813185E-2</v>
      </c>
      <c r="F135" s="449">
        <f t="shared" si="15"/>
        <v>-0.11714436582795065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0.91185044497316359</v>
      </c>
      <c r="D136" s="453">
        <f>IF(LN_ID1=0,0,LN_ID14/LN_ID1)</f>
        <v>0.90170677164681745</v>
      </c>
      <c r="E136" s="454">
        <f t="shared" si="14"/>
        <v>-1.0143673326346136E-2</v>
      </c>
      <c r="F136" s="449">
        <f t="shared" si="15"/>
        <v>-1.1124273045285044E-2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7164.4089461541462</v>
      </c>
      <c r="D137" s="463">
        <f>LN_ID17*LN_ID4</f>
        <v>7101.8425334903341</v>
      </c>
      <c r="E137" s="463">
        <f t="shared" si="14"/>
        <v>-62.566412663812116</v>
      </c>
      <c r="F137" s="449">
        <f t="shared" si="15"/>
        <v>-8.732948263289431E-3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5718.1626995191582</v>
      </c>
      <c r="D138" s="465">
        <f>IF(LN_ID18=0,0,LN_ID15/LN_ID18)</f>
        <v>5169.4840918919635</v>
      </c>
      <c r="E138" s="465">
        <f t="shared" si="14"/>
        <v>-548.67860762719465</v>
      </c>
      <c r="F138" s="449">
        <f t="shared" si="15"/>
        <v>-9.5953654427030063E-2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6032.0192110919306</v>
      </c>
      <c r="D139" s="465">
        <f>LN_IB18-LN_ID19</f>
        <v>7044.9644093146035</v>
      </c>
      <c r="E139" s="465">
        <f t="shared" si="14"/>
        <v>1012.9451982226728</v>
      </c>
      <c r="F139" s="449">
        <f t="shared" si="15"/>
        <v>0.16792804577943429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2786.1910582551627</v>
      </c>
      <c r="D140" s="465">
        <f>LN_IA16-LN_ID19</f>
        <v>4902.1325705967847</v>
      </c>
      <c r="E140" s="465">
        <f t="shared" si="14"/>
        <v>2115.941512341622</v>
      </c>
      <c r="F140" s="449">
        <f t="shared" si="15"/>
        <v>0.75943877074486021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19961412.143457975</v>
      </c>
      <c r="D141" s="441">
        <f>LN_ID21*LN_ID18</f>
        <v>34814173.594672553</v>
      </c>
      <c r="E141" s="441">
        <f t="shared" si="14"/>
        <v>14852761.451214578</v>
      </c>
      <c r="F141" s="449">
        <f t="shared" si="15"/>
        <v>0.74407368298751986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423973249</v>
      </c>
      <c r="D144" s="448">
        <f>LN_ID1+LN_ID14</f>
        <v>432890493</v>
      </c>
      <c r="E144" s="448">
        <f>D144-C144</f>
        <v>8917244</v>
      </c>
      <c r="F144" s="449">
        <f>IF(C144=0,0,E144/C144)</f>
        <v>2.1032562835114156E-2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93910370</v>
      </c>
      <c r="D145" s="448">
        <f>LN_1D2+LN_ID15</f>
        <v>101488590</v>
      </c>
      <c r="E145" s="448">
        <f>D145-C145</f>
        <v>7578220</v>
      </c>
      <c r="F145" s="449">
        <f>IF(C145=0,0,E145/C145)</f>
        <v>8.0696306488836106E-2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330062879</v>
      </c>
      <c r="D146" s="448">
        <f>LN_ID23-LN_ID24</f>
        <v>331401903</v>
      </c>
      <c r="E146" s="448">
        <f>D146-C146</f>
        <v>1339024</v>
      </c>
      <c r="F146" s="449">
        <f>IF(C146=0,0,E146/C146)</f>
        <v>4.0568754779600645E-3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44024040.058179341</v>
      </c>
      <c r="D148" s="448">
        <f>LN_ID10+LN_ID22</f>
        <v>52702013.962476552</v>
      </c>
      <c r="E148" s="448">
        <f>D148-C148</f>
        <v>8677973.9042972103</v>
      </c>
      <c r="F148" s="503">
        <f>IF(C148=0,0,E148/C148)</f>
        <v>0.19711898073936326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11184.166608629193</v>
      </c>
      <c r="D160" s="465">
        <f>LN_IB7-LN_IE7</f>
        <v>11244.418657622713</v>
      </c>
      <c r="E160" s="465">
        <f t="shared" si="16"/>
        <v>60.252048993519566</v>
      </c>
      <c r="F160" s="449">
        <f t="shared" si="17"/>
        <v>5.3872631821339136E-3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8443.2365502167322</v>
      </c>
      <c r="D161" s="465">
        <f>LN_IA7-LN_IE7</f>
        <v>9073.7687251521074</v>
      </c>
      <c r="E161" s="465">
        <f t="shared" si="16"/>
        <v>630.53217493537522</v>
      </c>
      <c r="F161" s="449">
        <f t="shared" si="17"/>
        <v>7.4678965961126581E-2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11750.181910611089</v>
      </c>
      <c r="D174" s="465">
        <f>LN_IB18-LN_IE19</f>
        <v>12214.448501206567</v>
      </c>
      <c r="E174" s="465">
        <f t="shared" si="18"/>
        <v>464.26659059547819</v>
      </c>
      <c r="F174" s="449">
        <f t="shared" si="19"/>
        <v>3.9511438557067687E-2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8504.3537577743209</v>
      </c>
      <c r="D175" s="465">
        <f>LN_IA16-LN_IE19</f>
        <v>10071.616662488748</v>
      </c>
      <c r="E175" s="465">
        <f t="shared" si="18"/>
        <v>1567.2629047144273</v>
      </c>
      <c r="F175" s="449">
        <f t="shared" si="19"/>
        <v>0.1842894768202348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221760677</v>
      </c>
      <c r="D188" s="448">
        <f>LN_ID1+LN_IE1</f>
        <v>227632619</v>
      </c>
      <c r="E188" s="448">
        <f t="shared" ref="E188:E200" si="20">D188-C188</f>
        <v>5871942</v>
      </c>
      <c r="F188" s="449">
        <f t="shared" ref="F188:F200" si="21">IF(C188=0,0,E188/C188)</f>
        <v>2.6478734099463452E-2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52943114</v>
      </c>
      <c r="D189" s="448">
        <f>LN_1D2+LN_IE2</f>
        <v>64775728</v>
      </c>
      <c r="E189" s="448">
        <f t="shared" si="20"/>
        <v>11832614</v>
      </c>
      <c r="F189" s="449">
        <f t="shared" si="21"/>
        <v>0.22349675162666102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0.23873986459736501</v>
      </c>
      <c r="D190" s="453">
        <f>IF(LN_IF1=0,0,LN_IF2/LN_IF1)</f>
        <v>0.2845625916204918</v>
      </c>
      <c r="E190" s="454">
        <f t="shared" si="20"/>
        <v>4.5822727023126786E-2</v>
      </c>
      <c r="F190" s="449">
        <f t="shared" si="21"/>
        <v>0.19193580050154949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7857</v>
      </c>
      <c r="D191" s="456">
        <f>LN_ID4+LN_IE4</f>
        <v>7876</v>
      </c>
      <c r="E191" s="456">
        <f t="shared" si="20"/>
        <v>19</v>
      </c>
      <c r="F191" s="449">
        <f t="shared" si="21"/>
        <v>2.4182257859233806E-3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1.1608000000000001</v>
      </c>
      <c r="D192" s="459">
        <f>IF((LN_ID4+LN_IE4)=0,0,(LN_ID6+LN_IE6)/(LN_ID4+LN_IE4))</f>
        <v>1.1567000000000001</v>
      </c>
      <c r="E192" s="460">
        <f t="shared" si="20"/>
        <v>-4.0999999999999925E-3</v>
      </c>
      <c r="F192" s="449">
        <f t="shared" si="21"/>
        <v>-3.5320468642315579E-3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9120.4056</v>
      </c>
      <c r="D193" s="463">
        <f>LN_IF4*LN_IF5</f>
        <v>9110.1692000000003</v>
      </c>
      <c r="E193" s="463">
        <f t="shared" si="20"/>
        <v>-10.236399999999776</v>
      </c>
      <c r="F193" s="449">
        <f t="shared" si="21"/>
        <v>-1.122362365112334E-3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5804.9078431336429</v>
      </c>
      <c r="D194" s="465">
        <f>IF(LN_IF6=0,0,LN_IF2/LN_IF6)</f>
        <v>7110.2661847378204</v>
      </c>
      <c r="E194" s="465">
        <f t="shared" si="20"/>
        <v>1305.3583416041774</v>
      </c>
      <c r="F194" s="449">
        <f t="shared" si="21"/>
        <v>0.22487150130182093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5379.2587654955505</v>
      </c>
      <c r="D195" s="465">
        <f>LN_IB7-LN_IF7</f>
        <v>4134.1524728848926</v>
      </c>
      <c r="E195" s="465">
        <f t="shared" si="20"/>
        <v>-1245.1062926106579</v>
      </c>
      <c r="F195" s="449">
        <f t="shared" si="21"/>
        <v>-0.2314642866034268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2638.3287070830893</v>
      </c>
      <c r="D196" s="465">
        <f>LN_IA7-LN_IF7</f>
        <v>1963.5025404142871</v>
      </c>
      <c r="E196" s="465">
        <f t="shared" si="20"/>
        <v>-674.82616666880222</v>
      </c>
      <c r="F196" s="449">
        <f t="shared" si="21"/>
        <v>-0.25577789638459547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24062627.914721366</v>
      </c>
      <c r="D197" s="479">
        <f>LN_IF9*LN_IF6</f>
        <v>17887840.367803995</v>
      </c>
      <c r="E197" s="479">
        <f t="shared" si="20"/>
        <v>-6174787.5469173715</v>
      </c>
      <c r="F197" s="449">
        <f t="shared" si="21"/>
        <v>-0.25661318326497806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40108</v>
      </c>
      <c r="D198" s="456">
        <f>LN_ID11+LN_IE11</f>
        <v>38518</v>
      </c>
      <c r="E198" s="456">
        <f t="shared" si="20"/>
        <v>-1590</v>
      </c>
      <c r="F198" s="449">
        <f t="shared" si="21"/>
        <v>-3.9642963997207542E-2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1320.0138127056946</v>
      </c>
      <c r="D199" s="519">
        <f>IF(LN_IF11=0,0,LN_IF2/LN_IF11)</f>
        <v>1681.7001921179708</v>
      </c>
      <c r="E199" s="519">
        <f t="shared" si="20"/>
        <v>361.68637941227621</v>
      </c>
      <c r="F199" s="449">
        <f t="shared" si="21"/>
        <v>0.27400196568467006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5.104747359042892</v>
      </c>
      <c r="D200" s="466">
        <f>IF(LN_IF4=0,0,LN_IF11/LN_IF4)</f>
        <v>4.8905535804977145</v>
      </c>
      <c r="E200" s="466">
        <f t="shared" si="20"/>
        <v>-0.21419377854517752</v>
      </c>
      <c r="F200" s="449">
        <f t="shared" si="21"/>
        <v>-4.1959721702140712E-2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202212572</v>
      </c>
      <c r="D203" s="448">
        <f>LN_ID14+LN_IE14</f>
        <v>205257874</v>
      </c>
      <c r="E203" s="448">
        <f t="shared" ref="E203:E211" si="22">D203-C203</f>
        <v>3045302</v>
      </c>
      <c r="F203" s="449">
        <f t="shared" ref="F203:F211" si="23">IF(C203=0,0,E203/C203)</f>
        <v>1.5059904386162499E-2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40967256</v>
      </c>
      <c r="D204" s="448">
        <f>LN_ID15+LN_IE15</f>
        <v>36712862</v>
      </c>
      <c r="E204" s="448">
        <f t="shared" si="22"/>
        <v>-4254394</v>
      </c>
      <c r="F204" s="449">
        <f t="shared" si="23"/>
        <v>-0.10384864439053472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0.20259499987963162</v>
      </c>
      <c r="D205" s="453">
        <f>IF(LN_IF14=0,0,LN_IF15/LN_IF14)</f>
        <v>0.17886213709881843</v>
      </c>
      <c r="E205" s="454">
        <f t="shared" si="22"/>
        <v>-2.3732862780813185E-2</v>
      </c>
      <c r="F205" s="449">
        <f t="shared" si="23"/>
        <v>-0.11714436582795065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0.91185044497316359</v>
      </c>
      <c r="D206" s="453">
        <f>IF(LN_IF1=0,0,LN_IF14/LN_IF1)</f>
        <v>0.90170677164681745</v>
      </c>
      <c r="E206" s="454">
        <f t="shared" si="22"/>
        <v>-1.0143673326346136E-2</v>
      </c>
      <c r="F206" s="449">
        <f t="shared" si="23"/>
        <v>-1.1124273045285044E-2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7164.4089461541462</v>
      </c>
      <c r="D207" s="463">
        <f>LN_ID18+LN_IE18</f>
        <v>7101.8425334903341</v>
      </c>
      <c r="E207" s="463">
        <f t="shared" si="22"/>
        <v>-62.566412663812116</v>
      </c>
      <c r="F207" s="449">
        <f t="shared" si="23"/>
        <v>-8.732948263289431E-3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5718.1626995191582</v>
      </c>
      <c r="D208" s="465">
        <f>IF(LN_IF18=0,0,LN_IF15/LN_IF18)</f>
        <v>5169.4840918919635</v>
      </c>
      <c r="E208" s="465">
        <f t="shared" si="22"/>
        <v>-548.67860762719465</v>
      </c>
      <c r="F208" s="449">
        <f t="shared" si="23"/>
        <v>-9.5953654427030063E-2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6032.0192110919306</v>
      </c>
      <c r="D209" s="465">
        <f>LN_IB18-LN_IF19</f>
        <v>7044.9644093146035</v>
      </c>
      <c r="E209" s="465">
        <f t="shared" si="22"/>
        <v>1012.9451982226728</v>
      </c>
      <c r="F209" s="449">
        <f t="shared" si="23"/>
        <v>0.16792804577943429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2786.1910582551627</v>
      </c>
      <c r="D210" s="465">
        <f>LN_IA16-LN_IF19</f>
        <v>4902.1325705967847</v>
      </c>
      <c r="E210" s="465">
        <f t="shared" si="22"/>
        <v>2115.941512341622</v>
      </c>
      <c r="F210" s="449">
        <f t="shared" si="23"/>
        <v>0.75943877074486021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19961412.143457975</v>
      </c>
      <c r="D211" s="441">
        <f>LN_IF21*LN_IF18</f>
        <v>34814173.594672553</v>
      </c>
      <c r="E211" s="441">
        <f t="shared" si="22"/>
        <v>14852761.451214578</v>
      </c>
      <c r="F211" s="449">
        <f t="shared" si="23"/>
        <v>0.74407368298751986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423973249</v>
      </c>
      <c r="D214" s="448">
        <f>LN_IF1+LN_IF14</f>
        <v>432890493</v>
      </c>
      <c r="E214" s="448">
        <f>D214-C214</f>
        <v>8917244</v>
      </c>
      <c r="F214" s="449">
        <f>IF(C214=0,0,E214/C214)</f>
        <v>2.1032562835114156E-2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93910370</v>
      </c>
      <c r="D215" s="448">
        <f>LN_IF2+LN_IF15</f>
        <v>101488590</v>
      </c>
      <c r="E215" s="448">
        <f>D215-C215</f>
        <v>7578220</v>
      </c>
      <c r="F215" s="449">
        <f>IF(C215=0,0,E215/C215)</f>
        <v>8.0696306488836106E-2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330062879</v>
      </c>
      <c r="D216" s="448">
        <f>LN_IF23-LN_IF24</f>
        <v>331401903</v>
      </c>
      <c r="E216" s="448">
        <f>D216-C216</f>
        <v>1339024</v>
      </c>
      <c r="F216" s="449">
        <f>IF(C216=0,0,E216/C216)</f>
        <v>4.0568754779600645E-3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2026698</v>
      </c>
      <c r="D221" s="448">
        <v>1771234</v>
      </c>
      <c r="E221" s="448">
        <f t="shared" ref="E221:E230" si="24">D221-C221</f>
        <v>-255464</v>
      </c>
      <c r="F221" s="449">
        <f t="shared" ref="F221:F230" si="25">IF(C221=0,0,E221/C221)</f>
        <v>-0.12604936699991809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756322</v>
      </c>
      <c r="D222" s="448">
        <v>114523</v>
      </c>
      <c r="E222" s="448">
        <f t="shared" si="24"/>
        <v>-641799</v>
      </c>
      <c r="F222" s="449">
        <f t="shared" si="25"/>
        <v>-0.84857904437527931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0.37317942781805674</v>
      </c>
      <c r="D223" s="453">
        <f>IF(LN_IG1=0,0,LN_IG2/LN_IG1)</f>
        <v>6.4657182506659194E-2</v>
      </c>
      <c r="E223" s="454">
        <f t="shared" si="24"/>
        <v>-0.30852224531139755</v>
      </c>
      <c r="F223" s="449">
        <f t="shared" si="25"/>
        <v>-0.82673969225821653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79</v>
      </c>
      <c r="D224" s="456">
        <v>88</v>
      </c>
      <c r="E224" s="456">
        <f t="shared" si="24"/>
        <v>9</v>
      </c>
      <c r="F224" s="449">
        <f t="shared" si="25"/>
        <v>0.11392405063291139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1.0992</v>
      </c>
      <c r="D225" s="459">
        <v>1.07</v>
      </c>
      <c r="E225" s="460">
        <f t="shared" si="24"/>
        <v>-2.9199999999999893E-2</v>
      </c>
      <c r="F225" s="449">
        <f t="shared" si="25"/>
        <v>-2.6564774381368172E-2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86.836799999999997</v>
      </c>
      <c r="D226" s="463">
        <f>LN_IG3*LN_IG4</f>
        <v>94.160000000000011</v>
      </c>
      <c r="E226" s="463">
        <f t="shared" si="24"/>
        <v>7.3232000000000141</v>
      </c>
      <c r="F226" s="449">
        <f t="shared" si="25"/>
        <v>8.4332909549868426E-2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8709.6945073977859</v>
      </c>
      <c r="D227" s="465">
        <f>IF(LN_IG5=0,0,LN_IG2/LN_IG5)</f>
        <v>1216.2595581988103</v>
      </c>
      <c r="E227" s="465">
        <f t="shared" si="24"/>
        <v>-7493.434949198976</v>
      </c>
      <c r="F227" s="449">
        <f t="shared" si="25"/>
        <v>-0.86035565803533631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323</v>
      </c>
      <c r="D228" s="456">
        <v>374</v>
      </c>
      <c r="E228" s="456">
        <f t="shared" si="24"/>
        <v>51</v>
      </c>
      <c r="F228" s="449">
        <f t="shared" si="25"/>
        <v>0.15789473684210525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2341.5541795665636</v>
      </c>
      <c r="D229" s="465">
        <f>IF(LN_IG6=0,0,LN_IG2/LN_IG6)</f>
        <v>306.21122994652404</v>
      </c>
      <c r="E229" s="465">
        <f t="shared" si="24"/>
        <v>-2035.3429496200395</v>
      </c>
      <c r="F229" s="449">
        <f t="shared" si="25"/>
        <v>-0.86922735650592309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4.0886075949367084</v>
      </c>
      <c r="D230" s="466">
        <f>IF(LN_IG3=0,0,LN_IG6/LN_IG3)</f>
        <v>4.25</v>
      </c>
      <c r="E230" s="466">
        <f t="shared" si="24"/>
        <v>0.16139240506329156</v>
      </c>
      <c r="F230" s="449">
        <f t="shared" si="25"/>
        <v>3.9473684210526425E-2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2593532</v>
      </c>
      <c r="D233" s="448">
        <v>2070268</v>
      </c>
      <c r="E233" s="448">
        <f>D233-C233</f>
        <v>-523264</v>
      </c>
      <c r="F233" s="449">
        <f>IF(C233=0,0,E233/C233)</f>
        <v>-0.20175729468539427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338433</v>
      </c>
      <c r="D234" s="448">
        <v>214829</v>
      </c>
      <c r="E234" s="448">
        <f>D234-C234</f>
        <v>-123604</v>
      </c>
      <c r="F234" s="449">
        <f>IF(C234=0,0,E234/C234)</f>
        <v>-0.36522443142364958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4620230</v>
      </c>
      <c r="D237" s="448">
        <f>LN_IG1+LN_IG9</f>
        <v>3841502</v>
      </c>
      <c r="E237" s="448">
        <f>D237-C237</f>
        <v>-778728</v>
      </c>
      <c r="F237" s="449">
        <f>IF(C237=0,0,E237/C237)</f>
        <v>-0.16854745326531362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1094755</v>
      </c>
      <c r="D238" s="448">
        <f>LN_IG2+LN_IG10</f>
        <v>329352</v>
      </c>
      <c r="E238" s="448">
        <f>D238-C238</f>
        <v>-765403</v>
      </c>
      <c r="F238" s="449">
        <f>IF(C238=0,0,E238/C238)</f>
        <v>-0.69915460536832441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3525475</v>
      </c>
      <c r="D239" s="448">
        <f>LN_IG13-LN_IG14</f>
        <v>3512150</v>
      </c>
      <c r="E239" s="448">
        <f>D239-C239</f>
        <v>-13325</v>
      </c>
      <c r="F239" s="449">
        <f>IF(C239=0,0,E239/C239)</f>
        <v>-3.779632531786497E-3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30927888</v>
      </c>
      <c r="D243" s="448">
        <v>28501028</v>
      </c>
      <c r="E243" s="441">
        <f>D243-C243</f>
        <v>-2426860</v>
      </c>
      <c r="F243" s="503">
        <f>IF(C243=0,0,E243/C243)</f>
        <v>-7.8468338995536971E-2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666258533</v>
      </c>
      <c r="D244" s="448">
        <v>666788583</v>
      </c>
      <c r="E244" s="441">
        <f>D244-C244</f>
        <v>530050</v>
      </c>
      <c r="F244" s="503">
        <f>IF(C244=0,0,E244/C244)</f>
        <v>7.955620434808E-4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5761205</v>
      </c>
      <c r="D248" s="441">
        <v>4494629</v>
      </c>
      <c r="E248" s="441">
        <f>D248-C248</f>
        <v>-1266576</v>
      </c>
      <c r="F248" s="449">
        <f>IF(C248=0,0,E248/C248)</f>
        <v>-0.21984567464618948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20253386</v>
      </c>
      <c r="D249" s="441">
        <v>21847988</v>
      </c>
      <c r="E249" s="441">
        <f>D249-C249</f>
        <v>1594602</v>
      </c>
      <c r="F249" s="449">
        <f>IF(C249=0,0,E249/C249)</f>
        <v>7.8732612907293623E-2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26014591</v>
      </c>
      <c r="D250" s="441">
        <f>LN_IH4+LN_IH5</f>
        <v>26342617</v>
      </c>
      <c r="E250" s="441">
        <f>D250-C250</f>
        <v>328026</v>
      </c>
      <c r="F250" s="449">
        <f>IF(C250=0,0,E250/C250)</f>
        <v>1.260930836852288E-2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9123822.9844075963</v>
      </c>
      <c r="D251" s="441">
        <f>LN_IH6*LN_III10</f>
        <v>9256882.2903065551</v>
      </c>
      <c r="E251" s="441">
        <f>D251-C251</f>
        <v>133059.30589895882</v>
      </c>
      <c r="F251" s="449">
        <f>IF(C251=0,0,E251/C251)</f>
        <v>1.4583722867744597E-2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423973249</v>
      </c>
      <c r="D254" s="441">
        <f>LN_IF23</f>
        <v>432890493</v>
      </c>
      <c r="E254" s="441">
        <f>D254-C254</f>
        <v>8917244</v>
      </c>
      <c r="F254" s="449">
        <f>IF(C254=0,0,E254/C254)</f>
        <v>2.1032562835114156E-2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93910370</v>
      </c>
      <c r="D255" s="441">
        <f>LN_IF24</f>
        <v>101488590</v>
      </c>
      <c r="E255" s="441">
        <f>D255-C255</f>
        <v>7578220</v>
      </c>
      <c r="F255" s="449">
        <f>IF(C255=0,0,E255/C255)</f>
        <v>8.0696306488836106E-2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148695663.6758258</v>
      </c>
      <c r="D256" s="441">
        <f>LN_IH8*LN_III10</f>
        <v>152119143.60269421</v>
      </c>
      <c r="E256" s="441">
        <f>D256-C256</f>
        <v>3423479.9268684089</v>
      </c>
      <c r="F256" s="449">
        <f>IF(C256=0,0,E256/C256)</f>
        <v>2.3023401236044121E-2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54785293.675825804</v>
      </c>
      <c r="D257" s="441">
        <f>LN_IH10-LN_IH9</f>
        <v>50630553.602694213</v>
      </c>
      <c r="E257" s="441">
        <f>D257-C257</f>
        <v>-4154740.0731315911</v>
      </c>
      <c r="F257" s="449">
        <f>IF(C257=0,0,E257/C257)</f>
        <v>-7.583677652101159E-2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1101981674</v>
      </c>
      <c r="D261" s="448">
        <f>LN_IA1+LN_IB1+LN_IF1+LN_IG1</f>
        <v>1145272737</v>
      </c>
      <c r="E261" s="448">
        <f t="shared" ref="E261:E274" si="26">D261-C261</f>
        <v>43291063</v>
      </c>
      <c r="F261" s="503">
        <f t="shared" ref="F261:F274" si="27">IF(C261=0,0,E261/C261)</f>
        <v>3.9284739502845854E-2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418604111</v>
      </c>
      <c r="D262" s="448">
        <f>+LN_IA2+LN_IB2+LN_IF2+LN_IG2</f>
        <v>428039963</v>
      </c>
      <c r="E262" s="448">
        <f t="shared" si="26"/>
        <v>9435852</v>
      </c>
      <c r="F262" s="503">
        <f t="shared" si="27"/>
        <v>2.2541231086954137E-2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0.37986485699035316</v>
      </c>
      <c r="D263" s="453">
        <f>IF(LN_IIA1=0,0,LN_IIA2/LN_IIA1)</f>
        <v>0.37374500341397721</v>
      </c>
      <c r="E263" s="454">
        <f t="shared" si="26"/>
        <v>-6.1198535763759554E-3</v>
      </c>
      <c r="F263" s="458">
        <f t="shared" si="27"/>
        <v>-1.6110607400914089E-2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32366</v>
      </c>
      <c r="D264" s="456">
        <f>LN_IA4+LN_IB4+LN_IF4+LN_IG3</f>
        <v>31234</v>
      </c>
      <c r="E264" s="456">
        <f t="shared" si="26"/>
        <v>-1132</v>
      </c>
      <c r="F264" s="503">
        <f t="shared" si="27"/>
        <v>-3.4974973737873075E-2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1.4751311437928689</v>
      </c>
      <c r="D265" s="525">
        <f>IF(LN_IIA4=0,0,LN_IIA6/LN_IIA4)</f>
        <v>1.4727576166997505</v>
      </c>
      <c r="E265" s="525">
        <f t="shared" si="26"/>
        <v>-2.3735270931184438E-3</v>
      </c>
      <c r="F265" s="503">
        <f t="shared" si="27"/>
        <v>-1.6090278502395468E-3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47744.094599999997</v>
      </c>
      <c r="D266" s="463">
        <f>LN_IA6+LN_IB6+LN_IF6+LN_IG5</f>
        <v>46000.111400000009</v>
      </c>
      <c r="E266" s="463">
        <f t="shared" si="26"/>
        <v>-1743.9831999999878</v>
      </c>
      <c r="F266" s="503">
        <f t="shared" si="27"/>
        <v>-3.6527725881306962E-2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828975422</v>
      </c>
      <c r="D267" s="448">
        <f>LN_IA11+LN_IB13+LN_IF14+LN_IG9</f>
        <v>843357837</v>
      </c>
      <c r="E267" s="448">
        <f t="shared" si="26"/>
        <v>14382415</v>
      </c>
      <c r="F267" s="503">
        <f t="shared" si="27"/>
        <v>1.7349627767371853E-2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0.7522588093420508</v>
      </c>
      <c r="D268" s="453">
        <f>IF(LN_IIA1=0,0,LN_IIA7/LN_IIA1)</f>
        <v>0.73638165805740297</v>
      </c>
      <c r="E268" s="454">
        <f t="shared" si="26"/>
        <v>-1.5877151284647839E-2</v>
      </c>
      <c r="F268" s="458">
        <f t="shared" si="27"/>
        <v>-2.1105969232230719E-2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239556862</v>
      </c>
      <c r="D269" s="448">
        <f>LN_IA12+LN_IB14+LN_IF15+LN_IG10</f>
        <v>237000682</v>
      </c>
      <c r="E269" s="448">
        <f t="shared" si="26"/>
        <v>-2556180</v>
      </c>
      <c r="F269" s="503">
        <f t="shared" si="27"/>
        <v>-1.0670452011514495E-2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0.28897945058737823</v>
      </c>
      <c r="D270" s="453">
        <f>IF(LN_IIA7=0,0,LN_IIA9/LN_IIA7)</f>
        <v>0.28102031142920414</v>
      </c>
      <c r="E270" s="454">
        <f t="shared" si="26"/>
        <v>-7.9591391581740889E-3</v>
      </c>
      <c r="F270" s="458">
        <f t="shared" si="27"/>
        <v>-2.7542232300588783E-2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1930957096</v>
      </c>
      <c r="D271" s="441">
        <f>LN_IIA1+LN_IIA7</f>
        <v>1988630574</v>
      </c>
      <c r="E271" s="441">
        <f t="shared" si="26"/>
        <v>57673478</v>
      </c>
      <c r="F271" s="503">
        <f t="shared" si="27"/>
        <v>2.9867819497114294E-2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658160973</v>
      </c>
      <c r="D272" s="441">
        <f>LN_IIA2+LN_IIA9</f>
        <v>665040645</v>
      </c>
      <c r="E272" s="441">
        <f t="shared" si="26"/>
        <v>6879672</v>
      </c>
      <c r="F272" s="503">
        <f t="shared" si="27"/>
        <v>1.0452871382879762E-2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0.34084702055959093</v>
      </c>
      <c r="D273" s="453">
        <f>IF(LN_IIA11=0,0,LN_IIA12/LN_IIA11)</f>
        <v>0.33442141224969418</v>
      </c>
      <c r="E273" s="454">
        <f t="shared" si="26"/>
        <v>-6.4256083098967465E-3</v>
      </c>
      <c r="F273" s="458">
        <f t="shared" si="27"/>
        <v>-1.8851883461816401E-2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159375</v>
      </c>
      <c r="D274" s="508">
        <f>LN_IA8+LN_IB10+LN_IF11+LN_IG6</f>
        <v>151867</v>
      </c>
      <c r="E274" s="528">
        <f t="shared" si="26"/>
        <v>-7508</v>
      </c>
      <c r="F274" s="458">
        <f t="shared" si="27"/>
        <v>-4.7109019607843139E-2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804234575</v>
      </c>
      <c r="D277" s="448">
        <f>LN_IA1+LN_IF1+LN_IG1</f>
        <v>844664085</v>
      </c>
      <c r="E277" s="448">
        <f t="shared" ref="E277:E291" si="28">D277-C277</f>
        <v>40429510</v>
      </c>
      <c r="F277" s="503">
        <f t="shared" ref="F277:F291" si="29">IF(C277=0,0,E277/C277)</f>
        <v>5.0270793194883472E-2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257309232</v>
      </c>
      <c r="D278" s="448">
        <f>LN_IA2+LN_IF2+LN_IG2</f>
        <v>276398203</v>
      </c>
      <c r="E278" s="448">
        <f t="shared" si="28"/>
        <v>19088971</v>
      </c>
      <c r="F278" s="503">
        <f t="shared" si="29"/>
        <v>7.4186887316969652E-2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0.31994301165179329</v>
      </c>
      <c r="D279" s="453">
        <f>IF(D277=0,0,LN_IIB2/D277)</f>
        <v>0.32722854908646909</v>
      </c>
      <c r="E279" s="454">
        <f t="shared" si="28"/>
        <v>7.2855374346758039E-3</v>
      </c>
      <c r="F279" s="458">
        <f t="shared" si="29"/>
        <v>2.277135980267931E-2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22207</v>
      </c>
      <c r="D280" s="456">
        <f>LN_IA4+LN_IF4+LN_IG3</f>
        <v>21708</v>
      </c>
      <c r="E280" s="456">
        <f t="shared" si="28"/>
        <v>-499</v>
      </c>
      <c r="F280" s="503">
        <f t="shared" si="29"/>
        <v>-2.2470392218669789E-2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1.5005348853964966</v>
      </c>
      <c r="D281" s="525">
        <f>IF(LN_IIB4=0,0,LN_IIB6/LN_IIB4)</f>
        <v>1.4977958909157914</v>
      </c>
      <c r="E281" s="525">
        <f t="shared" si="28"/>
        <v>-2.738994480705248E-3</v>
      </c>
      <c r="F281" s="503">
        <f t="shared" si="29"/>
        <v>-1.8253454200643292E-3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33322.378199999999</v>
      </c>
      <c r="D282" s="463">
        <f>LN_IA6+LN_IF6+LN_IG5</f>
        <v>32514.153200000001</v>
      </c>
      <c r="E282" s="463">
        <f t="shared" si="28"/>
        <v>-808.22499999999854</v>
      </c>
      <c r="F282" s="503">
        <f t="shared" si="29"/>
        <v>-2.4254721411210638E-2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475814760</v>
      </c>
      <c r="D283" s="448">
        <f>LN_IA11+LN_IF14+LN_IG9</f>
        <v>491826771</v>
      </c>
      <c r="E283" s="448">
        <f t="shared" si="28"/>
        <v>16012011</v>
      </c>
      <c r="F283" s="503">
        <f t="shared" si="29"/>
        <v>3.3651774484675503E-2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0.59163678706551504</v>
      </c>
      <c r="D284" s="453">
        <f>IF(D277=0,0,LN_IIB7/D277)</f>
        <v>0.58227498923432974</v>
      </c>
      <c r="E284" s="454">
        <f t="shared" si="28"/>
        <v>-9.3617978311852923E-3</v>
      </c>
      <c r="F284" s="458">
        <f t="shared" si="29"/>
        <v>-1.5823555998975791E-2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97970855</v>
      </c>
      <c r="D285" s="448">
        <f>LN_IA12+LN_IF15+LN_IG10</f>
        <v>100935604</v>
      </c>
      <c r="E285" s="448">
        <f t="shared" si="28"/>
        <v>2964749</v>
      </c>
      <c r="F285" s="503">
        <f t="shared" si="29"/>
        <v>3.0261540536723905E-2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0.20590125241175788</v>
      </c>
      <c r="D286" s="453">
        <f>IF(LN_IIB7=0,0,LN_IIB9/LN_IIB7)</f>
        <v>0.20522592496291747</v>
      </c>
      <c r="E286" s="454">
        <f t="shared" si="28"/>
        <v>-6.7532744884041263E-4</v>
      </c>
      <c r="F286" s="458">
        <f t="shared" si="29"/>
        <v>-3.279860811579252E-3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1280049335</v>
      </c>
      <c r="D287" s="441">
        <f>D277+LN_IIB7</f>
        <v>1336490856</v>
      </c>
      <c r="E287" s="441">
        <f t="shared" si="28"/>
        <v>56441521</v>
      </c>
      <c r="F287" s="503">
        <f t="shared" si="29"/>
        <v>4.4093238796924963E-2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355280087</v>
      </c>
      <c r="D288" s="441">
        <f>LN_IIB2+LN_IIB9</f>
        <v>377333807</v>
      </c>
      <c r="E288" s="441">
        <f t="shared" si="28"/>
        <v>22053720</v>
      </c>
      <c r="F288" s="503">
        <f t="shared" si="29"/>
        <v>6.2074179800569569E-2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0.27755187029568668</v>
      </c>
      <c r="D289" s="453">
        <f>IF(LN_IIB11=0,0,LN_IIB12/LN_IIB11)</f>
        <v>0.28233175356644563</v>
      </c>
      <c r="E289" s="454">
        <f t="shared" si="28"/>
        <v>4.7798832707589556E-3</v>
      </c>
      <c r="F289" s="458">
        <f t="shared" si="29"/>
        <v>1.7221585520813685E-2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118633</v>
      </c>
      <c r="D290" s="508">
        <f>LN_IA8+LN_IF11+LN_IG6</f>
        <v>114888</v>
      </c>
      <c r="E290" s="528">
        <f t="shared" si="28"/>
        <v>-3745</v>
      </c>
      <c r="F290" s="458">
        <f t="shared" si="29"/>
        <v>-3.156794483828277E-2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924769248</v>
      </c>
      <c r="D291" s="516">
        <f>LN_IIB11-LN_IIB12</f>
        <v>959157049</v>
      </c>
      <c r="E291" s="441">
        <f t="shared" si="28"/>
        <v>34387801</v>
      </c>
      <c r="F291" s="503">
        <f t="shared" si="29"/>
        <v>3.7185277380676916E-2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5.4797841777030341</v>
      </c>
      <c r="D294" s="466">
        <f>IF(LN_IA4=0,0,LN_IA8/LN_IA4)</f>
        <v>5.5293946449359721</v>
      </c>
      <c r="E294" s="466">
        <f t="shared" ref="E294:E300" si="30">D294-C294</f>
        <v>4.9610467232938049E-2</v>
      </c>
      <c r="F294" s="503">
        <f t="shared" ref="F294:F300" si="31">IF(C294=0,0,E294/C294)</f>
        <v>9.0533615237622933E-3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4.0104340978442758</v>
      </c>
      <c r="D295" s="466">
        <f>IF(LN_IB4=0,0,(LN_IB10)/(LN_IB4))</f>
        <v>3.8819021625026244</v>
      </c>
      <c r="E295" s="466">
        <f t="shared" si="30"/>
        <v>-0.12853193534165142</v>
      </c>
      <c r="F295" s="503">
        <f t="shared" si="31"/>
        <v>-3.2049382237883187E-2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3.3131672597864767</v>
      </c>
      <c r="D296" s="466">
        <f>IF(LN_IC4=0,0,LN_IC11/LN_IC4)</f>
        <v>3.3510971786833856</v>
      </c>
      <c r="E296" s="466">
        <f t="shared" si="30"/>
        <v>3.7929918896908887E-2</v>
      </c>
      <c r="F296" s="503">
        <f t="shared" si="31"/>
        <v>1.1448235456532114E-2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5.104747359042892</v>
      </c>
      <c r="D297" s="466">
        <f>IF(LN_ID4=0,0,LN_ID11/LN_ID4)</f>
        <v>4.8905535804977145</v>
      </c>
      <c r="E297" s="466">
        <f t="shared" si="30"/>
        <v>-0.21419377854517752</v>
      </c>
      <c r="F297" s="503">
        <f t="shared" si="31"/>
        <v>-4.1959721702140712E-2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4.0886075949367084</v>
      </c>
      <c r="D299" s="466">
        <f>IF(LN_IG3=0,0,LN_IG6/LN_IG3)</f>
        <v>4.25</v>
      </c>
      <c r="E299" s="466">
        <f t="shared" si="30"/>
        <v>0.16139240506329156</v>
      </c>
      <c r="F299" s="503">
        <f t="shared" si="31"/>
        <v>3.9473684210526425E-2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4.9241487981214851</v>
      </c>
      <c r="D300" s="466">
        <f>IF(LN_IIA4=0,0,LN_IIA14/LN_IIA4)</f>
        <v>4.8622334635333289</v>
      </c>
      <c r="E300" s="466">
        <f t="shared" si="30"/>
        <v>-6.1915334588156234E-2</v>
      </c>
      <c r="F300" s="503">
        <f t="shared" si="31"/>
        <v>-1.2573814709209504E-2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1930957096</v>
      </c>
      <c r="D304" s="441">
        <f>LN_IIA11</f>
        <v>1988630574</v>
      </c>
      <c r="E304" s="441">
        <f t="shared" ref="E304:E316" si="32">D304-C304</f>
        <v>57673478</v>
      </c>
      <c r="F304" s="449">
        <f>IF(C304=0,0,E304/C304)</f>
        <v>2.9867819497114294E-2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924769248</v>
      </c>
      <c r="D305" s="441">
        <f>LN_IIB14</f>
        <v>959157049</v>
      </c>
      <c r="E305" s="441">
        <f t="shared" si="32"/>
        <v>34387801</v>
      </c>
      <c r="F305" s="449">
        <f>IF(C305=0,0,E305/C305)</f>
        <v>3.7185277380676916E-2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26014591</v>
      </c>
      <c r="D306" s="441">
        <f>LN_IH6</f>
        <v>26342617</v>
      </c>
      <c r="E306" s="441">
        <f t="shared" si="32"/>
        <v>328026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287698909</v>
      </c>
      <c r="D307" s="441">
        <f>LN_IB32-LN_IB33</f>
        <v>289620689</v>
      </c>
      <c r="E307" s="441">
        <f t="shared" si="32"/>
        <v>1921780</v>
      </c>
      <c r="F307" s="449">
        <f t="shared" ref="F307:F316" si="33">IF(C307=0,0,E307/C307)</f>
        <v>6.6798306836818762E-3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15250142</v>
      </c>
      <c r="D308" s="441">
        <v>14698892</v>
      </c>
      <c r="E308" s="441">
        <f t="shared" si="32"/>
        <v>-551250</v>
      </c>
      <c r="F308" s="449">
        <f t="shared" si="33"/>
        <v>-3.6147204399801652E-2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1253732890</v>
      </c>
      <c r="D309" s="441">
        <f>LN_III2+LN_III3+LN_III4+LN_III5</f>
        <v>1289819247</v>
      </c>
      <c r="E309" s="441">
        <f t="shared" si="32"/>
        <v>36086357</v>
      </c>
      <c r="F309" s="449">
        <f t="shared" si="33"/>
        <v>2.8783130192907357E-2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677224206</v>
      </c>
      <c r="D310" s="441">
        <f>LN_III1-LN_III6</f>
        <v>698811327</v>
      </c>
      <c r="E310" s="441">
        <f t="shared" si="32"/>
        <v>21587121</v>
      </c>
      <c r="F310" s="449">
        <f t="shared" si="33"/>
        <v>3.18758851333793E-2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677224206</v>
      </c>
      <c r="D312" s="441">
        <f>LN_III7+LN_III8</f>
        <v>698811327</v>
      </c>
      <c r="E312" s="441">
        <f t="shared" si="32"/>
        <v>21587121</v>
      </c>
      <c r="F312" s="449">
        <f t="shared" si="33"/>
        <v>3.18758851333793E-2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0.35071944757492424</v>
      </c>
      <c r="D313" s="532">
        <f>IF(LN_III1=0,0,LN_III9/LN_III1)</f>
        <v>0.35140329035291196</v>
      </c>
      <c r="E313" s="532">
        <f t="shared" si="32"/>
        <v>6.8384277798771986E-4</v>
      </c>
      <c r="F313" s="449">
        <f t="shared" si="33"/>
        <v>1.9498285102699656E-3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9123822.9844075963</v>
      </c>
      <c r="D314" s="441">
        <f>D313*LN_III5</f>
        <v>9256882.2903065551</v>
      </c>
      <c r="E314" s="441">
        <f t="shared" si="32"/>
        <v>133059.30589895882</v>
      </c>
      <c r="F314" s="449">
        <f t="shared" si="33"/>
        <v>1.4583722867744597E-2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54785293.675825804</v>
      </c>
      <c r="D315" s="441">
        <f>D313*LN_IH8-LN_IH9</f>
        <v>50630553.602694213</v>
      </c>
      <c r="E315" s="441">
        <f t="shared" si="32"/>
        <v>-4154740.0731315911</v>
      </c>
      <c r="F315" s="449">
        <f t="shared" si="33"/>
        <v>-7.583677652101159E-2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63909116.660233401</v>
      </c>
      <c r="D318" s="441">
        <f>D314+D315+D316</f>
        <v>59887435.893000767</v>
      </c>
      <c r="E318" s="441">
        <f>D318-C318</f>
        <v>-4021680.7672326341</v>
      </c>
      <c r="F318" s="449">
        <f>IF(C318=0,0,E318/C318)</f>
        <v>-6.29281232067955E-2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19961412.143457975</v>
      </c>
      <c r="D322" s="441">
        <f>LN_ID22</f>
        <v>34814173.594672553</v>
      </c>
      <c r="E322" s="441">
        <f>LN_IV2-C322</f>
        <v>14852761.451214578</v>
      </c>
      <c r="F322" s="449">
        <f>IF(C322=0,0,E322/C322)</f>
        <v>0.74407368298751986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12183426.797311923</v>
      </c>
      <c r="D324" s="441">
        <f>LN_IC10+LN_IC22</f>
        <v>11659855.767863134</v>
      </c>
      <c r="E324" s="441">
        <f>LN_IV1-C324</f>
        <v>-523571.02944878861</v>
      </c>
      <c r="F324" s="449">
        <f>IF(C324=0,0,E324/C324)</f>
        <v>-4.2974036628537562E-2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32144838.940769896</v>
      </c>
      <c r="D325" s="516">
        <f>LN_IV1+LN_IV2+LN_IV3</f>
        <v>46474029.362535685</v>
      </c>
      <c r="E325" s="441">
        <f>LN_IV4-C325</f>
        <v>14329190.421765789</v>
      </c>
      <c r="F325" s="449">
        <f>IF(C325=0,0,E325/C325)</f>
        <v>0.4457695510053345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28070395</v>
      </c>
      <c r="D329" s="518">
        <v>24439253</v>
      </c>
      <c r="E329" s="518">
        <f t="shared" ref="E329:E335" si="34">D329-C329</f>
        <v>-3631142</v>
      </c>
      <c r="F329" s="542">
        <f t="shared" ref="F329:F335" si="35">IF(C329=0,0,E329/C329)</f>
        <v>-0.12935842192459351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-23042415</v>
      </c>
      <c r="D330" s="516">
        <v>-16258906</v>
      </c>
      <c r="E330" s="518">
        <f t="shared" si="34"/>
        <v>6783509</v>
      </c>
      <c r="F330" s="543">
        <f t="shared" si="35"/>
        <v>-0.29439227615681779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635118552</v>
      </c>
      <c r="D331" s="516">
        <v>648781738</v>
      </c>
      <c r="E331" s="518">
        <f t="shared" si="34"/>
        <v>13663186</v>
      </c>
      <c r="F331" s="542">
        <f t="shared" si="35"/>
        <v>2.1512811989154428E-2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59718025</v>
      </c>
      <c r="D332" s="516">
        <v>60226057</v>
      </c>
      <c r="E332" s="518">
        <f t="shared" si="34"/>
        <v>508032</v>
      </c>
      <c r="F332" s="543">
        <f t="shared" si="35"/>
        <v>8.5071802022923561E-3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1990675124</v>
      </c>
      <c r="D333" s="516">
        <v>2048856630</v>
      </c>
      <c r="E333" s="518">
        <f t="shared" si="34"/>
        <v>58181506</v>
      </c>
      <c r="F333" s="542">
        <f t="shared" si="35"/>
        <v>2.9227022178833436E-2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13601304</v>
      </c>
      <c r="D334" s="516">
        <v>14423163</v>
      </c>
      <c r="E334" s="516">
        <f t="shared" si="34"/>
        <v>821859</v>
      </c>
      <c r="F334" s="543">
        <f t="shared" si="35"/>
        <v>6.0425015130902156E-2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39615895</v>
      </c>
      <c r="D335" s="516">
        <v>40765779</v>
      </c>
      <c r="E335" s="516">
        <f t="shared" si="34"/>
        <v>1149884</v>
      </c>
      <c r="F335" s="542">
        <f t="shared" si="35"/>
        <v>2.9025824104188483E-2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FILING&amp;RSAINT FRANCIS HOSPITAL AND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297747099</v>
      </c>
      <c r="D14" s="589">
        <v>300608652</v>
      </c>
      <c r="E14" s="590">
        <f t="shared" ref="E14:E22" si="0">D14-C14</f>
        <v>2861553</v>
      </c>
    </row>
    <row r="15" spans="1:5" s="421" customFormat="1" x14ac:dyDescent="0.2">
      <c r="A15" s="588">
        <v>2</v>
      </c>
      <c r="B15" s="587" t="s">
        <v>636</v>
      </c>
      <c r="C15" s="589">
        <v>580447200</v>
      </c>
      <c r="D15" s="591">
        <v>615260232</v>
      </c>
      <c r="E15" s="590">
        <f t="shared" si="0"/>
        <v>34813032</v>
      </c>
    </row>
    <row r="16" spans="1:5" s="421" customFormat="1" x14ac:dyDescent="0.2">
      <c r="A16" s="588">
        <v>3</v>
      </c>
      <c r="B16" s="587" t="s">
        <v>778</v>
      </c>
      <c r="C16" s="589">
        <v>221760677</v>
      </c>
      <c r="D16" s="591">
        <v>227632619</v>
      </c>
      <c r="E16" s="590">
        <f t="shared" si="0"/>
        <v>5871942</v>
      </c>
    </row>
    <row r="17" spans="1:5" s="421" customFormat="1" x14ac:dyDescent="0.2">
      <c r="A17" s="588">
        <v>4</v>
      </c>
      <c r="B17" s="587" t="s">
        <v>115</v>
      </c>
      <c r="C17" s="589">
        <v>221760677</v>
      </c>
      <c r="D17" s="591">
        <v>227632619</v>
      </c>
      <c r="E17" s="590">
        <f t="shared" si="0"/>
        <v>5871942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2026698</v>
      </c>
      <c r="D19" s="591">
        <v>1771234</v>
      </c>
      <c r="E19" s="590">
        <f t="shared" si="0"/>
        <v>-255464</v>
      </c>
    </row>
    <row r="20" spans="1:5" s="421" customFormat="1" x14ac:dyDescent="0.2">
      <c r="A20" s="588">
        <v>7</v>
      </c>
      <c r="B20" s="587" t="s">
        <v>759</v>
      </c>
      <c r="C20" s="589">
        <v>6566137</v>
      </c>
      <c r="D20" s="591">
        <v>8698928</v>
      </c>
      <c r="E20" s="590">
        <f t="shared" si="0"/>
        <v>2132791</v>
      </c>
    </row>
    <row r="21" spans="1:5" s="421" customFormat="1" x14ac:dyDescent="0.2">
      <c r="A21" s="588"/>
      <c r="B21" s="592" t="s">
        <v>779</v>
      </c>
      <c r="C21" s="593">
        <f>SUM(C15+C16+C19)</f>
        <v>804234575</v>
      </c>
      <c r="D21" s="593">
        <f>SUM(D15+D16+D19)</f>
        <v>844664085</v>
      </c>
      <c r="E21" s="593">
        <f t="shared" si="0"/>
        <v>40429510</v>
      </c>
    </row>
    <row r="22" spans="1:5" s="421" customFormat="1" x14ac:dyDescent="0.2">
      <c r="A22" s="588"/>
      <c r="B22" s="592" t="s">
        <v>465</v>
      </c>
      <c r="C22" s="593">
        <f>SUM(C14+C21)</f>
        <v>1101981674</v>
      </c>
      <c r="D22" s="593">
        <f>SUM(D14+D21)</f>
        <v>1145272737</v>
      </c>
      <c r="E22" s="593">
        <f t="shared" si="0"/>
        <v>43291063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353160662</v>
      </c>
      <c r="D25" s="589">
        <v>351531066</v>
      </c>
      <c r="E25" s="590">
        <f t="shared" ref="E25:E33" si="1">D25-C25</f>
        <v>-1629596</v>
      </c>
    </row>
    <row r="26" spans="1:5" s="421" customFormat="1" x14ac:dyDescent="0.2">
      <c r="A26" s="588">
        <v>2</v>
      </c>
      <c r="B26" s="587" t="s">
        <v>636</v>
      </c>
      <c r="C26" s="589">
        <v>271008656</v>
      </c>
      <c r="D26" s="591">
        <v>284498629</v>
      </c>
      <c r="E26" s="590">
        <f t="shared" si="1"/>
        <v>13489973</v>
      </c>
    </row>
    <row r="27" spans="1:5" s="421" customFormat="1" x14ac:dyDescent="0.2">
      <c r="A27" s="588">
        <v>3</v>
      </c>
      <c r="B27" s="587" t="s">
        <v>778</v>
      </c>
      <c r="C27" s="589">
        <v>202212572</v>
      </c>
      <c r="D27" s="591">
        <v>205257874</v>
      </c>
      <c r="E27" s="590">
        <f t="shared" si="1"/>
        <v>3045302</v>
      </c>
    </row>
    <row r="28" spans="1:5" s="421" customFormat="1" x14ac:dyDescent="0.2">
      <c r="A28" s="588">
        <v>4</v>
      </c>
      <c r="B28" s="587" t="s">
        <v>115</v>
      </c>
      <c r="C28" s="589">
        <v>202212572</v>
      </c>
      <c r="D28" s="591">
        <v>205257874</v>
      </c>
      <c r="E28" s="590">
        <f t="shared" si="1"/>
        <v>3045302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2593532</v>
      </c>
      <c r="D30" s="591">
        <v>2070268</v>
      </c>
      <c r="E30" s="590">
        <f t="shared" si="1"/>
        <v>-523264</v>
      </c>
    </row>
    <row r="31" spans="1:5" s="421" customFormat="1" x14ac:dyDescent="0.2">
      <c r="A31" s="588">
        <v>7</v>
      </c>
      <c r="B31" s="587" t="s">
        <v>759</v>
      </c>
      <c r="C31" s="590">
        <v>28175261</v>
      </c>
      <c r="D31" s="594">
        <v>23806549</v>
      </c>
      <c r="E31" s="590">
        <f t="shared" si="1"/>
        <v>-4368712</v>
      </c>
    </row>
    <row r="32" spans="1:5" s="421" customFormat="1" x14ac:dyDescent="0.2">
      <c r="A32" s="588"/>
      <c r="B32" s="592" t="s">
        <v>781</v>
      </c>
      <c r="C32" s="593">
        <f>SUM(C26+C27+C30)</f>
        <v>475814760</v>
      </c>
      <c r="D32" s="593">
        <f>SUM(D26+D27+D30)</f>
        <v>491826771</v>
      </c>
      <c r="E32" s="593">
        <f t="shared" si="1"/>
        <v>16012011</v>
      </c>
    </row>
    <row r="33" spans="1:5" s="421" customFormat="1" x14ac:dyDescent="0.2">
      <c r="A33" s="588"/>
      <c r="B33" s="592" t="s">
        <v>467</v>
      </c>
      <c r="C33" s="593">
        <f>SUM(C25+C32)</f>
        <v>828975422</v>
      </c>
      <c r="D33" s="593">
        <f>SUM(D25+D32)</f>
        <v>843357837</v>
      </c>
      <c r="E33" s="593">
        <f t="shared" si="1"/>
        <v>14382415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650907761</v>
      </c>
      <c r="D36" s="590">
        <f t="shared" si="2"/>
        <v>652139718</v>
      </c>
      <c r="E36" s="590">
        <f t="shared" ref="E36:E44" si="3">D36-C36</f>
        <v>1231957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851455856</v>
      </c>
      <c r="D37" s="590">
        <f t="shared" si="2"/>
        <v>899758861</v>
      </c>
      <c r="E37" s="590">
        <f t="shared" si="3"/>
        <v>48303005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423973249</v>
      </c>
      <c r="D38" s="590">
        <f t="shared" si="2"/>
        <v>432890493</v>
      </c>
      <c r="E38" s="590">
        <f t="shared" si="3"/>
        <v>8917244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423973249</v>
      </c>
      <c r="D39" s="590">
        <f t="shared" si="2"/>
        <v>432890493</v>
      </c>
      <c r="E39" s="590">
        <f t="shared" si="3"/>
        <v>8917244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4620230</v>
      </c>
      <c r="D41" s="590">
        <f t="shared" si="2"/>
        <v>3841502</v>
      </c>
      <c r="E41" s="590">
        <f t="shared" si="3"/>
        <v>-778728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34741398</v>
      </c>
      <c r="D42" s="590">
        <f t="shared" si="2"/>
        <v>32505477</v>
      </c>
      <c r="E42" s="590">
        <f t="shared" si="3"/>
        <v>-2235921</v>
      </c>
    </row>
    <row r="43" spans="1:5" s="421" customFormat="1" x14ac:dyDescent="0.2">
      <c r="A43" s="588"/>
      <c r="B43" s="592" t="s">
        <v>789</v>
      </c>
      <c r="C43" s="593">
        <f>SUM(C37+C38+C41)</f>
        <v>1280049335</v>
      </c>
      <c r="D43" s="593">
        <f>SUM(D37+D38+D41)</f>
        <v>1336490856</v>
      </c>
      <c r="E43" s="593">
        <f t="shared" si="3"/>
        <v>56441521</v>
      </c>
    </row>
    <row r="44" spans="1:5" s="421" customFormat="1" x14ac:dyDescent="0.2">
      <c r="A44" s="588"/>
      <c r="B44" s="592" t="s">
        <v>726</v>
      </c>
      <c r="C44" s="593">
        <f>SUM(C36+C43)</f>
        <v>1930957096</v>
      </c>
      <c r="D44" s="593">
        <f>SUM(D36+D43)</f>
        <v>1988630574</v>
      </c>
      <c r="E44" s="593">
        <f t="shared" si="3"/>
        <v>57673478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161294879</v>
      </c>
      <c r="D47" s="589">
        <v>151641760</v>
      </c>
      <c r="E47" s="590">
        <f t="shared" ref="E47:E55" si="4">D47-C47</f>
        <v>-9653119</v>
      </c>
    </row>
    <row r="48" spans="1:5" s="421" customFormat="1" x14ac:dyDescent="0.2">
      <c r="A48" s="588">
        <v>2</v>
      </c>
      <c r="B48" s="587" t="s">
        <v>636</v>
      </c>
      <c r="C48" s="589">
        <v>203609796</v>
      </c>
      <c r="D48" s="591">
        <v>211507952</v>
      </c>
      <c r="E48" s="590">
        <f t="shared" si="4"/>
        <v>7898156</v>
      </c>
    </row>
    <row r="49" spans="1:5" s="421" customFormat="1" x14ac:dyDescent="0.2">
      <c r="A49" s="588">
        <v>3</v>
      </c>
      <c r="B49" s="587" t="s">
        <v>778</v>
      </c>
      <c r="C49" s="589">
        <v>52943114</v>
      </c>
      <c r="D49" s="591">
        <v>64775728</v>
      </c>
      <c r="E49" s="590">
        <f t="shared" si="4"/>
        <v>11832614</v>
      </c>
    </row>
    <row r="50" spans="1:5" s="421" customFormat="1" x14ac:dyDescent="0.2">
      <c r="A50" s="588">
        <v>4</v>
      </c>
      <c r="B50" s="587" t="s">
        <v>115</v>
      </c>
      <c r="C50" s="589">
        <v>52943114</v>
      </c>
      <c r="D50" s="591">
        <v>64775728</v>
      </c>
      <c r="E50" s="590">
        <f t="shared" si="4"/>
        <v>11832614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756322</v>
      </c>
      <c r="D52" s="591">
        <v>114523</v>
      </c>
      <c r="E52" s="590">
        <f t="shared" si="4"/>
        <v>-641799</v>
      </c>
    </row>
    <row r="53" spans="1:5" s="421" customFormat="1" x14ac:dyDescent="0.2">
      <c r="A53" s="588">
        <v>7</v>
      </c>
      <c r="B53" s="587" t="s">
        <v>759</v>
      </c>
      <c r="C53" s="589">
        <v>272142</v>
      </c>
      <c r="D53" s="591">
        <v>202548</v>
      </c>
      <c r="E53" s="590">
        <f t="shared" si="4"/>
        <v>-69594</v>
      </c>
    </row>
    <row r="54" spans="1:5" s="421" customFormat="1" x14ac:dyDescent="0.2">
      <c r="A54" s="588"/>
      <c r="B54" s="592" t="s">
        <v>791</v>
      </c>
      <c r="C54" s="593">
        <f>SUM(C48+C49+C52)</f>
        <v>257309232</v>
      </c>
      <c r="D54" s="593">
        <f>SUM(D48+D49+D52)</f>
        <v>276398203</v>
      </c>
      <c r="E54" s="593">
        <f t="shared" si="4"/>
        <v>19088971</v>
      </c>
    </row>
    <row r="55" spans="1:5" s="421" customFormat="1" x14ac:dyDescent="0.2">
      <c r="A55" s="588"/>
      <c r="B55" s="592" t="s">
        <v>466</v>
      </c>
      <c r="C55" s="593">
        <f>SUM(C47+C54)</f>
        <v>418604111</v>
      </c>
      <c r="D55" s="593">
        <f>SUM(D47+D54)</f>
        <v>428039963</v>
      </c>
      <c r="E55" s="593">
        <f t="shared" si="4"/>
        <v>9435852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141586007</v>
      </c>
      <c r="D58" s="589">
        <v>136065078</v>
      </c>
      <c r="E58" s="590">
        <f t="shared" ref="E58:E66" si="5">D58-C58</f>
        <v>-5520929</v>
      </c>
    </row>
    <row r="59" spans="1:5" s="421" customFormat="1" x14ac:dyDescent="0.2">
      <c r="A59" s="588">
        <v>2</v>
      </c>
      <c r="B59" s="587" t="s">
        <v>636</v>
      </c>
      <c r="C59" s="589">
        <v>56665166</v>
      </c>
      <c r="D59" s="591">
        <v>64007913</v>
      </c>
      <c r="E59" s="590">
        <f t="shared" si="5"/>
        <v>7342747</v>
      </c>
    </row>
    <row r="60" spans="1:5" s="421" customFormat="1" x14ac:dyDescent="0.2">
      <c r="A60" s="588">
        <v>3</v>
      </c>
      <c r="B60" s="587" t="s">
        <v>778</v>
      </c>
      <c r="C60" s="589">
        <f>C61+C62</f>
        <v>40967256</v>
      </c>
      <c r="D60" s="591">
        <f>D61+D62</f>
        <v>36712862</v>
      </c>
      <c r="E60" s="590">
        <f t="shared" si="5"/>
        <v>-4254394</v>
      </c>
    </row>
    <row r="61" spans="1:5" s="421" customFormat="1" x14ac:dyDescent="0.2">
      <c r="A61" s="588">
        <v>4</v>
      </c>
      <c r="B61" s="587" t="s">
        <v>115</v>
      </c>
      <c r="C61" s="589">
        <v>40967256</v>
      </c>
      <c r="D61" s="591">
        <v>36712862</v>
      </c>
      <c r="E61" s="590">
        <f t="shared" si="5"/>
        <v>-4254394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338433</v>
      </c>
      <c r="D63" s="591">
        <v>214829</v>
      </c>
      <c r="E63" s="590">
        <f t="shared" si="5"/>
        <v>-123604</v>
      </c>
    </row>
    <row r="64" spans="1:5" s="421" customFormat="1" x14ac:dyDescent="0.2">
      <c r="A64" s="588">
        <v>7</v>
      </c>
      <c r="B64" s="587" t="s">
        <v>759</v>
      </c>
      <c r="C64" s="589">
        <v>670219</v>
      </c>
      <c r="D64" s="591">
        <v>533376</v>
      </c>
      <c r="E64" s="590">
        <f t="shared" si="5"/>
        <v>-136843</v>
      </c>
    </row>
    <row r="65" spans="1:5" s="421" customFormat="1" x14ac:dyDescent="0.2">
      <c r="A65" s="588"/>
      <c r="B65" s="592" t="s">
        <v>793</v>
      </c>
      <c r="C65" s="593">
        <f>SUM(C59+C60+C63)</f>
        <v>97970855</v>
      </c>
      <c r="D65" s="593">
        <f>SUM(D59+D60+D63)</f>
        <v>100935604</v>
      </c>
      <c r="E65" s="593">
        <f t="shared" si="5"/>
        <v>2964749</v>
      </c>
    </row>
    <row r="66" spans="1:5" s="421" customFormat="1" x14ac:dyDescent="0.2">
      <c r="A66" s="588"/>
      <c r="B66" s="592" t="s">
        <v>468</v>
      </c>
      <c r="C66" s="593">
        <f>SUM(C58+C65)</f>
        <v>239556862</v>
      </c>
      <c r="D66" s="593">
        <f>SUM(D58+D65)</f>
        <v>237000682</v>
      </c>
      <c r="E66" s="593">
        <f t="shared" si="5"/>
        <v>-2556180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302880886</v>
      </c>
      <c r="D69" s="590">
        <f t="shared" si="6"/>
        <v>287706838</v>
      </c>
      <c r="E69" s="590">
        <f t="shared" ref="E69:E77" si="7">D69-C69</f>
        <v>-15174048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260274962</v>
      </c>
      <c r="D70" s="590">
        <f t="shared" si="6"/>
        <v>275515865</v>
      </c>
      <c r="E70" s="590">
        <f t="shared" si="7"/>
        <v>15240903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93910370</v>
      </c>
      <c r="D71" s="590">
        <f t="shared" si="6"/>
        <v>101488590</v>
      </c>
      <c r="E71" s="590">
        <f t="shared" si="7"/>
        <v>7578220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93910370</v>
      </c>
      <c r="D72" s="590">
        <f t="shared" si="6"/>
        <v>101488590</v>
      </c>
      <c r="E72" s="590">
        <f t="shared" si="7"/>
        <v>7578220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1094755</v>
      </c>
      <c r="D74" s="590">
        <f t="shared" si="6"/>
        <v>329352</v>
      </c>
      <c r="E74" s="590">
        <f t="shared" si="7"/>
        <v>-765403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942361</v>
      </c>
      <c r="D75" s="590">
        <f t="shared" si="6"/>
        <v>735924</v>
      </c>
      <c r="E75" s="590">
        <f t="shared" si="7"/>
        <v>-206437</v>
      </c>
    </row>
    <row r="76" spans="1:5" s="421" customFormat="1" x14ac:dyDescent="0.2">
      <c r="A76" s="588"/>
      <c r="B76" s="592" t="s">
        <v>794</v>
      </c>
      <c r="C76" s="593">
        <f>SUM(C70+C71+C74)</f>
        <v>355280087</v>
      </c>
      <c r="D76" s="593">
        <f>SUM(D70+D71+D74)</f>
        <v>377333807</v>
      </c>
      <c r="E76" s="593">
        <f t="shared" si="7"/>
        <v>22053720</v>
      </c>
    </row>
    <row r="77" spans="1:5" s="421" customFormat="1" x14ac:dyDescent="0.2">
      <c r="A77" s="588"/>
      <c r="B77" s="592" t="s">
        <v>727</v>
      </c>
      <c r="C77" s="593">
        <f>SUM(C69+C76)</f>
        <v>658160973</v>
      </c>
      <c r="D77" s="593">
        <f>SUM(D69+D76)</f>
        <v>665040645</v>
      </c>
      <c r="E77" s="593">
        <f t="shared" si="7"/>
        <v>6879672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0.15419664145660542</v>
      </c>
      <c r="D83" s="599">
        <f t="shared" si="8"/>
        <v>0.15116364795465526</v>
      </c>
      <c r="E83" s="599">
        <f t="shared" ref="E83:E91" si="9">D83-C83</f>
        <v>-3.0329935019501597E-3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0.30060077523338197</v>
      </c>
      <c r="D84" s="599">
        <f t="shared" si="8"/>
        <v>0.30938890311961986</v>
      </c>
      <c r="E84" s="599">
        <f t="shared" si="9"/>
        <v>8.7881278862378953E-3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0.11484495303359138</v>
      </c>
      <c r="D85" s="599">
        <f t="shared" si="8"/>
        <v>0.11446702166613677</v>
      </c>
      <c r="E85" s="599">
        <f t="shared" si="9"/>
        <v>-3.7793136745460643E-4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0.11484495303359138</v>
      </c>
      <c r="D86" s="599">
        <f t="shared" si="8"/>
        <v>0.11446702166613677</v>
      </c>
      <c r="E86" s="599">
        <f t="shared" si="9"/>
        <v>-3.7793136745460643E-4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1.0495820980167443E-3</v>
      </c>
      <c r="D88" s="599">
        <f t="shared" si="8"/>
        <v>8.9068026166231522E-4</v>
      </c>
      <c r="E88" s="599">
        <f t="shared" si="9"/>
        <v>-1.589018363544291E-4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3.4004572207232513E-3</v>
      </c>
      <c r="D89" s="599">
        <f t="shared" si="8"/>
        <v>4.374330815251762E-3</v>
      </c>
      <c r="E89" s="599">
        <f t="shared" si="9"/>
        <v>9.7387359452851072E-4</v>
      </c>
    </row>
    <row r="90" spans="1:5" s="421" customFormat="1" x14ac:dyDescent="0.2">
      <c r="A90" s="588"/>
      <c r="B90" s="592" t="s">
        <v>797</v>
      </c>
      <c r="C90" s="600">
        <f>SUM(C84+C85+C88)</f>
        <v>0.4164953103649901</v>
      </c>
      <c r="D90" s="600">
        <f>SUM(D84+D85+D88)</f>
        <v>0.42474660504741896</v>
      </c>
      <c r="E90" s="601">
        <f t="shared" si="9"/>
        <v>8.2512946824288558E-3</v>
      </c>
    </row>
    <row r="91" spans="1:5" s="421" customFormat="1" x14ac:dyDescent="0.2">
      <c r="A91" s="588"/>
      <c r="B91" s="592" t="s">
        <v>798</v>
      </c>
      <c r="C91" s="600">
        <f>SUM(C83+C90)</f>
        <v>0.57069195182159549</v>
      </c>
      <c r="D91" s="600">
        <f>SUM(D83+D90)</f>
        <v>0.57591025300207421</v>
      </c>
      <c r="E91" s="601">
        <f t="shared" si="9"/>
        <v>5.2183011804787238E-3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0.18289410092620723</v>
      </c>
      <c r="D95" s="599">
        <f t="shared" si="10"/>
        <v>0.17677042211662186</v>
      </c>
      <c r="E95" s="599">
        <f t="shared" ref="E95:E103" si="11">D95-C95</f>
        <v>-6.1236788095853645E-3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0.14034939282773168</v>
      </c>
      <c r="D96" s="599">
        <f t="shared" si="10"/>
        <v>0.14306258423239951</v>
      </c>
      <c r="E96" s="599">
        <f t="shared" si="11"/>
        <v>2.7131914046678307E-3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0.10472142152660237</v>
      </c>
      <c r="D97" s="599">
        <f t="shared" si="10"/>
        <v>0.10321568856659849</v>
      </c>
      <c r="E97" s="599">
        <f t="shared" si="11"/>
        <v>-1.5057329600038777E-3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0.10472142152660237</v>
      </c>
      <c r="D98" s="599">
        <f t="shared" si="10"/>
        <v>0.10321568856659849</v>
      </c>
      <c r="E98" s="599">
        <f t="shared" si="11"/>
        <v>-1.5057329600038777E-3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1.3431328978632056E-3</v>
      </c>
      <c r="D100" s="599">
        <f t="shared" si="10"/>
        <v>1.0410520823059617E-3</v>
      </c>
      <c r="E100" s="599">
        <f t="shared" si="11"/>
        <v>-3.0208081555724384E-4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1.4591344913030631E-2</v>
      </c>
      <c r="D101" s="599">
        <f t="shared" si="10"/>
        <v>1.1971328064274245E-2</v>
      </c>
      <c r="E101" s="599">
        <f t="shared" si="11"/>
        <v>-2.6200168487563857E-3</v>
      </c>
    </row>
    <row r="102" spans="1:5" s="421" customFormat="1" x14ac:dyDescent="0.2">
      <c r="A102" s="588"/>
      <c r="B102" s="592" t="s">
        <v>800</v>
      </c>
      <c r="C102" s="600">
        <f>SUM(C96+C97+C100)</f>
        <v>0.24641394725219723</v>
      </c>
      <c r="D102" s="600">
        <f>SUM(D96+D97+D100)</f>
        <v>0.24731932488130395</v>
      </c>
      <c r="E102" s="601">
        <f t="shared" si="11"/>
        <v>9.0537762910672392E-4</v>
      </c>
    </row>
    <row r="103" spans="1:5" s="421" customFormat="1" x14ac:dyDescent="0.2">
      <c r="A103" s="588"/>
      <c r="B103" s="592" t="s">
        <v>801</v>
      </c>
      <c r="C103" s="600">
        <f>SUM(C95+C102)</f>
        <v>0.42930804817840446</v>
      </c>
      <c r="D103" s="600">
        <f>SUM(D95+D102)</f>
        <v>0.42408974699792579</v>
      </c>
      <c r="E103" s="601">
        <f t="shared" si="11"/>
        <v>-5.2183011804786683E-3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0.24506904179503819</v>
      </c>
      <c r="D109" s="599">
        <f t="shared" si="12"/>
        <v>0.22801878522778107</v>
      </c>
      <c r="E109" s="599">
        <f t="shared" ref="E109:E117" si="13">D109-C109</f>
        <v>-1.7050256567257116E-2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0.30936169774989075</v>
      </c>
      <c r="D110" s="599">
        <f t="shared" si="12"/>
        <v>0.31803763212096609</v>
      </c>
      <c r="E110" s="599">
        <f t="shared" si="13"/>
        <v>8.6759343710753334E-3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8.0440980507666779E-2</v>
      </c>
      <c r="D111" s="599">
        <f t="shared" si="12"/>
        <v>9.7401156586451945E-2</v>
      </c>
      <c r="E111" s="599">
        <f t="shared" si="13"/>
        <v>1.6960176078785166E-2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8.0440980507666779E-2</v>
      </c>
      <c r="D112" s="599">
        <f t="shared" si="12"/>
        <v>9.7401156586451945E-2</v>
      </c>
      <c r="E112" s="599">
        <f t="shared" si="13"/>
        <v>1.6960176078785166E-2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1.1491444054371179E-3</v>
      </c>
      <c r="D114" s="599">
        <f t="shared" si="12"/>
        <v>1.7220451240239609E-4</v>
      </c>
      <c r="E114" s="599">
        <f t="shared" si="13"/>
        <v>-9.7693989303472171E-4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4.134885098998418E-4</v>
      </c>
      <c r="D115" s="599">
        <f t="shared" si="12"/>
        <v>3.0456484355178019E-4</v>
      </c>
      <c r="E115" s="599">
        <f t="shared" si="13"/>
        <v>-1.0892366634806161E-4</v>
      </c>
    </row>
    <row r="116" spans="1:5" s="421" customFormat="1" x14ac:dyDescent="0.2">
      <c r="A116" s="588"/>
      <c r="B116" s="592" t="s">
        <v>797</v>
      </c>
      <c r="C116" s="600">
        <f>SUM(C110+C111+C114)</f>
        <v>0.39095182266299466</v>
      </c>
      <c r="D116" s="600">
        <f>SUM(D110+D111+D114)</f>
        <v>0.41561099321982042</v>
      </c>
      <c r="E116" s="601">
        <f t="shared" si="13"/>
        <v>2.465917055682576E-2</v>
      </c>
    </row>
    <row r="117" spans="1:5" s="421" customFormat="1" x14ac:dyDescent="0.2">
      <c r="A117" s="588"/>
      <c r="B117" s="592" t="s">
        <v>798</v>
      </c>
      <c r="C117" s="600">
        <f>SUM(C109+C116)</f>
        <v>0.63602086445803285</v>
      </c>
      <c r="D117" s="600">
        <f>SUM(D109+D116)</f>
        <v>0.6436297784476015</v>
      </c>
      <c r="E117" s="601">
        <f t="shared" si="13"/>
        <v>7.6089139895686442E-3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0.21512367461508539</v>
      </c>
      <c r="D121" s="599">
        <f t="shared" si="14"/>
        <v>0.20459663484176971</v>
      </c>
      <c r="E121" s="599">
        <f t="shared" ref="E121:E129" si="15">D121-C121</f>
        <v>-1.0527039773315677E-2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8.6096210994874647E-2</v>
      </c>
      <c r="D122" s="599">
        <f t="shared" si="14"/>
        <v>9.6246618129633268E-2</v>
      </c>
      <c r="E122" s="599">
        <f t="shared" si="15"/>
        <v>1.0150407134758621E-2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6.2245039862003484E-2</v>
      </c>
      <c r="D123" s="599">
        <f t="shared" si="14"/>
        <v>5.5203937196951325E-2</v>
      </c>
      <c r="E123" s="599">
        <f t="shared" si="15"/>
        <v>-7.0411026650521596E-3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6.2245039862003484E-2</v>
      </c>
      <c r="D124" s="599">
        <f t="shared" si="14"/>
        <v>5.5203937196951325E-2</v>
      </c>
      <c r="E124" s="599">
        <f t="shared" si="15"/>
        <v>-7.0411026650521596E-3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5.1421007000364944E-4</v>
      </c>
      <c r="D126" s="599">
        <f t="shared" si="14"/>
        <v>3.2303138404420382E-4</v>
      </c>
      <c r="E126" s="599">
        <f t="shared" si="15"/>
        <v>-1.9117868595944562E-4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1.0183207870029692E-3</v>
      </c>
      <c r="D127" s="599">
        <f t="shared" si="14"/>
        <v>8.0202015321935698E-4</v>
      </c>
      <c r="E127" s="599">
        <f t="shared" si="15"/>
        <v>-2.1630063378361218E-4</v>
      </c>
    </row>
    <row r="128" spans="1:5" s="421" customFormat="1" x14ac:dyDescent="0.2">
      <c r="A128" s="588"/>
      <c r="B128" s="592" t="s">
        <v>800</v>
      </c>
      <c r="C128" s="600">
        <f>SUM(C122+C123+C126)</f>
        <v>0.14885546092688179</v>
      </c>
      <c r="D128" s="600">
        <f>SUM(D122+D123+D126)</f>
        <v>0.15177358671062879</v>
      </c>
      <c r="E128" s="601">
        <f t="shared" si="15"/>
        <v>2.9181257837470054E-3</v>
      </c>
    </row>
    <row r="129" spans="1:5" s="421" customFormat="1" x14ac:dyDescent="0.2">
      <c r="A129" s="588"/>
      <c r="B129" s="592" t="s">
        <v>801</v>
      </c>
      <c r="C129" s="600">
        <f>SUM(C121+C128)</f>
        <v>0.36397913554196715</v>
      </c>
      <c r="D129" s="600">
        <f>SUM(D121+D128)</f>
        <v>0.3563702215523985</v>
      </c>
      <c r="E129" s="601">
        <f t="shared" si="15"/>
        <v>-7.6089139895686442E-3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10159</v>
      </c>
      <c r="D137" s="606">
        <v>9526</v>
      </c>
      <c r="E137" s="607">
        <f t="shared" ref="E137:E145" si="16">D137-C137</f>
        <v>-633</v>
      </c>
    </row>
    <row r="138" spans="1:5" s="421" customFormat="1" x14ac:dyDescent="0.2">
      <c r="A138" s="588">
        <v>2</v>
      </c>
      <c r="B138" s="587" t="s">
        <v>636</v>
      </c>
      <c r="C138" s="606">
        <v>14271</v>
      </c>
      <c r="D138" s="606">
        <v>13744</v>
      </c>
      <c r="E138" s="607">
        <f t="shared" si="16"/>
        <v>-527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7857</v>
      </c>
      <c r="D139" s="606">
        <f>D140+D141</f>
        <v>7876</v>
      </c>
      <c r="E139" s="607">
        <f t="shared" si="16"/>
        <v>19</v>
      </c>
    </row>
    <row r="140" spans="1:5" s="421" customFormat="1" x14ac:dyDescent="0.2">
      <c r="A140" s="588">
        <v>4</v>
      </c>
      <c r="B140" s="587" t="s">
        <v>115</v>
      </c>
      <c r="C140" s="606">
        <v>7857</v>
      </c>
      <c r="D140" s="606">
        <v>7876</v>
      </c>
      <c r="E140" s="607">
        <f t="shared" si="16"/>
        <v>19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79</v>
      </c>
      <c r="D142" s="606">
        <v>88</v>
      </c>
      <c r="E142" s="607">
        <f t="shared" si="16"/>
        <v>9</v>
      </c>
    </row>
    <row r="143" spans="1:5" s="421" customFormat="1" x14ac:dyDescent="0.2">
      <c r="A143" s="588">
        <v>7</v>
      </c>
      <c r="B143" s="587" t="s">
        <v>759</v>
      </c>
      <c r="C143" s="606">
        <v>281</v>
      </c>
      <c r="D143" s="606">
        <v>319</v>
      </c>
      <c r="E143" s="607">
        <f t="shared" si="16"/>
        <v>38</v>
      </c>
    </row>
    <row r="144" spans="1:5" s="421" customFormat="1" x14ac:dyDescent="0.2">
      <c r="A144" s="588"/>
      <c r="B144" s="592" t="s">
        <v>808</v>
      </c>
      <c r="C144" s="608">
        <f>SUM(C138+C139+C142)</f>
        <v>22207</v>
      </c>
      <c r="D144" s="608">
        <f>SUM(D138+D139+D142)</f>
        <v>21708</v>
      </c>
      <c r="E144" s="609">
        <f t="shared" si="16"/>
        <v>-499</v>
      </c>
    </row>
    <row r="145" spans="1:5" s="421" customFormat="1" x14ac:dyDescent="0.2">
      <c r="A145" s="588"/>
      <c r="B145" s="592" t="s">
        <v>138</v>
      </c>
      <c r="C145" s="608">
        <f>SUM(C137+C144)</f>
        <v>32366</v>
      </c>
      <c r="D145" s="608">
        <f>SUM(D137+D144)</f>
        <v>31234</v>
      </c>
      <c r="E145" s="609">
        <f t="shared" si="16"/>
        <v>-1132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40742</v>
      </c>
      <c r="D149" s="610">
        <v>36979</v>
      </c>
      <c r="E149" s="607">
        <f t="shared" ref="E149:E157" si="17">D149-C149</f>
        <v>-3763</v>
      </c>
    </row>
    <row r="150" spans="1:5" s="421" customFormat="1" x14ac:dyDescent="0.2">
      <c r="A150" s="588">
        <v>2</v>
      </c>
      <c r="B150" s="587" t="s">
        <v>636</v>
      </c>
      <c r="C150" s="610">
        <v>78202</v>
      </c>
      <c r="D150" s="610">
        <v>75996</v>
      </c>
      <c r="E150" s="607">
        <f t="shared" si="17"/>
        <v>-2206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40108</v>
      </c>
      <c r="D151" s="610">
        <f>D152+D153</f>
        <v>38518</v>
      </c>
      <c r="E151" s="607">
        <f t="shared" si="17"/>
        <v>-1590</v>
      </c>
    </row>
    <row r="152" spans="1:5" s="421" customFormat="1" x14ac:dyDescent="0.2">
      <c r="A152" s="588">
        <v>4</v>
      </c>
      <c r="B152" s="587" t="s">
        <v>115</v>
      </c>
      <c r="C152" s="610">
        <v>40108</v>
      </c>
      <c r="D152" s="610">
        <v>38518</v>
      </c>
      <c r="E152" s="607">
        <f t="shared" si="17"/>
        <v>-1590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323</v>
      </c>
      <c r="D154" s="610">
        <v>374</v>
      </c>
      <c r="E154" s="607">
        <f t="shared" si="17"/>
        <v>51</v>
      </c>
    </row>
    <row r="155" spans="1:5" s="421" customFormat="1" x14ac:dyDescent="0.2">
      <c r="A155" s="588">
        <v>7</v>
      </c>
      <c r="B155" s="587" t="s">
        <v>759</v>
      </c>
      <c r="C155" s="610">
        <v>931</v>
      </c>
      <c r="D155" s="610">
        <v>1069</v>
      </c>
      <c r="E155" s="607">
        <f t="shared" si="17"/>
        <v>138</v>
      </c>
    </row>
    <row r="156" spans="1:5" s="421" customFormat="1" x14ac:dyDescent="0.2">
      <c r="A156" s="588"/>
      <c r="B156" s="592" t="s">
        <v>809</v>
      </c>
      <c r="C156" s="608">
        <f>SUM(C150+C151+C154)</f>
        <v>118633</v>
      </c>
      <c r="D156" s="608">
        <f>SUM(D150+D151+D154)</f>
        <v>114888</v>
      </c>
      <c r="E156" s="609">
        <f t="shared" si="17"/>
        <v>-3745</v>
      </c>
    </row>
    <row r="157" spans="1:5" s="421" customFormat="1" x14ac:dyDescent="0.2">
      <c r="A157" s="588"/>
      <c r="B157" s="592" t="s">
        <v>140</v>
      </c>
      <c r="C157" s="608">
        <f>SUM(C149+C156)</f>
        <v>159375</v>
      </c>
      <c r="D157" s="608">
        <f>SUM(D149+D156)</f>
        <v>151867</v>
      </c>
      <c r="E157" s="609">
        <f t="shared" si="17"/>
        <v>-7508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4.0104340978442758</v>
      </c>
      <c r="D161" s="612">
        <f t="shared" si="18"/>
        <v>3.8819021625026244</v>
      </c>
      <c r="E161" s="613">
        <f t="shared" ref="E161:E169" si="19">D161-C161</f>
        <v>-0.12853193534165142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5.4797841777030341</v>
      </c>
      <c r="D162" s="612">
        <f t="shared" si="18"/>
        <v>5.5293946449359721</v>
      </c>
      <c r="E162" s="613">
        <f t="shared" si="19"/>
        <v>4.9610467232938049E-2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5.104747359042892</v>
      </c>
      <c r="D163" s="612">
        <f t="shared" si="18"/>
        <v>4.8905535804977145</v>
      </c>
      <c r="E163" s="613">
        <f t="shared" si="19"/>
        <v>-0.21419377854517752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5.104747359042892</v>
      </c>
      <c r="D164" s="612">
        <f t="shared" si="18"/>
        <v>4.8905535804977145</v>
      </c>
      <c r="E164" s="613">
        <f t="shared" si="19"/>
        <v>-0.21419377854517752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4.0886075949367084</v>
      </c>
      <c r="D166" s="612">
        <f t="shared" si="18"/>
        <v>4.25</v>
      </c>
      <c r="E166" s="613">
        <f t="shared" si="19"/>
        <v>0.16139240506329156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3.3131672597864767</v>
      </c>
      <c r="D167" s="612">
        <f t="shared" si="18"/>
        <v>3.3510971786833856</v>
      </c>
      <c r="E167" s="613">
        <f t="shared" si="19"/>
        <v>3.7929918896908887E-2</v>
      </c>
    </row>
    <row r="168" spans="1:5" s="421" customFormat="1" x14ac:dyDescent="0.2">
      <c r="A168" s="588"/>
      <c r="B168" s="592" t="s">
        <v>811</v>
      </c>
      <c r="C168" s="614">
        <f t="shared" si="18"/>
        <v>5.3421443688926917</v>
      </c>
      <c r="D168" s="614">
        <f t="shared" si="18"/>
        <v>5.2924267551133219</v>
      </c>
      <c r="E168" s="615">
        <f t="shared" si="19"/>
        <v>-4.9717613779369785E-2</v>
      </c>
    </row>
    <row r="169" spans="1:5" s="421" customFormat="1" x14ac:dyDescent="0.2">
      <c r="A169" s="588"/>
      <c r="B169" s="592" t="s">
        <v>745</v>
      </c>
      <c r="C169" s="614">
        <f t="shared" si="18"/>
        <v>4.9241487981214851</v>
      </c>
      <c r="D169" s="614">
        <f t="shared" si="18"/>
        <v>4.8622334635333289</v>
      </c>
      <c r="E169" s="615">
        <f t="shared" si="19"/>
        <v>-6.1915334588156234E-2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1.4196</v>
      </c>
      <c r="D173" s="617">
        <f t="shared" si="20"/>
        <v>1.4157</v>
      </c>
      <c r="E173" s="618">
        <f t="shared" ref="E173:E181" si="21">D173-C173</f>
        <v>-3.9000000000000146E-3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1.6898</v>
      </c>
      <c r="D174" s="617">
        <f t="shared" si="20"/>
        <v>1.696</v>
      </c>
      <c r="E174" s="618">
        <f t="shared" si="21"/>
        <v>6.1999999999999833E-3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1.1608000000000001</v>
      </c>
      <c r="D175" s="617">
        <f t="shared" si="20"/>
        <v>1.1567000000000001</v>
      </c>
      <c r="E175" s="618">
        <f t="shared" si="21"/>
        <v>-4.0999999999999925E-3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1.1608000000000001</v>
      </c>
      <c r="D176" s="617">
        <f t="shared" si="20"/>
        <v>1.1567000000000001</v>
      </c>
      <c r="E176" s="618">
        <f t="shared" si="21"/>
        <v>-4.0999999999999925E-3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1.0992</v>
      </c>
      <c r="D178" s="617">
        <f t="shared" si="20"/>
        <v>1.07</v>
      </c>
      <c r="E178" s="618">
        <f t="shared" si="21"/>
        <v>-2.9199999999999893E-2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1.2102999999999999</v>
      </c>
      <c r="D179" s="617">
        <f t="shared" si="20"/>
        <v>1.2447999999999999</v>
      </c>
      <c r="E179" s="618">
        <f t="shared" si="21"/>
        <v>3.4499999999999975E-2</v>
      </c>
    </row>
    <row r="180" spans="1:5" s="421" customFormat="1" x14ac:dyDescent="0.2">
      <c r="A180" s="588"/>
      <c r="B180" s="592" t="s">
        <v>813</v>
      </c>
      <c r="C180" s="619">
        <f t="shared" si="20"/>
        <v>1.5005348853964966</v>
      </c>
      <c r="D180" s="619">
        <f t="shared" si="20"/>
        <v>1.4977958909157914</v>
      </c>
      <c r="E180" s="620">
        <f t="shared" si="21"/>
        <v>-2.738994480705248E-3</v>
      </c>
    </row>
    <row r="181" spans="1:5" s="421" customFormat="1" x14ac:dyDescent="0.2">
      <c r="A181" s="588"/>
      <c r="B181" s="592" t="s">
        <v>724</v>
      </c>
      <c r="C181" s="619">
        <f t="shared" si="20"/>
        <v>1.4751311437928689</v>
      </c>
      <c r="D181" s="619">
        <f t="shared" si="20"/>
        <v>1.4727576166997502</v>
      </c>
      <c r="E181" s="620">
        <f t="shared" si="21"/>
        <v>-2.3735270931186658E-3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545975025</v>
      </c>
      <c r="D185" s="589">
        <v>558621454</v>
      </c>
      <c r="E185" s="590">
        <f>D185-C185</f>
        <v>12646429</v>
      </c>
    </row>
    <row r="186" spans="1:5" s="421" customFormat="1" ht="25.5" x14ac:dyDescent="0.2">
      <c r="A186" s="588">
        <v>2</v>
      </c>
      <c r="B186" s="587" t="s">
        <v>816</v>
      </c>
      <c r="C186" s="589">
        <v>258276116</v>
      </c>
      <c r="D186" s="589">
        <v>269000765</v>
      </c>
      <c r="E186" s="590">
        <f>D186-C186</f>
        <v>10724649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287698909</v>
      </c>
      <c r="D188" s="622">
        <f>+D185-D186</f>
        <v>289620689</v>
      </c>
      <c r="E188" s="590">
        <f t="shared" ref="E188:E197" si="22">D188-C188</f>
        <v>1921780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0.52694518215370745</v>
      </c>
      <c r="D189" s="623">
        <f>IF(D185=0,0,+D188/D185)</f>
        <v>0.51845607956188522</v>
      </c>
      <c r="E189" s="599">
        <f t="shared" si="22"/>
        <v>-8.4891025918222285E-3</v>
      </c>
    </row>
    <row r="190" spans="1:5" s="421" customFormat="1" x14ac:dyDescent="0.2">
      <c r="A190" s="588">
        <v>5</v>
      </c>
      <c r="B190" s="587" t="s">
        <v>763</v>
      </c>
      <c r="C190" s="589">
        <v>28070395</v>
      </c>
      <c r="D190" s="589">
        <v>24439253</v>
      </c>
      <c r="E190" s="622">
        <f t="shared" si="22"/>
        <v>-3631142</v>
      </c>
    </row>
    <row r="191" spans="1:5" s="421" customFormat="1" x14ac:dyDescent="0.2">
      <c r="A191" s="588">
        <v>6</v>
      </c>
      <c r="B191" s="587" t="s">
        <v>749</v>
      </c>
      <c r="C191" s="589">
        <v>15250142</v>
      </c>
      <c r="D191" s="589">
        <v>14698892</v>
      </c>
      <c r="E191" s="622">
        <f t="shared" si="22"/>
        <v>-551250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5761205</v>
      </c>
      <c r="D193" s="589">
        <v>4494629</v>
      </c>
      <c r="E193" s="622">
        <f t="shared" si="22"/>
        <v>-1266576</v>
      </c>
    </row>
    <row r="194" spans="1:5" s="421" customFormat="1" x14ac:dyDescent="0.2">
      <c r="A194" s="588">
        <v>9</v>
      </c>
      <c r="B194" s="587" t="s">
        <v>819</v>
      </c>
      <c r="C194" s="589">
        <v>20253386</v>
      </c>
      <c r="D194" s="589">
        <v>21847988</v>
      </c>
      <c r="E194" s="622">
        <f t="shared" si="22"/>
        <v>1594602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26014591</v>
      </c>
      <c r="D195" s="589">
        <f>+D193+D194</f>
        <v>26342617</v>
      </c>
      <c r="E195" s="625">
        <f t="shared" si="22"/>
        <v>328026</v>
      </c>
    </row>
    <row r="196" spans="1:5" s="421" customFormat="1" x14ac:dyDescent="0.2">
      <c r="A196" s="588">
        <v>11</v>
      </c>
      <c r="B196" s="587" t="s">
        <v>821</v>
      </c>
      <c r="C196" s="589">
        <v>30927888</v>
      </c>
      <c r="D196" s="589">
        <v>28501028</v>
      </c>
      <c r="E196" s="622">
        <f t="shared" si="22"/>
        <v>-2426860</v>
      </c>
    </row>
    <row r="197" spans="1:5" s="421" customFormat="1" x14ac:dyDescent="0.2">
      <c r="A197" s="588">
        <v>12</v>
      </c>
      <c r="B197" s="587" t="s">
        <v>711</v>
      </c>
      <c r="C197" s="589">
        <v>666258533</v>
      </c>
      <c r="D197" s="589">
        <v>666788583</v>
      </c>
      <c r="E197" s="622">
        <f t="shared" si="22"/>
        <v>530050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14421.716399999999</v>
      </c>
      <c r="D203" s="629">
        <v>13485.958199999999</v>
      </c>
      <c r="E203" s="630">
        <f t="shared" ref="E203:E211" si="23">D203-C203</f>
        <v>-935.75820000000022</v>
      </c>
    </row>
    <row r="204" spans="1:5" s="421" customFormat="1" x14ac:dyDescent="0.2">
      <c r="A204" s="588">
        <v>2</v>
      </c>
      <c r="B204" s="587" t="s">
        <v>636</v>
      </c>
      <c r="C204" s="629">
        <v>24115.1358</v>
      </c>
      <c r="D204" s="629">
        <v>23309.824000000001</v>
      </c>
      <c r="E204" s="630">
        <f t="shared" si="23"/>
        <v>-805.31179999999949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9120.4056</v>
      </c>
      <c r="D205" s="629">
        <f>D206+D207</f>
        <v>9110.1692000000003</v>
      </c>
      <c r="E205" s="630">
        <f t="shared" si="23"/>
        <v>-10.236399999999776</v>
      </c>
    </row>
    <row r="206" spans="1:5" s="421" customFormat="1" x14ac:dyDescent="0.2">
      <c r="A206" s="588">
        <v>4</v>
      </c>
      <c r="B206" s="587" t="s">
        <v>115</v>
      </c>
      <c r="C206" s="629">
        <v>9120.4056</v>
      </c>
      <c r="D206" s="629">
        <v>9110.1692000000003</v>
      </c>
      <c r="E206" s="630">
        <f t="shared" si="23"/>
        <v>-10.236399999999776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86.836799999999997</v>
      </c>
      <c r="D208" s="629">
        <v>94.160000000000011</v>
      </c>
      <c r="E208" s="630">
        <f t="shared" si="23"/>
        <v>7.3232000000000141</v>
      </c>
    </row>
    <row r="209" spans="1:5" s="421" customFormat="1" x14ac:dyDescent="0.2">
      <c r="A209" s="588">
        <v>7</v>
      </c>
      <c r="B209" s="587" t="s">
        <v>759</v>
      </c>
      <c r="C209" s="629">
        <v>340.09429999999998</v>
      </c>
      <c r="D209" s="629">
        <v>397.09119999999996</v>
      </c>
      <c r="E209" s="630">
        <f t="shared" si="23"/>
        <v>56.996899999999982</v>
      </c>
    </row>
    <row r="210" spans="1:5" s="421" customFormat="1" x14ac:dyDescent="0.2">
      <c r="A210" s="588"/>
      <c r="B210" s="592" t="s">
        <v>824</v>
      </c>
      <c r="C210" s="631">
        <f>C204+C205+C208</f>
        <v>33322.378199999999</v>
      </c>
      <c r="D210" s="631">
        <f>D204+D205+D208</f>
        <v>32514.153200000001</v>
      </c>
      <c r="E210" s="632">
        <f t="shared" si="23"/>
        <v>-808.22499999999854</v>
      </c>
    </row>
    <row r="211" spans="1:5" s="421" customFormat="1" x14ac:dyDescent="0.2">
      <c r="A211" s="588"/>
      <c r="B211" s="592" t="s">
        <v>725</v>
      </c>
      <c r="C211" s="631">
        <f>C210+C203</f>
        <v>47744.094599999997</v>
      </c>
      <c r="D211" s="631">
        <f>D210+D203</f>
        <v>46000.111400000002</v>
      </c>
      <c r="E211" s="632">
        <f t="shared" si="23"/>
        <v>-1743.9831999999951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12049.686385888181</v>
      </c>
      <c r="D215" s="633">
        <f>IF(D14*D137=0,0,D25/D14*D137)</f>
        <v>11139.682482312584</v>
      </c>
      <c r="E215" s="633">
        <f t="shared" ref="E215:E223" si="24">D215-C215</f>
        <v>-910.00390357559627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6663.077244193787</v>
      </c>
      <c r="D216" s="633">
        <f>IF(D15*D138=0,0,D26/D15*D138)</f>
        <v>6355.2769277244624</v>
      </c>
      <c r="E216" s="633">
        <f t="shared" si="24"/>
        <v>-307.80031646932457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7164.4089461541462</v>
      </c>
      <c r="D217" s="633">
        <f>D218+D219</f>
        <v>7101.8425334903341</v>
      </c>
      <c r="E217" s="633">
        <f t="shared" si="24"/>
        <v>-62.566412663812116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7164.4089461541462</v>
      </c>
      <c r="D218" s="633">
        <f t="shared" si="25"/>
        <v>7101.8425334903341</v>
      </c>
      <c r="E218" s="633">
        <f t="shared" si="24"/>
        <v>-62.566412663812116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101.09499688656129</v>
      </c>
      <c r="D220" s="633">
        <f t="shared" si="25"/>
        <v>102.85686927870627</v>
      </c>
      <c r="E220" s="633">
        <f t="shared" si="24"/>
        <v>1.7618723921449799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1205.7695934458875</v>
      </c>
      <c r="D221" s="633">
        <f t="shared" si="25"/>
        <v>873.0143680922522</v>
      </c>
      <c r="E221" s="633">
        <f t="shared" si="24"/>
        <v>-332.7552253536353</v>
      </c>
    </row>
    <row r="222" spans="1:5" s="421" customFormat="1" x14ac:dyDescent="0.2">
      <c r="A222" s="588"/>
      <c r="B222" s="592" t="s">
        <v>826</v>
      </c>
      <c r="C222" s="634">
        <f>C216+C218+C219+C220</f>
        <v>13928.581187234493</v>
      </c>
      <c r="D222" s="634">
        <f>D216+D218+D219+D220</f>
        <v>13559.976330493502</v>
      </c>
      <c r="E222" s="634">
        <f t="shared" si="24"/>
        <v>-368.60485674099073</v>
      </c>
    </row>
    <row r="223" spans="1:5" s="421" customFormat="1" x14ac:dyDescent="0.2">
      <c r="A223" s="588"/>
      <c r="B223" s="592" t="s">
        <v>827</v>
      </c>
      <c r="C223" s="634">
        <f>C215+C222</f>
        <v>25978.267573122674</v>
      </c>
      <c r="D223" s="634">
        <f>D215+D222</f>
        <v>24699.658812806087</v>
      </c>
      <c r="E223" s="634">
        <f t="shared" si="24"/>
        <v>-1278.608760316587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11184.166608629193</v>
      </c>
      <c r="D227" s="636">
        <f t="shared" si="26"/>
        <v>11244.418657622713</v>
      </c>
      <c r="E227" s="636">
        <f t="shared" ref="E227:E235" si="27">D227-C227</f>
        <v>60.252048993519566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8443.2365502167322</v>
      </c>
      <c r="D228" s="636">
        <f t="shared" si="26"/>
        <v>9073.7687251521074</v>
      </c>
      <c r="E228" s="636">
        <f t="shared" si="27"/>
        <v>630.53217493537522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5804.9078431336429</v>
      </c>
      <c r="D229" s="636">
        <f t="shared" si="26"/>
        <v>7110.2661847378204</v>
      </c>
      <c r="E229" s="636">
        <f t="shared" si="27"/>
        <v>1305.3583416041774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5804.9078431336429</v>
      </c>
      <c r="D230" s="636">
        <f t="shared" si="26"/>
        <v>7110.2661847378204</v>
      </c>
      <c r="E230" s="636">
        <f t="shared" si="27"/>
        <v>1305.3583416041774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8709.6945073977859</v>
      </c>
      <c r="D232" s="636">
        <f t="shared" si="26"/>
        <v>1216.2595581988103</v>
      </c>
      <c r="E232" s="636">
        <f t="shared" si="27"/>
        <v>-7493.434949198976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800.19571042502037</v>
      </c>
      <c r="D233" s="636">
        <f t="shared" si="26"/>
        <v>510.07929664520395</v>
      </c>
      <c r="E233" s="636">
        <f t="shared" si="27"/>
        <v>-290.11641377981641</v>
      </c>
    </row>
    <row r="234" spans="1:5" x14ac:dyDescent="0.2">
      <c r="A234" s="588"/>
      <c r="B234" s="592" t="s">
        <v>829</v>
      </c>
      <c r="C234" s="637">
        <f t="shared" si="26"/>
        <v>7721.8147653098786</v>
      </c>
      <c r="D234" s="637">
        <f t="shared" si="26"/>
        <v>8500.8581124603916</v>
      </c>
      <c r="E234" s="637">
        <f t="shared" si="27"/>
        <v>779.043347150513</v>
      </c>
    </row>
    <row r="235" spans="1:5" s="421" customFormat="1" x14ac:dyDescent="0.2">
      <c r="A235" s="588"/>
      <c r="B235" s="592" t="s">
        <v>830</v>
      </c>
      <c r="C235" s="637">
        <f t="shared" si="26"/>
        <v>8767.6625665868214</v>
      </c>
      <c r="D235" s="637">
        <f t="shared" si="26"/>
        <v>9305.1940522039695</v>
      </c>
      <c r="E235" s="637">
        <f t="shared" si="27"/>
        <v>537.53148561714806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11750.181910611089</v>
      </c>
      <c r="D239" s="636">
        <f t="shared" si="28"/>
        <v>12214.448501206567</v>
      </c>
      <c r="E239" s="638">
        <f t="shared" ref="E239:E247" si="29">D239-C239</f>
        <v>464.26659059547819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8504.3537577743209</v>
      </c>
      <c r="D240" s="636">
        <f t="shared" si="28"/>
        <v>10071.616662488748</v>
      </c>
      <c r="E240" s="638">
        <f t="shared" si="29"/>
        <v>1567.2629047144273</v>
      </c>
    </row>
    <row r="241" spans="1:5" x14ac:dyDescent="0.2">
      <c r="A241" s="588">
        <v>3</v>
      </c>
      <c r="B241" s="587" t="s">
        <v>778</v>
      </c>
      <c r="C241" s="636">
        <f t="shared" si="28"/>
        <v>5718.1626995191582</v>
      </c>
      <c r="D241" s="636">
        <f t="shared" si="28"/>
        <v>5169.4840918919635</v>
      </c>
      <c r="E241" s="638">
        <f t="shared" si="29"/>
        <v>-548.67860762719465</v>
      </c>
    </row>
    <row r="242" spans="1:5" x14ac:dyDescent="0.2">
      <c r="A242" s="588">
        <v>4</v>
      </c>
      <c r="B242" s="587" t="s">
        <v>115</v>
      </c>
      <c r="C242" s="636">
        <f t="shared" si="28"/>
        <v>5718.1626995191582</v>
      </c>
      <c r="D242" s="636">
        <f t="shared" si="28"/>
        <v>5169.4840918919635</v>
      </c>
      <c r="E242" s="638">
        <f t="shared" si="29"/>
        <v>-548.67860762719465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3347.6730839584052</v>
      </c>
      <c r="D244" s="636">
        <f t="shared" si="28"/>
        <v>2088.6208330713262</v>
      </c>
      <c r="E244" s="638">
        <f t="shared" si="29"/>
        <v>-1259.052250887079</v>
      </c>
    </row>
    <row r="245" spans="1:5" x14ac:dyDescent="0.2">
      <c r="A245" s="588">
        <v>7</v>
      </c>
      <c r="B245" s="587" t="s">
        <v>759</v>
      </c>
      <c r="C245" s="636">
        <f t="shared" si="28"/>
        <v>555.84334158288596</v>
      </c>
      <c r="D245" s="636">
        <f t="shared" si="28"/>
        <v>610.95901682071474</v>
      </c>
      <c r="E245" s="638">
        <f t="shared" si="29"/>
        <v>55.115675237828782</v>
      </c>
    </row>
    <row r="246" spans="1:5" ht="25.5" x14ac:dyDescent="0.2">
      <c r="A246" s="588"/>
      <c r="B246" s="592" t="s">
        <v>832</v>
      </c>
      <c r="C246" s="637">
        <f t="shared" si="28"/>
        <v>7033.8000463241742</v>
      </c>
      <c r="D246" s="637">
        <f t="shared" si="28"/>
        <v>7443.6416067347627</v>
      </c>
      <c r="E246" s="639">
        <f t="shared" si="29"/>
        <v>409.8415604105885</v>
      </c>
    </row>
    <row r="247" spans="1:5" x14ac:dyDescent="0.2">
      <c r="A247" s="588"/>
      <c r="B247" s="592" t="s">
        <v>833</v>
      </c>
      <c r="C247" s="637">
        <f t="shared" si="28"/>
        <v>9221.4333125064695</v>
      </c>
      <c r="D247" s="637">
        <f t="shared" si="28"/>
        <v>9595.301854012725</v>
      </c>
      <c r="E247" s="639">
        <f t="shared" si="29"/>
        <v>373.8685415062555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19961412.143457975</v>
      </c>
      <c r="D251" s="622">
        <f>((IF((IF(D15=0,0,D26/D15)*D138)=0,0,D59/(IF(D15=0,0,D26/D15)*D138)))-(IF((IF(D17=0,0,D28/D17)*D140)=0,0,D61/(IF(D17=0,0,D28/D17)*D140))))*(IF(D17=0,0,D28/D17)*D140)</f>
        <v>34814173.594672553</v>
      </c>
      <c r="E251" s="622">
        <f>D251-C251</f>
        <v>14852761.451214578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12183426.797311923</v>
      </c>
      <c r="D253" s="622">
        <f>IF(D233=0,0,(D228-D233)*D209+IF(D221=0,0,(D240-D245)*D221))</f>
        <v>11659855.767863134</v>
      </c>
      <c r="E253" s="622">
        <f>D253-C253</f>
        <v>-523571.02944878861</v>
      </c>
    </row>
    <row r="254" spans="1:5" ht="15" customHeight="1" x14ac:dyDescent="0.2">
      <c r="A254" s="588"/>
      <c r="B254" s="592" t="s">
        <v>760</v>
      </c>
      <c r="C254" s="640">
        <f>+C251+C252+C253</f>
        <v>32144838.940769896</v>
      </c>
      <c r="D254" s="640">
        <f>+D251+D252+D253</f>
        <v>46474029.362535685</v>
      </c>
      <c r="E254" s="640">
        <f>D254-C254</f>
        <v>14329190.421765789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1930957096</v>
      </c>
      <c r="D258" s="625">
        <f>+D44</f>
        <v>1988630574</v>
      </c>
      <c r="E258" s="622">
        <f t="shared" ref="E258:E271" si="30">D258-C258</f>
        <v>57673478</v>
      </c>
    </row>
    <row r="259" spans="1:5" x14ac:dyDescent="0.2">
      <c r="A259" s="588">
        <v>2</v>
      </c>
      <c r="B259" s="587" t="s">
        <v>743</v>
      </c>
      <c r="C259" s="622">
        <f>+(C43-C76)</f>
        <v>924769248</v>
      </c>
      <c r="D259" s="625">
        <f>+(D43-D76)</f>
        <v>959157049</v>
      </c>
      <c r="E259" s="622">
        <f t="shared" si="30"/>
        <v>34387801</v>
      </c>
    </row>
    <row r="260" spans="1:5" x14ac:dyDescent="0.2">
      <c r="A260" s="588">
        <v>3</v>
      </c>
      <c r="B260" s="587" t="s">
        <v>747</v>
      </c>
      <c r="C260" s="622">
        <f>C195</f>
        <v>26014591</v>
      </c>
      <c r="D260" s="622">
        <f>D195</f>
        <v>26342617</v>
      </c>
      <c r="E260" s="622">
        <f t="shared" si="30"/>
        <v>328026</v>
      </c>
    </row>
    <row r="261" spans="1:5" x14ac:dyDescent="0.2">
      <c r="A261" s="588">
        <v>4</v>
      </c>
      <c r="B261" s="587" t="s">
        <v>748</v>
      </c>
      <c r="C261" s="622">
        <f>C188</f>
        <v>287698909</v>
      </c>
      <c r="D261" s="622">
        <f>D188</f>
        <v>289620689</v>
      </c>
      <c r="E261" s="622">
        <f t="shared" si="30"/>
        <v>1921780</v>
      </c>
    </row>
    <row r="262" spans="1:5" x14ac:dyDescent="0.2">
      <c r="A262" s="588">
        <v>5</v>
      </c>
      <c r="B262" s="587" t="s">
        <v>749</v>
      </c>
      <c r="C262" s="622">
        <f>C191</f>
        <v>15250142</v>
      </c>
      <c r="D262" s="622">
        <f>D191</f>
        <v>14698892</v>
      </c>
      <c r="E262" s="622">
        <f t="shared" si="30"/>
        <v>-551250</v>
      </c>
    </row>
    <row r="263" spans="1:5" x14ac:dyDescent="0.2">
      <c r="A263" s="588">
        <v>6</v>
      </c>
      <c r="B263" s="587" t="s">
        <v>750</v>
      </c>
      <c r="C263" s="622">
        <f>+C259+C260+C261+C262</f>
        <v>1253732890</v>
      </c>
      <c r="D263" s="622">
        <f>+D259+D260+D261+D262</f>
        <v>1289819247</v>
      </c>
      <c r="E263" s="622">
        <f t="shared" si="30"/>
        <v>36086357</v>
      </c>
    </row>
    <row r="264" spans="1:5" x14ac:dyDescent="0.2">
      <c r="A264" s="588">
        <v>7</v>
      </c>
      <c r="B264" s="587" t="s">
        <v>655</v>
      </c>
      <c r="C264" s="622">
        <f>+C258-C263</f>
        <v>677224206</v>
      </c>
      <c r="D264" s="622">
        <f>+D258-D263</f>
        <v>698811327</v>
      </c>
      <c r="E264" s="622">
        <f t="shared" si="30"/>
        <v>21587121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677224206</v>
      </c>
      <c r="D266" s="622">
        <f>+D264+D265</f>
        <v>698811327</v>
      </c>
      <c r="E266" s="641">
        <f t="shared" si="30"/>
        <v>21587121</v>
      </c>
    </row>
    <row r="267" spans="1:5" x14ac:dyDescent="0.2">
      <c r="A267" s="588">
        <v>10</v>
      </c>
      <c r="B267" s="587" t="s">
        <v>838</v>
      </c>
      <c r="C267" s="642">
        <f>IF(C258=0,0,C266/C258)</f>
        <v>0.35071944757492424</v>
      </c>
      <c r="D267" s="642">
        <f>IF(D258=0,0,D266/D258)</f>
        <v>0.35140329035291196</v>
      </c>
      <c r="E267" s="643">
        <f t="shared" si="30"/>
        <v>6.8384277798771986E-4</v>
      </c>
    </row>
    <row r="268" spans="1:5" x14ac:dyDescent="0.2">
      <c r="A268" s="588">
        <v>11</v>
      </c>
      <c r="B268" s="587" t="s">
        <v>717</v>
      </c>
      <c r="C268" s="622">
        <f>+C260*C267</f>
        <v>9123822.9844075963</v>
      </c>
      <c r="D268" s="644">
        <f>+D260*D267</f>
        <v>9256882.2903065551</v>
      </c>
      <c r="E268" s="622">
        <f t="shared" si="30"/>
        <v>133059.30589895882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54785293.675825804</v>
      </c>
      <c r="D269" s="644">
        <f>((D17+D18+D28+D29)*D267)-(D50+D51+D61+D62)</f>
        <v>50630553.602694213</v>
      </c>
      <c r="E269" s="622">
        <f t="shared" si="30"/>
        <v>-4154740.0731315911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63909116.660233401</v>
      </c>
      <c r="D271" s="622">
        <f>+D268+D269+D270</f>
        <v>59887435.893000767</v>
      </c>
      <c r="E271" s="625">
        <f t="shared" si="30"/>
        <v>-4021680.7672326341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0.5417177179617122</v>
      </c>
      <c r="D276" s="623">
        <f t="shared" si="31"/>
        <v>0.50444908684797274</v>
      </c>
      <c r="E276" s="650">
        <f t="shared" ref="E276:E284" si="32">D276-C276</f>
        <v>-3.7268631113739459E-2</v>
      </c>
    </row>
    <row r="277" spans="1:5" x14ac:dyDescent="0.2">
      <c r="A277" s="588">
        <v>2</v>
      </c>
      <c r="B277" s="587" t="s">
        <v>636</v>
      </c>
      <c r="C277" s="623">
        <f t="shared" si="31"/>
        <v>0.35078090823764851</v>
      </c>
      <c r="D277" s="623">
        <f t="shared" si="31"/>
        <v>0.34376990580467098</v>
      </c>
      <c r="E277" s="650">
        <f t="shared" si="32"/>
        <v>-7.0110024329775311E-3</v>
      </c>
    </row>
    <row r="278" spans="1:5" x14ac:dyDescent="0.2">
      <c r="A278" s="588">
        <v>3</v>
      </c>
      <c r="B278" s="587" t="s">
        <v>778</v>
      </c>
      <c r="C278" s="623">
        <f t="shared" si="31"/>
        <v>0.23873986459736501</v>
      </c>
      <c r="D278" s="623">
        <f t="shared" si="31"/>
        <v>0.2845625916204918</v>
      </c>
      <c r="E278" s="650">
        <f t="shared" si="32"/>
        <v>4.5822727023126786E-2</v>
      </c>
    </row>
    <row r="279" spans="1:5" x14ac:dyDescent="0.2">
      <c r="A279" s="588">
        <v>4</v>
      </c>
      <c r="B279" s="587" t="s">
        <v>115</v>
      </c>
      <c r="C279" s="623">
        <f t="shared" si="31"/>
        <v>0.23873986459736501</v>
      </c>
      <c r="D279" s="623">
        <f t="shared" si="31"/>
        <v>0.2845625916204918</v>
      </c>
      <c r="E279" s="650">
        <f t="shared" si="32"/>
        <v>4.5822727023126786E-2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0.37317942781805674</v>
      </c>
      <c r="D281" s="623">
        <f t="shared" si="31"/>
        <v>6.4657182506659194E-2</v>
      </c>
      <c r="E281" s="650">
        <f t="shared" si="32"/>
        <v>-0.30852224531139755</v>
      </c>
    </row>
    <row r="282" spans="1:5" x14ac:dyDescent="0.2">
      <c r="A282" s="588">
        <v>7</v>
      </c>
      <c r="B282" s="587" t="s">
        <v>759</v>
      </c>
      <c r="C282" s="623">
        <f t="shared" si="31"/>
        <v>4.1446287215755627E-2</v>
      </c>
      <c r="D282" s="623">
        <f t="shared" si="31"/>
        <v>2.328424835795859E-2</v>
      </c>
      <c r="E282" s="650">
        <f t="shared" si="32"/>
        <v>-1.8162038857797037E-2</v>
      </c>
    </row>
    <row r="283" spans="1:5" ht="29.25" customHeight="1" x14ac:dyDescent="0.2">
      <c r="A283" s="588"/>
      <c r="B283" s="592" t="s">
        <v>845</v>
      </c>
      <c r="C283" s="651">
        <f t="shared" si="31"/>
        <v>0.31994301165179329</v>
      </c>
      <c r="D283" s="651">
        <f t="shared" si="31"/>
        <v>0.32722854908646909</v>
      </c>
      <c r="E283" s="652">
        <f t="shared" si="32"/>
        <v>7.2855374346758039E-3</v>
      </c>
    </row>
    <row r="284" spans="1:5" x14ac:dyDescent="0.2">
      <c r="A284" s="588"/>
      <c r="B284" s="592" t="s">
        <v>846</v>
      </c>
      <c r="C284" s="651">
        <f t="shared" si="31"/>
        <v>0.37986485699035316</v>
      </c>
      <c r="D284" s="651">
        <f t="shared" si="31"/>
        <v>0.37374500341397721</v>
      </c>
      <c r="E284" s="652">
        <f t="shared" si="32"/>
        <v>-6.1198535763759554E-3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0.40091103634866332</v>
      </c>
      <c r="D287" s="623">
        <f t="shared" si="33"/>
        <v>0.38706416348420258</v>
      </c>
      <c r="E287" s="650">
        <f t="shared" ref="E287:E295" si="34">D287-C287</f>
        <v>-1.3846872864460735E-2</v>
      </c>
    </row>
    <row r="288" spans="1:5" x14ac:dyDescent="0.2">
      <c r="A288" s="588">
        <v>2</v>
      </c>
      <c r="B288" s="587" t="s">
        <v>636</v>
      </c>
      <c r="C288" s="623">
        <f t="shared" si="33"/>
        <v>0.20908987497432555</v>
      </c>
      <c r="D288" s="623">
        <f t="shared" si="33"/>
        <v>0.22498496117533137</v>
      </c>
      <c r="E288" s="650">
        <f t="shared" si="34"/>
        <v>1.5895086201005826E-2</v>
      </c>
    </row>
    <row r="289" spans="1:5" x14ac:dyDescent="0.2">
      <c r="A289" s="588">
        <v>3</v>
      </c>
      <c r="B289" s="587" t="s">
        <v>778</v>
      </c>
      <c r="C289" s="623">
        <f t="shared" si="33"/>
        <v>0.20259499987963162</v>
      </c>
      <c r="D289" s="623">
        <f t="shared" si="33"/>
        <v>0.17886213709881843</v>
      </c>
      <c r="E289" s="650">
        <f t="shared" si="34"/>
        <v>-2.3732862780813185E-2</v>
      </c>
    </row>
    <row r="290" spans="1:5" x14ac:dyDescent="0.2">
      <c r="A290" s="588">
        <v>4</v>
      </c>
      <c r="B290" s="587" t="s">
        <v>115</v>
      </c>
      <c r="C290" s="623">
        <f t="shared" si="33"/>
        <v>0.20259499987963162</v>
      </c>
      <c r="D290" s="623">
        <f t="shared" si="33"/>
        <v>0.17886213709881843</v>
      </c>
      <c r="E290" s="650">
        <f t="shared" si="34"/>
        <v>-2.3732862780813185E-2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0.13049116031728161</v>
      </c>
      <c r="D292" s="623">
        <f t="shared" si="33"/>
        <v>0.10376869081684111</v>
      </c>
      <c r="E292" s="650">
        <f t="shared" si="34"/>
        <v>-2.6722469500440507E-2</v>
      </c>
    </row>
    <row r="293" spans="1:5" x14ac:dyDescent="0.2">
      <c r="A293" s="588">
        <v>7</v>
      </c>
      <c r="B293" s="587" t="s">
        <v>759</v>
      </c>
      <c r="C293" s="623">
        <f t="shared" si="33"/>
        <v>2.3787499253334336E-2</v>
      </c>
      <c r="D293" s="623">
        <f t="shared" si="33"/>
        <v>2.2404591274443011E-2</v>
      </c>
      <c r="E293" s="650">
        <f t="shared" si="34"/>
        <v>-1.3829079788913248E-3</v>
      </c>
    </row>
    <row r="294" spans="1:5" ht="29.25" customHeight="1" x14ac:dyDescent="0.2">
      <c r="A294" s="588"/>
      <c r="B294" s="592" t="s">
        <v>848</v>
      </c>
      <c r="C294" s="651">
        <f t="shared" si="33"/>
        <v>0.20590125241175788</v>
      </c>
      <c r="D294" s="651">
        <f t="shared" si="33"/>
        <v>0.20522592496291747</v>
      </c>
      <c r="E294" s="652">
        <f t="shared" si="34"/>
        <v>-6.7532744884041263E-4</v>
      </c>
    </row>
    <row r="295" spans="1:5" x14ac:dyDescent="0.2">
      <c r="A295" s="588"/>
      <c r="B295" s="592" t="s">
        <v>849</v>
      </c>
      <c r="C295" s="651">
        <f t="shared" si="33"/>
        <v>0.28897945058737823</v>
      </c>
      <c r="D295" s="651">
        <f t="shared" si="33"/>
        <v>0.28102031142920414</v>
      </c>
      <c r="E295" s="652">
        <f t="shared" si="34"/>
        <v>-7.9591391581740889E-3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658160973</v>
      </c>
      <c r="D301" s="590">
        <f>+D48+D47+D50+D51+D52+D59+D58+D61+D62+D63</f>
        <v>665040645</v>
      </c>
      <c r="E301" s="590">
        <f>D301-C301</f>
        <v>6879672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658160973</v>
      </c>
      <c r="D303" s="593">
        <f>+D301+D302</f>
        <v>665040645</v>
      </c>
      <c r="E303" s="593">
        <f>D303-C303</f>
        <v>6879672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-23042415</v>
      </c>
      <c r="D305" s="654">
        <v>-16258906</v>
      </c>
      <c r="E305" s="655">
        <f>D305-C305</f>
        <v>6783509</v>
      </c>
    </row>
    <row r="306" spans="1:5" x14ac:dyDescent="0.2">
      <c r="A306" s="588">
        <v>4</v>
      </c>
      <c r="B306" s="592" t="s">
        <v>856</v>
      </c>
      <c r="C306" s="593">
        <f>+C303+C305+C194+C190-C191</f>
        <v>668192197</v>
      </c>
      <c r="D306" s="593">
        <f>+D303+D305</f>
        <v>648781739</v>
      </c>
      <c r="E306" s="656">
        <f>D306-C306</f>
        <v>-19410458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635118552</v>
      </c>
      <c r="D308" s="589">
        <v>648781738</v>
      </c>
      <c r="E308" s="590">
        <f>D308-C308</f>
        <v>13663186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33073645</v>
      </c>
      <c r="D310" s="658">
        <f>D306-D308</f>
        <v>1</v>
      </c>
      <c r="E310" s="656">
        <f>D310-C310</f>
        <v>-33073644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1930957096</v>
      </c>
      <c r="D314" s="590">
        <f>+D14+D15+D16+D19+D25+D26+D27+D30</f>
        <v>1988630574</v>
      </c>
      <c r="E314" s="590">
        <f>D314-C314</f>
        <v>57673478</v>
      </c>
    </row>
    <row r="315" spans="1:5" x14ac:dyDescent="0.2">
      <c r="A315" s="588">
        <v>2</v>
      </c>
      <c r="B315" s="659" t="s">
        <v>861</v>
      </c>
      <c r="C315" s="589">
        <v>59718025</v>
      </c>
      <c r="D315" s="589">
        <v>60226057</v>
      </c>
      <c r="E315" s="590">
        <f>D315-C315</f>
        <v>508032</v>
      </c>
    </row>
    <row r="316" spans="1:5" x14ac:dyDescent="0.2">
      <c r="A316" s="588"/>
      <c r="B316" s="592" t="s">
        <v>862</v>
      </c>
      <c r="C316" s="657">
        <f>C314+C315</f>
        <v>1990675121</v>
      </c>
      <c r="D316" s="657">
        <f>D314+D315</f>
        <v>2048856631</v>
      </c>
      <c r="E316" s="593">
        <f>D316-C316</f>
        <v>58181510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1990675124</v>
      </c>
      <c r="D318" s="589">
        <v>2048856630</v>
      </c>
      <c r="E318" s="590">
        <f>D318-C318</f>
        <v>58181506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-3</v>
      </c>
      <c r="D320" s="657">
        <f>D316-D318</f>
        <v>1</v>
      </c>
      <c r="E320" s="593">
        <f>D320-C320</f>
        <v>4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26014591</v>
      </c>
      <c r="D324" s="589">
        <f>+D193+D194</f>
        <v>26342617</v>
      </c>
      <c r="E324" s="590">
        <f>D324-C324</f>
        <v>328026</v>
      </c>
    </row>
    <row r="325" spans="1:5" x14ac:dyDescent="0.2">
      <c r="A325" s="588">
        <v>2</v>
      </c>
      <c r="B325" s="587" t="s">
        <v>866</v>
      </c>
      <c r="C325" s="589">
        <v>13601304</v>
      </c>
      <c r="D325" s="589">
        <v>14423163</v>
      </c>
      <c r="E325" s="590">
        <f>D325-C325</f>
        <v>821859</v>
      </c>
    </row>
    <row r="326" spans="1:5" x14ac:dyDescent="0.2">
      <c r="A326" s="588"/>
      <c r="B326" s="592" t="s">
        <v>867</v>
      </c>
      <c r="C326" s="657">
        <f>C324+C325</f>
        <v>39615895</v>
      </c>
      <c r="D326" s="657">
        <f>D324+D325</f>
        <v>40765780</v>
      </c>
      <c r="E326" s="593">
        <f>D326-C326</f>
        <v>1149885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39615895</v>
      </c>
      <c r="D328" s="589">
        <v>40765779</v>
      </c>
      <c r="E328" s="590">
        <f>D328-C328</f>
        <v>1149884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1</v>
      </c>
      <c r="E330" s="593">
        <f>D330-C330</f>
        <v>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FILING&amp;RSAINT FRANCIS HOSPITAL AND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300608652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615260232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227632619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227632619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1771234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8698928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844664085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1145272737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351531066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284498629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205257874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205257874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2070268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23806549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491826771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843357837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652139718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1336490856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1988630574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151641760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211507952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64775728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64775728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114523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202548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276398203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428039963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136065078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64007913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36712862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36712862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214829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533376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100935604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237000682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287706838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377333807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665040645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9526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13744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7876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7876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88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319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21708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31234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1.4157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1.696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1.1567000000000001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1.1567000000000001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1.2447999999999999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1.4977958909157914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1.4727576166997505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558621454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269000765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289620689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0.51845607956188522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24439253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14698892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4494629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21847988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26342617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28501028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666788583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665040645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665040645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-16258906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648781739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648781738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1988630574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60226057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2048856631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2048856630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26342617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14423163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40765780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40765779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1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FILING&amp;RSAINT FRANCIS HOSPITAL AND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11769</v>
      </c>
      <c r="D12" s="185">
        <v>6687</v>
      </c>
      <c r="E12" s="185">
        <f>+D12-C12</f>
        <v>-5082</v>
      </c>
      <c r="F12" s="77">
        <f>IF(C12=0,0,+E12/C12)</f>
        <v>-0.43181238847820547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11093</v>
      </c>
      <c r="D13" s="185">
        <v>6226</v>
      </c>
      <c r="E13" s="185">
        <f>+D13-C13</f>
        <v>-4867</v>
      </c>
      <c r="F13" s="77">
        <f>IF(C13=0,0,+E13/C13)</f>
        <v>-0.43874515460200125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5761205</v>
      </c>
      <c r="D15" s="76">
        <v>4494629</v>
      </c>
      <c r="E15" s="76">
        <f>+D15-C15</f>
        <v>-1266576</v>
      </c>
      <c r="F15" s="77">
        <f>IF(C15=0,0,+E15/C15)</f>
        <v>-0.21984567464618948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519.35499864779592</v>
      </c>
      <c r="D16" s="79">
        <f>IF(D13=0,0,+D15/+D13)</f>
        <v>721.91278509476388</v>
      </c>
      <c r="E16" s="79">
        <f>+D16-C16</f>
        <v>202.55778644696795</v>
      </c>
      <c r="F16" s="80">
        <f>IF(C16=0,0,+E16/C16)</f>
        <v>0.39001797801956628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0.37726500000000002</v>
      </c>
      <c r="D18" s="704">
        <v>0.33960099999999999</v>
      </c>
      <c r="E18" s="704">
        <f>+D18-C18</f>
        <v>-3.7664000000000031E-2</v>
      </c>
      <c r="F18" s="77">
        <f>IF(C18=0,0,+E18/C18)</f>
        <v>-9.9834333956237739E-2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2173501.0043250001</v>
      </c>
      <c r="D19" s="79">
        <f>+D15*D18</f>
        <v>1526380.503029</v>
      </c>
      <c r="E19" s="79">
        <f>+D19-C19</f>
        <v>-647120.50129600009</v>
      </c>
      <c r="F19" s="80">
        <f>IF(C19=0,0,+E19/C19)</f>
        <v>-0.29773186210096508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195.93446356486072</v>
      </c>
      <c r="D20" s="79">
        <f>IF(D13=0,0,+D19/D13)</f>
        <v>245.16230373096693</v>
      </c>
      <c r="E20" s="79">
        <f>+D20-C20</f>
        <v>49.227840166106205</v>
      </c>
      <c r="F20" s="80">
        <f>IF(C20=0,0,+E20/C20)</f>
        <v>0.25124645899678683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1497913</v>
      </c>
      <c r="D22" s="76">
        <v>1258496</v>
      </c>
      <c r="E22" s="76">
        <f>+D22-C22</f>
        <v>-239417</v>
      </c>
      <c r="F22" s="77">
        <f>IF(C22=0,0,+E22/C22)</f>
        <v>-0.15983371530923357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1325077</v>
      </c>
      <c r="D23" s="185">
        <v>1168604</v>
      </c>
      <c r="E23" s="185">
        <f>+D23-C23</f>
        <v>-156473</v>
      </c>
      <c r="F23" s="77">
        <f>IF(C23=0,0,+E23/C23)</f>
        <v>-0.11808596783432208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2938215</v>
      </c>
      <c r="D24" s="185">
        <v>2067529</v>
      </c>
      <c r="E24" s="185">
        <f>+D24-C24</f>
        <v>-870686</v>
      </c>
      <c r="F24" s="77">
        <f>IF(C24=0,0,+E24/C24)</f>
        <v>-0.29633161630445698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5761205</v>
      </c>
      <c r="D25" s="79">
        <f>+D22+D23+D24</f>
        <v>4494629</v>
      </c>
      <c r="E25" s="79">
        <f>+E22+E23+E24</f>
        <v>-1266576</v>
      </c>
      <c r="F25" s="80">
        <f>IF(C25=0,0,+E25/C25)</f>
        <v>-0.21984567464618948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1284</v>
      </c>
      <c r="D27" s="185">
        <v>785</v>
      </c>
      <c r="E27" s="185">
        <f>+D27-C27</f>
        <v>-499</v>
      </c>
      <c r="F27" s="77">
        <f>IF(C27=0,0,+E27/C27)</f>
        <v>-0.38862928348909659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270</v>
      </c>
      <c r="D28" s="185">
        <v>164</v>
      </c>
      <c r="E28" s="185">
        <f>+D28-C28</f>
        <v>-106</v>
      </c>
      <c r="F28" s="77">
        <f>IF(C28=0,0,+E28/C28)</f>
        <v>-0.3925925925925926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1023</v>
      </c>
      <c r="D29" s="185">
        <v>496</v>
      </c>
      <c r="E29" s="185">
        <f>+D29-C29</f>
        <v>-527</v>
      </c>
      <c r="F29" s="77">
        <f>IF(C29=0,0,+E29/C29)</f>
        <v>-0.51515151515151514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3889</v>
      </c>
      <c r="D30" s="185">
        <v>2324</v>
      </c>
      <c r="E30" s="185">
        <f>+D30-C30</f>
        <v>-1565</v>
      </c>
      <c r="F30" s="77">
        <f>IF(C30=0,0,+E30/C30)</f>
        <v>-0.40241707379789149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5265880</v>
      </c>
      <c r="D33" s="76">
        <v>6117437</v>
      </c>
      <c r="E33" s="76">
        <f>+D33-C33</f>
        <v>851557</v>
      </c>
      <c r="F33" s="77">
        <f>IF(C33=0,0,+E33/C33)</f>
        <v>0.16171219245406276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4658279</v>
      </c>
      <c r="D34" s="185">
        <v>5680477</v>
      </c>
      <c r="E34" s="185">
        <f>+D34-C34</f>
        <v>1022198</v>
      </c>
      <c r="F34" s="77">
        <f>IF(C34=0,0,+E34/C34)</f>
        <v>0.21943683493410335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10329227</v>
      </c>
      <c r="D35" s="185">
        <v>10050074</v>
      </c>
      <c r="E35" s="185">
        <f>+D35-C35</f>
        <v>-279153</v>
      </c>
      <c r="F35" s="77">
        <f>IF(C35=0,0,+E35/C35)</f>
        <v>-2.7025546054898396E-2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20253386</v>
      </c>
      <c r="D36" s="79">
        <f>+D33+D34+D35</f>
        <v>21847988</v>
      </c>
      <c r="E36" s="79">
        <f>+E33+E34+E35</f>
        <v>1594602</v>
      </c>
      <c r="F36" s="80">
        <f>IF(C36=0,0,+E36/C36)</f>
        <v>7.8732612907293623E-2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5761205</v>
      </c>
      <c r="D39" s="76">
        <f>+D25</f>
        <v>4494629</v>
      </c>
      <c r="E39" s="76">
        <f>+D39-C39</f>
        <v>-1266576</v>
      </c>
      <c r="F39" s="77">
        <f>IF(C39=0,0,+E39/C39)</f>
        <v>-0.21984567464618948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20253386</v>
      </c>
      <c r="D40" s="185">
        <f>+D36</f>
        <v>21847988</v>
      </c>
      <c r="E40" s="185">
        <f>+D40-C40</f>
        <v>1594602</v>
      </c>
      <c r="F40" s="77">
        <f>IF(C40=0,0,+E40/C40)</f>
        <v>7.8732612907293623E-2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26014591</v>
      </c>
      <c r="D41" s="79">
        <f>+D39+D40</f>
        <v>26342617</v>
      </c>
      <c r="E41" s="79">
        <f>+E39+E40</f>
        <v>328026</v>
      </c>
      <c r="F41" s="80">
        <f>IF(C41=0,0,+E41/C41)</f>
        <v>1.260930836852288E-2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6763793</v>
      </c>
      <c r="D43" s="76">
        <f t="shared" si="0"/>
        <v>7375933</v>
      </c>
      <c r="E43" s="76">
        <f>+D43-C43</f>
        <v>612140</v>
      </c>
      <c r="F43" s="77">
        <f>IF(C43=0,0,+E43/C43)</f>
        <v>9.0502473981684539E-2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5983356</v>
      </c>
      <c r="D44" s="185">
        <f t="shared" si="0"/>
        <v>6849081</v>
      </c>
      <c r="E44" s="185">
        <f>+D44-C44</f>
        <v>865725</v>
      </c>
      <c r="F44" s="77">
        <f>IF(C44=0,0,+E44/C44)</f>
        <v>0.14468886691682728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13267442</v>
      </c>
      <c r="D45" s="185">
        <f t="shared" si="0"/>
        <v>12117603</v>
      </c>
      <c r="E45" s="185">
        <f>+D45-C45</f>
        <v>-1149839</v>
      </c>
      <c r="F45" s="77">
        <f>IF(C45=0,0,+E45/C45)</f>
        <v>-8.6666216441722524E-2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26014591</v>
      </c>
      <c r="D46" s="79">
        <f>+D43+D44+D45</f>
        <v>26342617</v>
      </c>
      <c r="E46" s="79">
        <f>+E43+E44+E45</f>
        <v>328026</v>
      </c>
      <c r="F46" s="80">
        <f>IF(C46=0,0,+E46/C46)</f>
        <v>1.260930836852288E-2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FILING&amp;RSAINT FRANCIS HOSPITAL AND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545975025</v>
      </c>
      <c r="D15" s="76">
        <v>558621454</v>
      </c>
      <c r="E15" s="76">
        <f>+D15-C15</f>
        <v>12646429</v>
      </c>
      <c r="F15" s="77">
        <f>IF(C15=0,0,E15/C15)</f>
        <v>2.3163017392599596E-2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287698909</v>
      </c>
      <c r="D17" s="76">
        <v>289620689</v>
      </c>
      <c r="E17" s="76">
        <f>+D17-C17</f>
        <v>1921780</v>
      </c>
      <c r="F17" s="77">
        <f>IF(C17=0,0,E17/C17)</f>
        <v>6.6798306836818762E-3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258276116</v>
      </c>
      <c r="D19" s="79">
        <f>+D15-D17</f>
        <v>269000765</v>
      </c>
      <c r="E19" s="79">
        <f>+D19-C19</f>
        <v>10724649</v>
      </c>
      <c r="F19" s="80">
        <f>IF(C19=0,0,E19/C19)</f>
        <v>4.1523967318758966E-2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0.52694518215370745</v>
      </c>
      <c r="D21" s="720">
        <f>IF(D15=0,0,D17/D15)</f>
        <v>0.51845607956188522</v>
      </c>
      <c r="E21" s="720">
        <f>+D21-C21</f>
        <v>-8.4891025918222285E-3</v>
      </c>
      <c r="F21" s="80">
        <f>IF(C21=0,0,E21/C21)</f>
        <v>-1.6110029808273297E-2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FILING&amp;R&amp;12SAINT FRANCIS HOSPITAL AND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992068952</v>
      </c>
      <c r="D10" s="744">
        <v>1101981674</v>
      </c>
      <c r="E10" s="744">
        <v>1145272737</v>
      </c>
    </row>
    <row r="11" spans="1:6" ht="26.1" customHeight="1" x14ac:dyDescent="0.25">
      <c r="A11" s="742">
        <v>2</v>
      </c>
      <c r="B11" s="743" t="s">
        <v>933</v>
      </c>
      <c r="C11" s="744">
        <v>765589378</v>
      </c>
      <c r="D11" s="744">
        <v>828975422</v>
      </c>
      <c r="E11" s="744">
        <v>843357837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1757658330</v>
      </c>
      <c r="D12" s="744">
        <f>+D11+D10</f>
        <v>1930957096</v>
      </c>
      <c r="E12" s="744">
        <f>+E11+E10</f>
        <v>1988630574</v>
      </c>
    </row>
    <row r="13" spans="1:6" ht="26.1" customHeight="1" x14ac:dyDescent="0.25">
      <c r="A13" s="742">
        <v>4</v>
      </c>
      <c r="B13" s="743" t="s">
        <v>507</v>
      </c>
      <c r="C13" s="744">
        <v>645464533</v>
      </c>
      <c r="D13" s="744">
        <v>635118562</v>
      </c>
      <c r="E13" s="744">
        <v>648781738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674830699</v>
      </c>
      <c r="D16" s="744">
        <v>666258533</v>
      </c>
      <c r="E16" s="744">
        <v>666788583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157534</v>
      </c>
      <c r="D19" s="747">
        <v>159375</v>
      </c>
      <c r="E19" s="747">
        <v>151867</v>
      </c>
    </row>
    <row r="20" spans="1:5" ht="26.1" customHeight="1" x14ac:dyDescent="0.25">
      <c r="A20" s="742">
        <v>2</v>
      </c>
      <c r="B20" s="743" t="s">
        <v>381</v>
      </c>
      <c r="C20" s="748">
        <v>32111</v>
      </c>
      <c r="D20" s="748">
        <v>32366</v>
      </c>
      <c r="E20" s="748">
        <v>31234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4.9059200896888919</v>
      </c>
      <c r="D21" s="749">
        <f>IF(D20=0,0,+D19/D20)</f>
        <v>4.9241487981214851</v>
      </c>
      <c r="E21" s="749">
        <f>IF(E20=0,0,+E19/E20)</f>
        <v>4.8622334635333289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279104.53885288007</v>
      </c>
      <c r="D22" s="748">
        <f>IF(D10=0,0,D19*(D12/D10))</f>
        <v>279266.24773888936</v>
      </c>
      <c r="E22" s="748">
        <f>IF(E10=0,0,E19*(E12/E10))</f>
        <v>263699.07326420362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56891.374859426105</v>
      </c>
      <c r="D23" s="748">
        <f>IF(D10=0,0,D20*(D12/D10))</f>
        <v>56713.608623164815</v>
      </c>
      <c r="E23" s="748">
        <f>IF(E10=0,0,E20*(E12/E10))</f>
        <v>54234.144707764921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1.4675146896702065</v>
      </c>
      <c r="D26" s="750">
        <v>1.4751311437928689</v>
      </c>
      <c r="E26" s="750">
        <v>1.4727576166997505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231183.45912250632</v>
      </c>
      <c r="D27" s="748">
        <f>D19*D26</f>
        <v>235099.02604198849</v>
      </c>
      <c r="E27" s="748">
        <f>E19*E26</f>
        <v>223663.28097534101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47123.364200000004</v>
      </c>
      <c r="D28" s="748">
        <f>D20*D26</f>
        <v>47744.094599999997</v>
      </c>
      <c r="E28" s="748">
        <f>E20*E26</f>
        <v>46000.111400000009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409590.01072023041</v>
      </c>
      <c r="D29" s="748">
        <f>D22*D26</f>
        <v>411954.33944981056</v>
      </c>
      <c r="E29" s="748">
        <f>E22*E26</f>
        <v>388364.8186665214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83488.928321742089</v>
      </c>
      <c r="D30" s="748">
        <f>D23*D26</f>
        <v>83660.010356910221</v>
      </c>
      <c r="E30" s="748">
        <f>E23*E26</f>
        <v>79873.749703557245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11157.326862772481</v>
      </c>
      <c r="D33" s="744">
        <f>IF(D19=0,0,D12/D19)</f>
        <v>12115.809229803921</v>
      </c>
      <c r="E33" s="744">
        <f>IF(E19=0,0,E12/E19)</f>
        <v>13094.553615992942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54736.954003301049</v>
      </c>
      <c r="D34" s="744">
        <f>IF(D20=0,0,D12/D20)</f>
        <v>59660.04745720818</v>
      </c>
      <c r="E34" s="744">
        <f>IF(E20=0,0,E12/E20)</f>
        <v>63668.776781712237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6297.4910305077001</v>
      </c>
      <c r="D35" s="744">
        <f>IF(D22=0,0,D12/D22)</f>
        <v>6914.3948172549017</v>
      </c>
      <c r="E35" s="744">
        <f>IF(E22=0,0,E12/E22)</f>
        <v>7541.2876859357202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30894.987761203323</v>
      </c>
      <c r="D36" s="744">
        <f>IF(D23=0,0,D12/D23)</f>
        <v>34047.508929123156</v>
      </c>
      <c r="E36" s="744">
        <f>IF(E23=0,0,E12/E23)</f>
        <v>36667.501344688484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4291.2626870692038</v>
      </c>
      <c r="D37" s="744">
        <f>IF(D29=0,0,D12/D29)</f>
        <v>4687.3085463279931</v>
      </c>
      <c r="E37" s="744">
        <f>IF(E29=0,0,E12/E29)</f>
        <v>5120.521938182007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21052.591826625143</v>
      </c>
      <c r="D38" s="744">
        <f>IF(D30=0,0,D12/D30)</f>
        <v>23081.004744825557</v>
      </c>
      <c r="E38" s="744">
        <f>IF(E30=0,0,E12/E30)</f>
        <v>24897.173118585099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3554.4708662833086</v>
      </c>
      <c r="D39" s="744">
        <f>IF(D22=0,0,D10/D22)</f>
        <v>3945.9894739243241</v>
      </c>
      <c r="E39" s="744">
        <f>IF(E22=0,0,E10/E22)</f>
        <v>4343.1048991686666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17437.950031113163</v>
      </c>
      <c r="D40" s="744">
        <f>IF(D23=0,0,D10/D23)</f>
        <v>19430.639325424494</v>
      </c>
      <c r="E40" s="744">
        <f>IF(E23=0,0,E10/E23)</f>
        <v>21117.18997637344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4097.3030139525436</v>
      </c>
      <c r="D43" s="744">
        <f>IF(D19=0,0,D13/D19)</f>
        <v>3985.0576439215688</v>
      </c>
      <c r="E43" s="744">
        <f>IF(E19=0,0,E13/E19)</f>
        <v>4272.03894196896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20101.041169692628</v>
      </c>
      <c r="D44" s="744">
        <f>IF(D20=0,0,D13/D20)</f>
        <v>19623.016807761232</v>
      </c>
      <c r="E44" s="744">
        <f>IF(E20=0,0,E13/E20)</f>
        <v>20771.650701158993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2312.626428981986</v>
      </c>
      <c r="D45" s="744">
        <f>IF(D22=0,0,D13/D22)</f>
        <v>2274.2403249311687</v>
      </c>
      <c r="E45" s="744">
        <f>IF(E22=0,0,E13/E22)</f>
        <v>2460.311027904057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11345.560457888207</v>
      </c>
      <c r="D46" s="744">
        <f>IF(D23=0,0,D13/D23)</f>
        <v>11198.697762649232</v>
      </c>
      <c r="E46" s="744">
        <f>IF(E23=0,0,E13/E23)</f>
        <v>11962.606610575189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1575.8795773974166</v>
      </c>
      <c r="D47" s="744">
        <f>IF(D29=0,0,D13/D29)</f>
        <v>1541.7207714045164</v>
      </c>
      <c r="E47" s="744">
        <f>IF(E29=0,0,E13/E29)</f>
        <v>1670.5471423174706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7731.1392776844268</v>
      </c>
      <c r="D48" s="744">
        <f>IF(D30=0,0,D13/D30)</f>
        <v>7591.6624835504808</v>
      </c>
      <c r="E48" s="744">
        <f>IF(E30=0,0,E13/E30)</f>
        <v>8122.5902177859816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4283.7146203359271</v>
      </c>
      <c r="D51" s="744">
        <f>IF(D19=0,0,D16/D19)</f>
        <v>4180.4456972549024</v>
      </c>
      <c r="E51" s="744">
        <f>IF(E19=0,0,E16/E19)</f>
        <v>4390.6087761001399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21015.561614400049</v>
      </c>
      <c r="D52" s="744">
        <f>IF(D20=0,0,D16/D20)</f>
        <v>20585.136655749862</v>
      </c>
      <c r="E52" s="744">
        <f>IF(E20=0,0,E16/E20)</f>
        <v>21348.164916437217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2417.8420808688916</v>
      </c>
      <c r="D53" s="744">
        <f>IF(D22=0,0,D16/D22)</f>
        <v>2385.7467144505908</v>
      </c>
      <c r="E53" s="744">
        <f>IF(E22=0,0,E16/E22)</f>
        <v>2528.5966110769591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11861.740038229889</v>
      </c>
      <c r="D54" s="744">
        <f>IF(D23=0,0,D16/D23)</f>
        <v>11747.77181658416</v>
      </c>
      <c r="E54" s="744">
        <f>IF(E23=0,0,E16/E23)</f>
        <v>12294.627058155362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1647.5760671344635</v>
      </c>
      <c r="D55" s="744">
        <f>IF(D29=0,0,D16/D29)</f>
        <v>1617.3116027611889</v>
      </c>
      <c r="E55" s="744">
        <f>IF(E29=0,0,E16/E29)</f>
        <v>1716.9129410060023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8082.8765270455797</v>
      </c>
      <c r="D56" s="744">
        <f>IF(D30=0,0,D16/D30)</f>
        <v>7963.882984924443</v>
      </c>
      <c r="E56" s="744">
        <f>IF(E30=0,0,E16/E30)</f>
        <v>8348.0315557328086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96936155</v>
      </c>
      <c r="D59" s="752">
        <v>110581485</v>
      </c>
      <c r="E59" s="752">
        <v>100600169</v>
      </c>
    </row>
    <row r="60" spans="1:6" ht="26.1" customHeight="1" x14ac:dyDescent="0.25">
      <c r="A60" s="742">
        <v>2</v>
      </c>
      <c r="B60" s="743" t="s">
        <v>969</v>
      </c>
      <c r="C60" s="752">
        <v>26485580</v>
      </c>
      <c r="D60" s="752">
        <v>31316806</v>
      </c>
      <c r="E60" s="752">
        <v>27335819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123421735</v>
      </c>
      <c r="D61" s="755">
        <f>D59+D60</f>
        <v>141898291</v>
      </c>
      <c r="E61" s="755">
        <f>E59+E60</f>
        <v>127935988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4418450</v>
      </c>
      <c r="D64" s="744">
        <v>4569581</v>
      </c>
      <c r="E64" s="752">
        <v>5213156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1200857</v>
      </c>
      <c r="D65" s="752">
        <v>1286992</v>
      </c>
      <c r="E65" s="752">
        <v>1416557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5619307</v>
      </c>
      <c r="D66" s="757">
        <f>D64+D65</f>
        <v>5856573</v>
      </c>
      <c r="E66" s="757">
        <f>E64+E65</f>
        <v>6629713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142595158</v>
      </c>
      <c r="D69" s="752">
        <v>137408298</v>
      </c>
      <c r="E69" s="752">
        <v>148405212</v>
      </c>
    </row>
    <row r="70" spans="1:6" ht="26.1" customHeight="1" x14ac:dyDescent="0.25">
      <c r="A70" s="742">
        <v>2</v>
      </c>
      <c r="B70" s="743" t="s">
        <v>977</v>
      </c>
      <c r="C70" s="752">
        <v>39027868</v>
      </c>
      <c r="D70" s="752">
        <v>38895758</v>
      </c>
      <c r="E70" s="752">
        <v>40325757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181623026</v>
      </c>
      <c r="D71" s="755">
        <f>D69+D70</f>
        <v>176304056</v>
      </c>
      <c r="E71" s="755">
        <f>E69+E70</f>
        <v>188730969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243949763</v>
      </c>
      <c r="D75" s="744">
        <f t="shared" si="0"/>
        <v>252559364</v>
      </c>
      <c r="E75" s="744">
        <f t="shared" si="0"/>
        <v>254218537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66714305</v>
      </c>
      <c r="D76" s="744">
        <f t="shared" si="0"/>
        <v>71499556</v>
      </c>
      <c r="E76" s="744">
        <f t="shared" si="0"/>
        <v>69078133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310664068</v>
      </c>
      <c r="D77" s="757">
        <f>D75+D76</f>
        <v>324058920</v>
      </c>
      <c r="E77" s="757">
        <f>E75+E76</f>
        <v>323296670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1330.2</v>
      </c>
      <c r="D80" s="749">
        <v>1396</v>
      </c>
      <c r="E80" s="749">
        <v>1322.9</v>
      </c>
    </row>
    <row r="81" spans="1:5" ht="26.1" customHeight="1" x14ac:dyDescent="0.25">
      <c r="A81" s="742">
        <v>2</v>
      </c>
      <c r="B81" s="743" t="s">
        <v>617</v>
      </c>
      <c r="C81" s="749">
        <v>38.5</v>
      </c>
      <c r="D81" s="749">
        <v>40.5</v>
      </c>
      <c r="E81" s="749">
        <v>40</v>
      </c>
    </row>
    <row r="82" spans="1:5" ht="26.1" customHeight="1" x14ac:dyDescent="0.25">
      <c r="A82" s="742">
        <v>3</v>
      </c>
      <c r="B82" s="743" t="s">
        <v>983</v>
      </c>
      <c r="C82" s="749">
        <v>2325.8000000000002</v>
      </c>
      <c r="D82" s="749">
        <v>2380.1</v>
      </c>
      <c r="E82" s="749">
        <v>2439.9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3694.5</v>
      </c>
      <c r="D83" s="759">
        <f>D80+D81+D82</f>
        <v>3816.6</v>
      </c>
      <c r="E83" s="759">
        <f>E80+E81+E82</f>
        <v>3802.8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72873.368666365961</v>
      </c>
      <c r="D86" s="752">
        <f>IF(D80=0,0,D59/D80)</f>
        <v>79213.09813753581</v>
      </c>
      <c r="E86" s="752">
        <f>IF(E80=0,0,E59/E80)</f>
        <v>76045.180285735885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19910.975793113816</v>
      </c>
      <c r="D87" s="752">
        <f>IF(D80=0,0,D60/D80)</f>
        <v>22433.242120343839</v>
      </c>
      <c r="E87" s="752">
        <f>IF(E80=0,0,E60/E80)</f>
        <v>20663.55658024038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92784.344459479777</v>
      </c>
      <c r="D88" s="755">
        <f>+D86+D87</f>
        <v>101646.34025787965</v>
      </c>
      <c r="E88" s="755">
        <f>+E86+E87</f>
        <v>96708.736865976272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114764.93506493507</v>
      </c>
      <c r="D91" s="744">
        <f>IF(D81=0,0,D64/D81)</f>
        <v>112829.16049382716</v>
      </c>
      <c r="E91" s="744">
        <f>IF(E81=0,0,E64/E81)</f>
        <v>130328.9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31191.090909090908</v>
      </c>
      <c r="D92" s="744">
        <f>IF(D81=0,0,D65/D81)</f>
        <v>31777.580246913582</v>
      </c>
      <c r="E92" s="744">
        <f>IF(E81=0,0,E65/E81)</f>
        <v>35413.925000000003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145956.02597402598</v>
      </c>
      <c r="D93" s="757">
        <f>+D91+D92</f>
        <v>144606.74074074073</v>
      </c>
      <c r="E93" s="757">
        <f>+E91+E92</f>
        <v>165742.82500000001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61310.154785450162</v>
      </c>
      <c r="D96" s="752">
        <f>IF(D82=0,0,D69/D82)</f>
        <v>57732.153270870971</v>
      </c>
      <c r="E96" s="752">
        <f>IF(E82=0,0,E69/E82)</f>
        <v>60824.300995942453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16780.405881847106</v>
      </c>
      <c r="D97" s="752">
        <f>IF(D82=0,0,D70/D82)</f>
        <v>16342.068820637789</v>
      </c>
      <c r="E97" s="752">
        <f>IF(E82=0,0,E70/E82)</f>
        <v>16527.62695192426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78090.560667297264</v>
      </c>
      <c r="D98" s="757">
        <f>+D96+D97</f>
        <v>74074.222091508767</v>
      </c>
      <c r="E98" s="757">
        <f>+E96+E97</f>
        <v>77351.927947866716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66030.521856814186</v>
      </c>
      <c r="D101" s="744">
        <f>IF(D83=0,0,D75/D83)</f>
        <v>66173.915002882146</v>
      </c>
      <c r="E101" s="744">
        <f>IF(E83=0,0,E75/E83)</f>
        <v>66850.356842326699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18057.735823521452</v>
      </c>
      <c r="D102" s="761">
        <f>IF(D83=0,0,D76/D83)</f>
        <v>18733.835350835823</v>
      </c>
      <c r="E102" s="761">
        <f>IF(E83=0,0,E76/E83)</f>
        <v>18165.071263279689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84088.257680335635</v>
      </c>
      <c r="D103" s="757">
        <f>+D101+D102</f>
        <v>84907.750353717973</v>
      </c>
      <c r="E103" s="757">
        <f>+E101+E102</f>
        <v>85015.428105606392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1972.0445618088793</v>
      </c>
      <c r="D108" s="744">
        <f>IF(D19=0,0,D77/D19)</f>
        <v>2033.3108705882353</v>
      </c>
      <c r="E108" s="744">
        <f>IF(E19=0,0,E77/E19)</f>
        <v>2128.8144889936589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9674.6930335399084</v>
      </c>
      <c r="D109" s="744">
        <f>IF(D20=0,0,D77/D20)</f>
        <v>10012.32527961441</v>
      </c>
      <c r="E109" s="744">
        <f>IF(E20=0,0,E77/E20)</f>
        <v>10350.793046039573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1113.0742240052048</v>
      </c>
      <c r="D110" s="744">
        <f>IF(D22=0,0,D77/D22)</f>
        <v>1160.3941493960676</v>
      </c>
      <c r="E110" s="744">
        <f>IF(E22=0,0,E77/E22)</f>
        <v>1226.0060909508193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5460.6531968620075</v>
      </c>
      <c r="D111" s="744">
        <f>IF(D23=0,0,D77/D23)</f>
        <v>5713.95345609585</v>
      </c>
      <c r="E111" s="744">
        <f>IF(E23=0,0,E77/E23)</f>
        <v>5961.1278419167602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758.47569488748695</v>
      </c>
      <c r="D112" s="744">
        <f>IF(D29=0,0,D77/D29)</f>
        <v>786.63795709204055</v>
      </c>
      <c r="E112" s="744">
        <f>IF(E29=0,0,E77/E29)</f>
        <v>832.45611976404666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3721.0211490892648</v>
      </c>
      <c r="D113" s="744">
        <f>IF(D30=0,0,D77/D30)</f>
        <v>3873.5223509715129</v>
      </c>
      <c r="E113" s="744">
        <f>IF(E30=0,0,E77/E30)</f>
        <v>4047.5960024398569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FILING&amp;R&amp;"Arial,Bold"&amp;12SAINT FRANCIS HOSPITAL AND MEDICAL CENTER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1930957099</v>
      </c>
      <c r="D12" s="76">
        <v>1988630574</v>
      </c>
      <c r="E12" s="76">
        <f t="shared" ref="E12:E21" si="0">D12-C12</f>
        <v>57673475</v>
      </c>
      <c r="F12" s="77">
        <f t="shared" ref="F12:F21" si="1">IF(C12=0,0,E12/C12)</f>
        <v>2.9867817897076956E-2</v>
      </c>
    </row>
    <row r="13" spans="1:8" ht="23.1" customHeight="1" x14ac:dyDescent="0.2">
      <c r="A13" s="74">
        <v>2</v>
      </c>
      <c r="B13" s="75" t="s">
        <v>72</v>
      </c>
      <c r="C13" s="76">
        <v>1256441255</v>
      </c>
      <c r="D13" s="76">
        <v>1299294353</v>
      </c>
      <c r="E13" s="76">
        <f t="shared" si="0"/>
        <v>42853098</v>
      </c>
      <c r="F13" s="77">
        <f t="shared" si="1"/>
        <v>3.4106726302934078E-2</v>
      </c>
    </row>
    <row r="14" spans="1:8" ht="23.1" customHeight="1" x14ac:dyDescent="0.2">
      <c r="A14" s="74">
        <v>3</v>
      </c>
      <c r="B14" s="75" t="s">
        <v>73</v>
      </c>
      <c r="C14" s="76">
        <v>19143896</v>
      </c>
      <c r="D14" s="76">
        <v>18706495</v>
      </c>
      <c r="E14" s="76">
        <f t="shared" si="0"/>
        <v>-437401</v>
      </c>
      <c r="F14" s="77">
        <f t="shared" si="1"/>
        <v>-2.2848066036296896E-2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655371948</v>
      </c>
      <c r="D16" s="79">
        <f>D12-D13-D14-D15</f>
        <v>670629726</v>
      </c>
      <c r="E16" s="79">
        <f t="shared" si="0"/>
        <v>15257778</v>
      </c>
      <c r="F16" s="80">
        <f t="shared" si="1"/>
        <v>2.3281097164079414E-2</v>
      </c>
    </row>
    <row r="17" spans="1:7" ht="23.1" customHeight="1" x14ac:dyDescent="0.2">
      <c r="A17" s="74">
        <v>5</v>
      </c>
      <c r="B17" s="75" t="s">
        <v>76</v>
      </c>
      <c r="C17" s="76">
        <v>20253386</v>
      </c>
      <c r="D17" s="76">
        <v>21847988</v>
      </c>
      <c r="E17" s="76">
        <f t="shared" si="0"/>
        <v>1594602</v>
      </c>
      <c r="F17" s="77">
        <f t="shared" si="1"/>
        <v>7.8732612907293623E-2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635118562</v>
      </c>
      <c r="D18" s="79">
        <f>D16-D17</f>
        <v>648781738</v>
      </c>
      <c r="E18" s="79">
        <f t="shared" si="0"/>
        <v>13663176</v>
      </c>
      <c r="F18" s="80">
        <f t="shared" si="1"/>
        <v>2.1512795905341529E-2</v>
      </c>
    </row>
    <row r="19" spans="1:7" ht="23.1" customHeight="1" x14ac:dyDescent="0.2">
      <c r="A19" s="74">
        <v>6</v>
      </c>
      <c r="B19" s="75" t="s">
        <v>78</v>
      </c>
      <c r="C19" s="76">
        <v>30927888</v>
      </c>
      <c r="D19" s="76">
        <v>28501028</v>
      </c>
      <c r="E19" s="76">
        <f t="shared" si="0"/>
        <v>-2426860</v>
      </c>
      <c r="F19" s="77">
        <f t="shared" si="1"/>
        <v>-7.8468338995536971E-2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4399960</v>
      </c>
      <c r="D20" s="76">
        <v>3927212</v>
      </c>
      <c r="E20" s="76">
        <f t="shared" si="0"/>
        <v>-472748</v>
      </c>
      <c r="F20" s="77">
        <f t="shared" si="1"/>
        <v>-0.10744370403367304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670446410</v>
      </c>
      <c r="D21" s="79">
        <f>SUM(D18:D20)</f>
        <v>681209978</v>
      </c>
      <c r="E21" s="79">
        <f t="shared" si="0"/>
        <v>10763568</v>
      </c>
      <c r="F21" s="80">
        <f t="shared" si="1"/>
        <v>1.6054330129085186E-2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252559364</v>
      </c>
      <c r="D24" s="76">
        <v>254218537</v>
      </c>
      <c r="E24" s="76">
        <f t="shared" ref="E24:E33" si="2">D24-C24</f>
        <v>1659173</v>
      </c>
      <c r="F24" s="77">
        <f t="shared" ref="F24:F33" si="3">IF(C24=0,0,E24/C24)</f>
        <v>6.5694376708994246E-3</v>
      </c>
    </row>
    <row r="25" spans="1:7" ht="23.1" customHeight="1" x14ac:dyDescent="0.2">
      <c r="A25" s="74">
        <v>2</v>
      </c>
      <c r="B25" s="75" t="s">
        <v>83</v>
      </c>
      <c r="C25" s="76">
        <v>71499556</v>
      </c>
      <c r="D25" s="76">
        <v>69078133</v>
      </c>
      <c r="E25" s="76">
        <f t="shared" si="2"/>
        <v>-2421423</v>
      </c>
      <c r="F25" s="77">
        <f t="shared" si="3"/>
        <v>-3.3866266246464521E-2</v>
      </c>
    </row>
    <row r="26" spans="1:7" ht="23.1" customHeight="1" x14ac:dyDescent="0.2">
      <c r="A26" s="74">
        <v>3</v>
      </c>
      <c r="B26" s="75" t="s">
        <v>84</v>
      </c>
      <c r="C26" s="76">
        <v>46353712</v>
      </c>
      <c r="D26" s="76">
        <v>48711341</v>
      </c>
      <c r="E26" s="76">
        <f t="shared" si="2"/>
        <v>2357629</v>
      </c>
      <c r="F26" s="77">
        <f t="shared" si="3"/>
        <v>5.0861708766711068E-2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101337301</v>
      </c>
      <c r="D27" s="76">
        <v>99173950</v>
      </c>
      <c r="E27" s="76">
        <f t="shared" si="2"/>
        <v>-2163351</v>
      </c>
      <c r="F27" s="77">
        <f t="shared" si="3"/>
        <v>-2.1348022679230423E-2</v>
      </c>
    </row>
    <row r="28" spans="1:7" ht="23.1" customHeight="1" x14ac:dyDescent="0.2">
      <c r="A28" s="74">
        <v>5</v>
      </c>
      <c r="B28" s="75" t="s">
        <v>86</v>
      </c>
      <c r="C28" s="76">
        <v>34869577</v>
      </c>
      <c r="D28" s="76">
        <v>35799072</v>
      </c>
      <c r="E28" s="76">
        <f t="shared" si="2"/>
        <v>929495</v>
      </c>
      <c r="F28" s="77">
        <f t="shared" si="3"/>
        <v>2.665633139168852E-2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11600890</v>
      </c>
      <c r="D30" s="76">
        <v>11620321</v>
      </c>
      <c r="E30" s="76">
        <f t="shared" si="2"/>
        <v>19431</v>
      </c>
      <c r="F30" s="77">
        <f t="shared" si="3"/>
        <v>1.6749576972111622E-3</v>
      </c>
    </row>
    <row r="31" spans="1:7" ht="23.1" customHeight="1" x14ac:dyDescent="0.2">
      <c r="A31" s="74">
        <v>8</v>
      </c>
      <c r="B31" s="75" t="s">
        <v>89</v>
      </c>
      <c r="C31" s="76">
        <v>8725455</v>
      </c>
      <c r="D31" s="76">
        <v>8757025</v>
      </c>
      <c r="E31" s="76">
        <f t="shared" si="2"/>
        <v>31570</v>
      </c>
      <c r="F31" s="77">
        <f t="shared" si="3"/>
        <v>3.6181494260184711E-3</v>
      </c>
    </row>
    <row r="32" spans="1:7" ht="23.1" customHeight="1" x14ac:dyDescent="0.2">
      <c r="A32" s="74">
        <v>9</v>
      </c>
      <c r="B32" s="75" t="s">
        <v>90</v>
      </c>
      <c r="C32" s="76">
        <v>139312678</v>
      </c>
      <c r="D32" s="76">
        <v>139430204</v>
      </c>
      <c r="E32" s="76">
        <f t="shared" si="2"/>
        <v>117526</v>
      </c>
      <c r="F32" s="77">
        <f t="shared" si="3"/>
        <v>8.4361309887388716E-4</v>
      </c>
    </row>
    <row r="33" spans="1:6" ht="23.1" customHeight="1" x14ac:dyDescent="0.25">
      <c r="A33" s="71"/>
      <c r="B33" s="78" t="s">
        <v>91</v>
      </c>
      <c r="C33" s="79">
        <f>SUM(C24:C32)</f>
        <v>666258533</v>
      </c>
      <c r="D33" s="79">
        <f>SUM(D24:D32)</f>
        <v>666788583</v>
      </c>
      <c r="E33" s="79">
        <f t="shared" si="2"/>
        <v>530050</v>
      </c>
      <c r="F33" s="80">
        <f t="shared" si="3"/>
        <v>7.955620434808E-4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4187877</v>
      </c>
      <c r="D35" s="79">
        <f>+D21-D33</f>
        <v>14421395</v>
      </c>
      <c r="E35" s="79">
        <f>D35-C35</f>
        <v>10233518</v>
      </c>
      <c r="F35" s="80">
        <f>IF(C35=0,0,E35/C35)</f>
        <v>2.4436051966187162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2295512</v>
      </c>
      <c r="D38" s="76">
        <v>3622812</v>
      </c>
      <c r="E38" s="76">
        <f>D38-C38</f>
        <v>1327300</v>
      </c>
      <c r="F38" s="77">
        <f>IF(C38=0,0,E38/C38)</f>
        <v>0.57821523041482681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22217941</v>
      </c>
      <c r="D40" s="76">
        <v>-2424088</v>
      </c>
      <c r="E40" s="76">
        <f>D40-C40</f>
        <v>-24642029</v>
      </c>
      <c r="F40" s="77">
        <f>IF(C40=0,0,E40/C40)</f>
        <v>-1.1091049796198487</v>
      </c>
    </row>
    <row r="41" spans="1:6" ht="23.1" customHeight="1" x14ac:dyDescent="0.25">
      <c r="A41" s="83"/>
      <c r="B41" s="78" t="s">
        <v>97</v>
      </c>
      <c r="C41" s="79">
        <f>SUM(C38:C40)</f>
        <v>24513453</v>
      </c>
      <c r="D41" s="79">
        <f>SUM(D38:D40)</f>
        <v>1198724</v>
      </c>
      <c r="E41" s="79">
        <f>D41-C41</f>
        <v>-23314729</v>
      </c>
      <c r="F41" s="80">
        <f>IF(C41=0,0,E41/C41)</f>
        <v>-0.95109934124743667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28701330</v>
      </c>
      <c r="D43" s="79">
        <f>D35+D41</f>
        <v>15620119</v>
      </c>
      <c r="E43" s="79">
        <f>D43-C43</f>
        <v>-13081211</v>
      </c>
      <c r="F43" s="80">
        <f>IF(C43=0,0,E43/C43)</f>
        <v>-0.45577020298362481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28701330</v>
      </c>
      <c r="D50" s="79">
        <f>D43+D48</f>
        <v>15620119</v>
      </c>
      <c r="E50" s="79">
        <f>D50-C50</f>
        <v>-13081211</v>
      </c>
      <c r="F50" s="80">
        <f>IF(C50=0,0,E50/C50)</f>
        <v>-0.45577020298362481</v>
      </c>
    </row>
    <row r="51" spans="1:6" ht="23.1" customHeight="1" x14ac:dyDescent="0.2">
      <c r="A51" s="85"/>
      <c r="B51" s="75" t="s">
        <v>104</v>
      </c>
      <c r="C51" s="76">
        <v>9786000</v>
      </c>
      <c r="D51" s="76">
        <v>8595000</v>
      </c>
      <c r="E51" s="76">
        <f>D51-C51</f>
        <v>-1191000</v>
      </c>
      <c r="F51" s="77">
        <f>IF(C51=0,0,E51/C51)</f>
        <v>-0.12170447578172901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447642193</v>
      </c>
      <c r="D14" s="113">
        <v>452375721</v>
      </c>
      <c r="E14" s="113">
        <f t="shared" ref="E14:E25" si="0">D14-C14</f>
        <v>4733528</v>
      </c>
      <c r="F14" s="114">
        <f t="shared" ref="F14:F25" si="1">IF(C14=0,0,E14/C14)</f>
        <v>1.057435620238774E-2</v>
      </c>
    </row>
    <row r="15" spans="1:6" x14ac:dyDescent="0.2">
      <c r="A15" s="115">
        <v>2</v>
      </c>
      <c r="B15" s="116" t="s">
        <v>114</v>
      </c>
      <c r="C15" s="113">
        <v>132805007</v>
      </c>
      <c r="D15" s="113">
        <v>162884511</v>
      </c>
      <c r="E15" s="113">
        <f t="shared" si="0"/>
        <v>30079504</v>
      </c>
      <c r="F15" s="114">
        <f t="shared" si="1"/>
        <v>0.2264937495918358</v>
      </c>
    </row>
    <row r="16" spans="1:6" x14ac:dyDescent="0.2">
      <c r="A16" s="115">
        <v>3</v>
      </c>
      <c r="B16" s="116" t="s">
        <v>115</v>
      </c>
      <c r="C16" s="113">
        <v>221760677</v>
      </c>
      <c r="D16" s="113">
        <v>227632619</v>
      </c>
      <c r="E16" s="113">
        <f t="shared" si="0"/>
        <v>5871942</v>
      </c>
      <c r="F16" s="114">
        <f t="shared" si="1"/>
        <v>2.6478734099463452E-2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2026698</v>
      </c>
      <c r="D18" s="113">
        <v>1771234</v>
      </c>
      <c r="E18" s="113">
        <f t="shared" si="0"/>
        <v>-255464</v>
      </c>
      <c r="F18" s="114">
        <f t="shared" si="1"/>
        <v>-0.12604936699991809</v>
      </c>
    </row>
    <row r="19" spans="1:6" x14ac:dyDescent="0.2">
      <c r="A19" s="115">
        <v>6</v>
      </c>
      <c r="B19" s="116" t="s">
        <v>118</v>
      </c>
      <c r="C19" s="113">
        <v>20073842</v>
      </c>
      <c r="D19" s="113">
        <v>18259429</v>
      </c>
      <c r="E19" s="113">
        <f t="shared" si="0"/>
        <v>-1814413</v>
      </c>
      <c r="F19" s="114">
        <f t="shared" si="1"/>
        <v>-9.0386932406860632E-2</v>
      </c>
    </row>
    <row r="20" spans="1:6" x14ac:dyDescent="0.2">
      <c r="A20" s="115">
        <v>7</v>
      </c>
      <c r="B20" s="116" t="s">
        <v>119</v>
      </c>
      <c r="C20" s="113">
        <v>265978870</v>
      </c>
      <c r="D20" s="113">
        <v>268141260</v>
      </c>
      <c r="E20" s="113">
        <f t="shared" si="0"/>
        <v>2162390</v>
      </c>
      <c r="F20" s="114">
        <f t="shared" si="1"/>
        <v>8.1299315242598022E-3</v>
      </c>
    </row>
    <row r="21" spans="1:6" x14ac:dyDescent="0.2">
      <c r="A21" s="115">
        <v>8</v>
      </c>
      <c r="B21" s="116" t="s">
        <v>120</v>
      </c>
      <c r="C21" s="113">
        <v>5128250</v>
      </c>
      <c r="D21" s="113">
        <v>5509035</v>
      </c>
      <c r="E21" s="113">
        <f t="shared" si="0"/>
        <v>380785</v>
      </c>
      <c r="F21" s="114">
        <f t="shared" si="1"/>
        <v>7.4252425291278706E-2</v>
      </c>
    </row>
    <row r="22" spans="1:6" x14ac:dyDescent="0.2">
      <c r="A22" s="115">
        <v>9</v>
      </c>
      <c r="B22" s="116" t="s">
        <v>121</v>
      </c>
      <c r="C22" s="113">
        <v>6566137</v>
      </c>
      <c r="D22" s="113">
        <v>8698928</v>
      </c>
      <c r="E22" s="113">
        <f t="shared" si="0"/>
        <v>2132791</v>
      </c>
      <c r="F22" s="114">
        <f t="shared" si="1"/>
        <v>0.32481670729684747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1101981674</v>
      </c>
      <c r="D25" s="119">
        <f>SUM(D14:D24)</f>
        <v>1145272737</v>
      </c>
      <c r="E25" s="119">
        <f t="shared" si="0"/>
        <v>43291063</v>
      </c>
      <c r="F25" s="120">
        <f t="shared" si="1"/>
        <v>3.9284739502845854E-2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196129534</v>
      </c>
      <c r="D27" s="113">
        <v>199759243</v>
      </c>
      <c r="E27" s="113">
        <f t="shared" ref="E27:E38" si="2">D27-C27</f>
        <v>3629709</v>
      </c>
      <c r="F27" s="114">
        <f t="shared" ref="F27:F38" si="3">IF(C27=0,0,E27/C27)</f>
        <v>1.8506692622845881E-2</v>
      </c>
    </row>
    <row r="28" spans="1:6" x14ac:dyDescent="0.2">
      <c r="A28" s="115">
        <v>2</v>
      </c>
      <c r="B28" s="116" t="s">
        <v>114</v>
      </c>
      <c r="C28" s="113">
        <v>74879122</v>
      </c>
      <c r="D28" s="113">
        <v>84739386</v>
      </c>
      <c r="E28" s="113">
        <f t="shared" si="2"/>
        <v>9860264</v>
      </c>
      <c r="F28" s="114">
        <f t="shared" si="3"/>
        <v>0.13168242010102629</v>
      </c>
    </row>
    <row r="29" spans="1:6" x14ac:dyDescent="0.2">
      <c r="A29" s="115">
        <v>3</v>
      </c>
      <c r="B29" s="116" t="s">
        <v>115</v>
      </c>
      <c r="C29" s="113">
        <v>202212572</v>
      </c>
      <c r="D29" s="113">
        <v>205257874</v>
      </c>
      <c r="E29" s="113">
        <f t="shared" si="2"/>
        <v>3045302</v>
      </c>
      <c r="F29" s="114">
        <f t="shared" si="3"/>
        <v>1.5059904386162499E-2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2593532</v>
      </c>
      <c r="D31" s="113">
        <v>2070268</v>
      </c>
      <c r="E31" s="113">
        <f t="shared" si="2"/>
        <v>-523264</v>
      </c>
      <c r="F31" s="114">
        <f t="shared" si="3"/>
        <v>-0.20175729468539427</v>
      </c>
    </row>
    <row r="32" spans="1:6" x14ac:dyDescent="0.2">
      <c r="A32" s="115">
        <v>6</v>
      </c>
      <c r="B32" s="116" t="s">
        <v>118</v>
      </c>
      <c r="C32" s="113">
        <v>27160841</v>
      </c>
      <c r="D32" s="113">
        <v>29560318</v>
      </c>
      <c r="E32" s="113">
        <f t="shared" si="2"/>
        <v>2399477</v>
      </c>
      <c r="F32" s="114">
        <f t="shared" si="3"/>
        <v>8.8343251227014655E-2</v>
      </c>
    </row>
    <row r="33" spans="1:6" x14ac:dyDescent="0.2">
      <c r="A33" s="115">
        <v>7</v>
      </c>
      <c r="B33" s="116" t="s">
        <v>119</v>
      </c>
      <c r="C33" s="113">
        <v>291040113</v>
      </c>
      <c r="D33" s="113">
        <v>290480194</v>
      </c>
      <c r="E33" s="113">
        <f t="shared" si="2"/>
        <v>-559919</v>
      </c>
      <c r="F33" s="114">
        <f t="shared" si="3"/>
        <v>-1.9238550804163549E-3</v>
      </c>
    </row>
    <row r="34" spans="1:6" x14ac:dyDescent="0.2">
      <c r="A34" s="115">
        <v>8</v>
      </c>
      <c r="B34" s="116" t="s">
        <v>120</v>
      </c>
      <c r="C34" s="113">
        <v>6784447</v>
      </c>
      <c r="D34" s="113">
        <v>7684005</v>
      </c>
      <c r="E34" s="113">
        <f t="shared" si="2"/>
        <v>899558</v>
      </c>
      <c r="F34" s="114">
        <f t="shared" si="3"/>
        <v>0.13259120455948731</v>
      </c>
    </row>
    <row r="35" spans="1:6" x14ac:dyDescent="0.2">
      <c r="A35" s="115">
        <v>9</v>
      </c>
      <c r="B35" s="116" t="s">
        <v>121</v>
      </c>
      <c r="C35" s="113">
        <v>28175261</v>
      </c>
      <c r="D35" s="113">
        <v>23806549</v>
      </c>
      <c r="E35" s="113">
        <f t="shared" si="2"/>
        <v>-4368712</v>
      </c>
      <c r="F35" s="114">
        <f t="shared" si="3"/>
        <v>-0.15505489017475296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828975422</v>
      </c>
      <c r="D38" s="119">
        <f>SUM(D27:D37)</f>
        <v>843357837</v>
      </c>
      <c r="E38" s="119">
        <f t="shared" si="2"/>
        <v>14382415</v>
      </c>
      <c r="F38" s="120">
        <f t="shared" si="3"/>
        <v>1.7349627767371853E-2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643771727</v>
      </c>
      <c r="D41" s="119">
        <f t="shared" si="4"/>
        <v>652134964</v>
      </c>
      <c r="E41" s="123">
        <f t="shared" ref="E41:E52" si="5">D41-C41</f>
        <v>8363237</v>
      </c>
      <c r="F41" s="124">
        <f t="shared" ref="F41:F52" si="6">IF(C41=0,0,E41/C41)</f>
        <v>1.2990997661504945E-2</v>
      </c>
    </row>
    <row r="42" spans="1:6" ht="15.75" x14ac:dyDescent="0.25">
      <c r="A42" s="121">
        <v>2</v>
      </c>
      <c r="B42" s="122" t="s">
        <v>114</v>
      </c>
      <c r="C42" s="119">
        <f t="shared" si="4"/>
        <v>207684129</v>
      </c>
      <c r="D42" s="119">
        <f t="shared" si="4"/>
        <v>247623897</v>
      </c>
      <c r="E42" s="123">
        <f t="shared" si="5"/>
        <v>39939768</v>
      </c>
      <c r="F42" s="124">
        <f t="shared" si="6"/>
        <v>0.19231015962707482</v>
      </c>
    </row>
    <row r="43" spans="1:6" ht="15.75" x14ac:dyDescent="0.25">
      <c r="A43" s="121">
        <v>3</v>
      </c>
      <c r="B43" s="122" t="s">
        <v>115</v>
      </c>
      <c r="C43" s="119">
        <f t="shared" si="4"/>
        <v>423973249</v>
      </c>
      <c r="D43" s="119">
        <f t="shared" si="4"/>
        <v>432890493</v>
      </c>
      <c r="E43" s="123">
        <f t="shared" si="5"/>
        <v>8917244</v>
      </c>
      <c r="F43" s="124">
        <f t="shared" si="6"/>
        <v>2.1032562835114156E-2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4620230</v>
      </c>
      <c r="D45" s="119">
        <f t="shared" si="4"/>
        <v>3841502</v>
      </c>
      <c r="E45" s="123">
        <f t="shared" si="5"/>
        <v>-778728</v>
      </c>
      <c r="F45" s="124">
        <f t="shared" si="6"/>
        <v>-0.16854745326531362</v>
      </c>
    </row>
    <row r="46" spans="1:6" ht="15.75" x14ac:dyDescent="0.25">
      <c r="A46" s="121">
        <v>6</v>
      </c>
      <c r="B46" s="122" t="s">
        <v>118</v>
      </c>
      <c r="C46" s="119">
        <f t="shared" si="4"/>
        <v>47234683</v>
      </c>
      <c r="D46" s="119">
        <f t="shared" si="4"/>
        <v>47819747</v>
      </c>
      <c r="E46" s="123">
        <f t="shared" si="5"/>
        <v>585064</v>
      </c>
      <c r="F46" s="124">
        <f t="shared" si="6"/>
        <v>1.2386322143836554E-2</v>
      </c>
    </row>
    <row r="47" spans="1:6" ht="15.75" x14ac:dyDescent="0.25">
      <c r="A47" s="121">
        <v>7</v>
      </c>
      <c r="B47" s="122" t="s">
        <v>119</v>
      </c>
      <c r="C47" s="119">
        <f t="shared" si="4"/>
        <v>557018983</v>
      </c>
      <c r="D47" s="119">
        <f t="shared" si="4"/>
        <v>558621454</v>
      </c>
      <c r="E47" s="123">
        <f t="shared" si="5"/>
        <v>1602471</v>
      </c>
      <c r="F47" s="124">
        <f t="shared" si="6"/>
        <v>2.876869638031708E-3</v>
      </c>
    </row>
    <row r="48" spans="1:6" ht="15.75" x14ac:dyDescent="0.25">
      <c r="A48" s="121">
        <v>8</v>
      </c>
      <c r="B48" s="122" t="s">
        <v>120</v>
      </c>
      <c r="C48" s="119">
        <f t="shared" si="4"/>
        <v>11912697</v>
      </c>
      <c r="D48" s="119">
        <f t="shared" si="4"/>
        <v>13193040</v>
      </c>
      <c r="E48" s="123">
        <f t="shared" si="5"/>
        <v>1280343</v>
      </c>
      <c r="F48" s="124">
        <f t="shared" si="6"/>
        <v>0.10747717330508784</v>
      </c>
    </row>
    <row r="49" spans="1:6" ht="15.75" x14ac:dyDescent="0.25">
      <c r="A49" s="121">
        <v>9</v>
      </c>
      <c r="B49" s="122" t="s">
        <v>121</v>
      </c>
      <c r="C49" s="119">
        <f t="shared" si="4"/>
        <v>34741398</v>
      </c>
      <c r="D49" s="119">
        <f t="shared" si="4"/>
        <v>32505477</v>
      </c>
      <c r="E49" s="123">
        <f t="shared" si="5"/>
        <v>-2235921</v>
      </c>
      <c r="F49" s="124">
        <f t="shared" si="6"/>
        <v>-6.4358981754274833E-2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1930957096</v>
      </c>
      <c r="D52" s="128">
        <f>SUM(D41:D51)</f>
        <v>1988630574</v>
      </c>
      <c r="E52" s="127">
        <f t="shared" si="5"/>
        <v>57673478</v>
      </c>
      <c r="F52" s="129">
        <f t="shared" si="6"/>
        <v>2.9867819497114294E-2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157224193</v>
      </c>
      <c r="D57" s="113">
        <v>156823914</v>
      </c>
      <c r="E57" s="113">
        <f t="shared" ref="E57:E68" si="7">D57-C57</f>
        <v>-400279</v>
      </c>
      <c r="F57" s="114">
        <f t="shared" ref="F57:F68" si="8">IF(C57=0,0,E57/C57)</f>
        <v>-2.5459122566461509E-3</v>
      </c>
    </row>
    <row r="58" spans="1:6" x14ac:dyDescent="0.2">
      <c r="A58" s="115">
        <v>2</v>
      </c>
      <c r="B58" s="116" t="s">
        <v>114</v>
      </c>
      <c r="C58" s="113">
        <v>46385603</v>
      </c>
      <c r="D58" s="113">
        <v>54684038</v>
      </c>
      <c r="E58" s="113">
        <f t="shared" si="7"/>
        <v>8298435</v>
      </c>
      <c r="F58" s="114">
        <f t="shared" si="8"/>
        <v>0.17890109135802332</v>
      </c>
    </row>
    <row r="59" spans="1:6" x14ac:dyDescent="0.2">
      <c r="A59" s="115">
        <v>3</v>
      </c>
      <c r="B59" s="116" t="s">
        <v>115</v>
      </c>
      <c r="C59" s="113">
        <v>52943114</v>
      </c>
      <c r="D59" s="113">
        <v>64775728</v>
      </c>
      <c r="E59" s="113">
        <f t="shared" si="7"/>
        <v>11832614</v>
      </c>
      <c r="F59" s="114">
        <f t="shared" si="8"/>
        <v>0.22349675162666102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756322</v>
      </c>
      <c r="D61" s="113">
        <v>114523</v>
      </c>
      <c r="E61" s="113">
        <f t="shared" si="7"/>
        <v>-641799</v>
      </c>
      <c r="F61" s="114">
        <f t="shared" si="8"/>
        <v>-0.84857904437527931</v>
      </c>
    </row>
    <row r="62" spans="1:6" x14ac:dyDescent="0.2">
      <c r="A62" s="115">
        <v>6</v>
      </c>
      <c r="B62" s="116" t="s">
        <v>118</v>
      </c>
      <c r="C62" s="113">
        <v>13734016</v>
      </c>
      <c r="D62" s="113">
        <v>5820811</v>
      </c>
      <c r="E62" s="113">
        <f t="shared" si="7"/>
        <v>-7913205</v>
      </c>
      <c r="F62" s="114">
        <f t="shared" si="8"/>
        <v>-0.57617560661062284</v>
      </c>
    </row>
    <row r="63" spans="1:6" x14ac:dyDescent="0.2">
      <c r="A63" s="115">
        <v>7</v>
      </c>
      <c r="B63" s="116" t="s">
        <v>119</v>
      </c>
      <c r="C63" s="113">
        <v>143301278</v>
      </c>
      <c r="D63" s="113">
        <v>141405768</v>
      </c>
      <c r="E63" s="113">
        <f t="shared" si="7"/>
        <v>-1895510</v>
      </c>
      <c r="F63" s="114">
        <f t="shared" si="8"/>
        <v>-1.3227446582856016E-2</v>
      </c>
    </row>
    <row r="64" spans="1:6" x14ac:dyDescent="0.2">
      <c r="A64" s="115">
        <v>8</v>
      </c>
      <c r="B64" s="116" t="s">
        <v>120</v>
      </c>
      <c r="C64" s="113">
        <v>3987443</v>
      </c>
      <c r="D64" s="113">
        <v>4212633</v>
      </c>
      <c r="E64" s="113">
        <f t="shared" si="7"/>
        <v>225190</v>
      </c>
      <c r="F64" s="114">
        <f t="shared" si="8"/>
        <v>5.6474788479735007E-2</v>
      </c>
    </row>
    <row r="65" spans="1:6" x14ac:dyDescent="0.2">
      <c r="A65" s="115">
        <v>9</v>
      </c>
      <c r="B65" s="116" t="s">
        <v>121</v>
      </c>
      <c r="C65" s="113">
        <v>272142</v>
      </c>
      <c r="D65" s="113">
        <v>202548</v>
      </c>
      <c r="E65" s="113">
        <f t="shared" si="7"/>
        <v>-69594</v>
      </c>
      <c r="F65" s="114">
        <f t="shared" si="8"/>
        <v>-0.25572678969067619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418604111</v>
      </c>
      <c r="D68" s="119">
        <f>SUM(D57:D67)</f>
        <v>428039963</v>
      </c>
      <c r="E68" s="119">
        <f t="shared" si="7"/>
        <v>9435852</v>
      </c>
      <c r="F68" s="120">
        <f t="shared" si="8"/>
        <v>2.2541231086954137E-2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39826236</v>
      </c>
      <c r="D70" s="113">
        <v>44106799</v>
      </c>
      <c r="E70" s="113">
        <f t="shared" ref="E70:E81" si="9">D70-C70</f>
        <v>4280563</v>
      </c>
      <c r="F70" s="114">
        <f t="shared" ref="F70:F81" si="10">IF(C70=0,0,E70/C70)</f>
        <v>0.1074809831388535</v>
      </c>
    </row>
    <row r="71" spans="1:6" x14ac:dyDescent="0.2">
      <c r="A71" s="115">
        <v>2</v>
      </c>
      <c r="B71" s="116" t="s">
        <v>114</v>
      </c>
      <c r="C71" s="113">
        <v>16838930</v>
      </c>
      <c r="D71" s="113">
        <v>19901114</v>
      </c>
      <c r="E71" s="113">
        <f t="shared" si="9"/>
        <v>3062184</v>
      </c>
      <c r="F71" s="114">
        <f t="shared" si="10"/>
        <v>0.18185145968300837</v>
      </c>
    </row>
    <row r="72" spans="1:6" x14ac:dyDescent="0.2">
      <c r="A72" s="115">
        <v>3</v>
      </c>
      <c r="B72" s="116" t="s">
        <v>115</v>
      </c>
      <c r="C72" s="113">
        <v>40967256</v>
      </c>
      <c r="D72" s="113">
        <v>36712862</v>
      </c>
      <c r="E72" s="113">
        <f t="shared" si="9"/>
        <v>-4254394</v>
      </c>
      <c r="F72" s="114">
        <f t="shared" si="10"/>
        <v>-0.10384864439053472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338433</v>
      </c>
      <c r="D74" s="113">
        <v>214829</v>
      </c>
      <c r="E74" s="113">
        <f t="shared" si="9"/>
        <v>-123604</v>
      </c>
      <c r="F74" s="114">
        <f t="shared" si="10"/>
        <v>-0.36522443142364958</v>
      </c>
    </row>
    <row r="75" spans="1:6" x14ac:dyDescent="0.2">
      <c r="A75" s="115">
        <v>6</v>
      </c>
      <c r="B75" s="116" t="s">
        <v>118</v>
      </c>
      <c r="C75" s="113">
        <v>15030074</v>
      </c>
      <c r="D75" s="113">
        <v>12479891</v>
      </c>
      <c r="E75" s="113">
        <f t="shared" si="9"/>
        <v>-2550183</v>
      </c>
      <c r="F75" s="114">
        <f t="shared" si="10"/>
        <v>-0.16967201891354627</v>
      </c>
    </row>
    <row r="76" spans="1:6" x14ac:dyDescent="0.2">
      <c r="A76" s="115">
        <v>7</v>
      </c>
      <c r="B76" s="116" t="s">
        <v>119</v>
      </c>
      <c r="C76" s="113">
        <v>120714206</v>
      </c>
      <c r="D76" s="113">
        <v>117580128</v>
      </c>
      <c r="E76" s="113">
        <f t="shared" si="9"/>
        <v>-3134078</v>
      </c>
      <c r="F76" s="114">
        <f t="shared" si="10"/>
        <v>-2.5962793476022202E-2</v>
      </c>
    </row>
    <row r="77" spans="1:6" x14ac:dyDescent="0.2">
      <c r="A77" s="115">
        <v>8</v>
      </c>
      <c r="B77" s="116" t="s">
        <v>120</v>
      </c>
      <c r="C77" s="113">
        <v>5171508</v>
      </c>
      <c r="D77" s="113">
        <v>5471683</v>
      </c>
      <c r="E77" s="113">
        <f t="shared" si="9"/>
        <v>300175</v>
      </c>
      <c r="F77" s="114">
        <f t="shared" si="10"/>
        <v>5.8043997998262792E-2</v>
      </c>
    </row>
    <row r="78" spans="1:6" x14ac:dyDescent="0.2">
      <c r="A78" s="115">
        <v>9</v>
      </c>
      <c r="B78" s="116" t="s">
        <v>121</v>
      </c>
      <c r="C78" s="113">
        <v>670219</v>
      </c>
      <c r="D78" s="113">
        <v>533376</v>
      </c>
      <c r="E78" s="113">
        <f t="shared" si="9"/>
        <v>-136843</v>
      </c>
      <c r="F78" s="114">
        <f t="shared" si="10"/>
        <v>-0.20417654527848361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239556862</v>
      </c>
      <c r="D81" s="119">
        <f>SUM(D70:D80)</f>
        <v>237000682</v>
      </c>
      <c r="E81" s="119">
        <f t="shared" si="9"/>
        <v>-2556180</v>
      </c>
      <c r="F81" s="120">
        <f t="shared" si="10"/>
        <v>-1.0670452011514495E-2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197050429</v>
      </c>
      <c r="D84" s="119">
        <f t="shared" si="11"/>
        <v>200930713</v>
      </c>
      <c r="E84" s="119">
        <f t="shared" ref="E84:E95" si="12">D84-C84</f>
        <v>3880284</v>
      </c>
      <c r="F84" s="120">
        <f t="shared" ref="F84:F95" si="13">IF(C84=0,0,E84/C84)</f>
        <v>1.969183228725678E-2</v>
      </c>
    </row>
    <row r="85" spans="1:6" ht="15.75" x14ac:dyDescent="0.25">
      <c r="A85" s="130">
        <v>2</v>
      </c>
      <c r="B85" s="122" t="s">
        <v>114</v>
      </c>
      <c r="C85" s="119">
        <f t="shared" si="11"/>
        <v>63224533</v>
      </c>
      <c r="D85" s="119">
        <f t="shared" si="11"/>
        <v>74585152</v>
      </c>
      <c r="E85" s="119">
        <f t="shared" si="12"/>
        <v>11360619</v>
      </c>
      <c r="F85" s="120">
        <f t="shared" si="13"/>
        <v>0.17968687882597725</v>
      </c>
    </row>
    <row r="86" spans="1:6" ht="15.75" x14ac:dyDescent="0.25">
      <c r="A86" s="130">
        <v>3</v>
      </c>
      <c r="B86" s="122" t="s">
        <v>115</v>
      </c>
      <c r="C86" s="119">
        <f t="shared" si="11"/>
        <v>93910370</v>
      </c>
      <c r="D86" s="119">
        <f t="shared" si="11"/>
        <v>101488590</v>
      </c>
      <c r="E86" s="119">
        <f t="shared" si="12"/>
        <v>7578220</v>
      </c>
      <c r="F86" s="120">
        <f t="shared" si="13"/>
        <v>8.0696306488836106E-2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1094755</v>
      </c>
      <c r="D88" s="119">
        <f t="shared" si="11"/>
        <v>329352</v>
      </c>
      <c r="E88" s="119">
        <f t="shared" si="12"/>
        <v>-765403</v>
      </c>
      <c r="F88" s="120">
        <f t="shared" si="13"/>
        <v>-0.69915460536832441</v>
      </c>
    </row>
    <row r="89" spans="1:6" ht="15.75" x14ac:dyDescent="0.25">
      <c r="A89" s="130">
        <v>6</v>
      </c>
      <c r="B89" s="122" t="s">
        <v>118</v>
      </c>
      <c r="C89" s="119">
        <f t="shared" si="11"/>
        <v>28764090</v>
      </c>
      <c r="D89" s="119">
        <f t="shared" si="11"/>
        <v>18300702</v>
      </c>
      <c r="E89" s="119">
        <f t="shared" si="12"/>
        <v>-10463388</v>
      </c>
      <c r="F89" s="120">
        <f t="shared" si="13"/>
        <v>-0.36376565363270663</v>
      </c>
    </row>
    <row r="90" spans="1:6" ht="15.75" x14ac:dyDescent="0.25">
      <c r="A90" s="130">
        <v>7</v>
      </c>
      <c r="B90" s="122" t="s">
        <v>119</v>
      </c>
      <c r="C90" s="119">
        <f t="shared" si="11"/>
        <v>264015484</v>
      </c>
      <c r="D90" s="119">
        <f t="shared" si="11"/>
        <v>258985896</v>
      </c>
      <c r="E90" s="119">
        <f t="shared" si="12"/>
        <v>-5029588</v>
      </c>
      <c r="F90" s="120">
        <f t="shared" si="13"/>
        <v>-1.9050352364939321E-2</v>
      </c>
    </row>
    <row r="91" spans="1:6" ht="15.75" x14ac:dyDescent="0.25">
      <c r="A91" s="130">
        <v>8</v>
      </c>
      <c r="B91" s="122" t="s">
        <v>120</v>
      </c>
      <c r="C91" s="119">
        <f t="shared" si="11"/>
        <v>9158951</v>
      </c>
      <c r="D91" s="119">
        <f t="shared" si="11"/>
        <v>9684316</v>
      </c>
      <c r="E91" s="119">
        <f t="shared" si="12"/>
        <v>525365</v>
      </c>
      <c r="F91" s="120">
        <f t="shared" si="13"/>
        <v>5.7360826583743051E-2</v>
      </c>
    </row>
    <row r="92" spans="1:6" ht="15.75" x14ac:dyDescent="0.25">
      <c r="A92" s="130">
        <v>9</v>
      </c>
      <c r="B92" s="122" t="s">
        <v>121</v>
      </c>
      <c r="C92" s="119">
        <f t="shared" si="11"/>
        <v>942361</v>
      </c>
      <c r="D92" s="119">
        <f t="shared" si="11"/>
        <v>735924</v>
      </c>
      <c r="E92" s="119">
        <f t="shared" si="12"/>
        <v>-206437</v>
      </c>
      <c r="F92" s="120">
        <f t="shared" si="13"/>
        <v>-0.21906360725878937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658160973</v>
      </c>
      <c r="D95" s="128">
        <f>SUM(D84:D94)</f>
        <v>665040645</v>
      </c>
      <c r="E95" s="128">
        <f t="shared" si="12"/>
        <v>6879672</v>
      </c>
      <c r="F95" s="129">
        <f t="shared" si="13"/>
        <v>1.0452871382879762E-2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11080</v>
      </c>
      <c r="D100" s="133">
        <v>10298</v>
      </c>
      <c r="E100" s="133">
        <f t="shared" ref="E100:E111" si="14">D100-C100</f>
        <v>-782</v>
      </c>
      <c r="F100" s="114">
        <f t="shared" ref="F100:F111" si="15">IF(C100=0,0,E100/C100)</f>
        <v>-7.0577617328519859E-2</v>
      </c>
    </row>
    <row r="101" spans="1:6" x14ac:dyDescent="0.2">
      <c r="A101" s="115">
        <v>2</v>
      </c>
      <c r="B101" s="116" t="s">
        <v>114</v>
      </c>
      <c r="C101" s="133">
        <v>3191</v>
      </c>
      <c r="D101" s="133">
        <v>3446</v>
      </c>
      <c r="E101" s="133">
        <f t="shared" si="14"/>
        <v>255</v>
      </c>
      <c r="F101" s="114">
        <f t="shared" si="15"/>
        <v>7.9912253212159196E-2</v>
      </c>
    </row>
    <row r="102" spans="1:6" x14ac:dyDescent="0.2">
      <c r="A102" s="115">
        <v>3</v>
      </c>
      <c r="B102" s="116" t="s">
        <v>115</v>
      </c>
      <c r="C102" s="133">
        <v>7857</v>
      </c>
      <c r="D102" s="133">
        <v>7876</v>
      </c>
      <c r="E102" s="133">
        <f t="shared" si="14"/>
        <v>19</v>
      </c>
      <c r="F102" s="114">
        <f t="shared" si="15"/>
        <v>2.4182257859233806E-3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79</v>
      </c>
      <c r="D104" s="133">
        <v>88</v>
      </c>
      <c r="E104" s="133">
        <f t="shared" si="14"/>
        <v>9</v>
      </c>
      <c r="F104" s="114">
        <f t="shared" si="15"/>
        <v>0.11392405063291139</v>
      </c>
    </row>
    <row r="105" spans="1:6" x14ac:dyDescent="0.2">
      <c r="A105" s="115">
        <v>6</v>
      </c>
      <c r="B105" s="116" t="s">
        <v>118</v>
      </c>
      <c r="C105" s="133">
        <v>745</v>
      </c>
      <c r="D105" s="133">
        <v>583</v>
      </c>
      <c r="E105" s="133">
        <f t="shared" si="14"/>
        <v>-162</v>
      </c>
      <c r="F105" s="114">
        <f t="shared" si="15"/>
        <v>-0.2174496644295302</v>
      </c>
    </row>
    <row r="106" spans="1:6" x14ac:dyDescent="0.2">
      <c r="A106" s="115">
        <v>7</v>
      </c>
      <c r="B106" s="116" t="s">
        <v>119</v>
      </c>
      <c r="C106" s="133">
        <v>8988</v>
      </c>
      <c r="D106" s="133">
        <v>8498</v>
      </c>
      <c r="E106" s="133">
        <f t="shared" si="14"/>
        <v>-490</v>
      </c>
      <c r="F106" s="114">
        <f t="shared" si="15"/>
        <v>-5.4517133956386292E-2</v>
      </c>
    </row>
    <row r="107" spans="1:6" x14ac:dyDescent="0.2">
      <c r="A107" s="115">
        <v>8</v>
      </c>
      <c r="B107" s="116" t="s">
        <v>120</v>
      </c>
      <c r="C107" s="133">
        <v>145</v>
      </c>
      <c r="D107" s="133">
        <v>126</v>
      </c>
      <c r="E107" s="133">
        <f t="shared" si="14"/>
        <v>-19</v>
      </c>
      <c r="F107" s="114">
        <f t="shared" si="15"/>
        <v>-0.1310344827586207</v>
      </c>
    </row>
    <row r="108" spans="1:6" x14ac:dyDescent="0.2">
      <c r="A108" s="115">
        <v>9</v>
      </c>
      <c r="B108" s="116" t="s">
        <v>121</v>
      </c>
      <c r="C108" s="133">
        <v>281</v>
      </c>
      <c r="D108" s="133">
        <v>319</v>
      </c>
      <c r="E108" s="133">
        <f t="shared" si="14"/>
        <v>38</v>
      </c>
      <c r="F108" s="114">
        <f t="shared" si="15"/>
        <v>0.13523131672597866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32366</v>
      </c>
      <c r="D111" s="134">
        <f>SUM(D100:D110)</f>
        <v>31234</v>
      </c>
      <c r="E111" s="134">
        <f t="shared" si="14"/>
        <v>-1132</v>
      </c>
      <c r="F111" s="120">
        <f t="shared" si="15"/>
        <v>-3.4974973737873075E-2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60748</v>
      </c>
      <c r="D113" s="133">
        <v>56534</v>
      </c>
      <c r="E113" s="133">
        <f t="shared" ref="E113:E124" si="16">D113-C113</f>
        <v>-4214</v>
      </c>
      <c r="F113" s="114">
        <f t="shared" ref="F113:F124" si="17">IF(C113=0,0,E113/C113)</f>
        <v>-6.9368538881938502E-2</v>
      </c>
    </row>
    <row r="114" spans="1:6" x14ac:dyDescent="0.2">
      <c r="A114" s="115">
        <v>2</v>
      </c>
      <c r="B114" s="116" t="s">
        <v>114</v>
      </c>
      <c r="C114" s="133">
        <v>17454</v>
      </c>
      <c r="D114" s="133">
        <v>19462</v>
      </c>
      <c r="E114" s="133">
        <f t="shared" si="16"/>
        <v>2008</v>
      </c>
      <c r="F114" s="114">
        <f t="shared" si="17"/>
        <v>0.11504526183109889</v>
      </c>
    </row>
    <row r="115" spans="1:6" x14ac:dyDescent="0.2">
      <c r="A115" s="115">
        <v>3</v>
      </c>
      <c r="B115" s="116" t="s">
        <v>115</v>
      </c>
      <c r="C115" s="133">
        <v>40108</v>
      </c>
      <c r="D115" s="133">
        <v>38518</v>
      </c>
      <c r="E115" s="133">
        <f t="shared" si="16"/>
        <v>-1590</v>
      </c>
      <c r="F115" s="114">
        <f t="shared" si="17"/>
        <v>-3.9642963997207542E-2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323</v>
      </c>
      <c r="D117" s="133">
        <v>374</v>
      </c>
      <c r="E117" s="133">
        <f t="shared" si="16"/>
        <v>51</v>
      </c>
      <c r="F117" s="114">
        <f t="shared" si="17"/>
        <v>0.15789473684210525</v>
      </c>
    </row>
    <row r="118" spans="1:6" x14ac:dyDescent="0.2">
      <c r="A118" s="115">
        <v>6</v>
      </c>
      <c r="B118" s="116" t="s">
        <v>118</v>
      </c>
      <c r="C118" s="133">
        <v>2936</v>
      </c>
      <c r="D118" s="133">
        <v>2406</v>
      </c>
      <c r="E118" s="133">
        <f t="shared" si="16"/>
        <v>-530</v>
      </c>
      <c r="F118" s="114">
        <f t="shared" si="17"/>
        <v>-0.18051771117166213</v>
      </c>
    </row>
    <row r="119" spans="1:6" x14ac:dyDescent="0.2">
      <c r="A119" s="115">
        <v>7</v>
      </c>
      <c r="B119" s="116" t="s">
        <v>119</v>
      </c>
      <c r="C119" s="133">
        <v>36400</v>
      </c>
      <c r="D119" s="133">
        <v>33137</v>
      </c>
      <c r="E119" s="133">
        <f t="shared" si="16"/>
        <v>-3263</v>
      </c>
      <c r="F119" s="114">
        <f t="shared" si="17"/>
        <v>-8.9642857142857149E-2</v>
      </c>
    </row>
    <row r="120" spans="1:6" x14ac:dyDescent="0.2">
      <c r="A120" s="115">
        <v>8</v>
      </c>
      <c r="B120" s="116" t="s">
        <v>120</v>
      </c>
      <c r="C120" s="133">
        <v>475</v>
      </c>
      <c r="D120" s="133">
        <v>367</v>
      </c>
      <c r="E120" s="133">
        <f t="shared" si="16"/>
        <v>-108</v>
      </c>
      <c r="F120" s="114">
        <f t="shared" si="17"/>
        <v>-0.22736842105263158</v>
      </c>
    </row>
    <row r="121" spans="1:6" x14ac:dyDescent="0.2">
      <c r="A121" s="115">
        <v>9</v>
      </c>
      <c r="B121" s="116" t="s">
        <v>121</v>
      </c>
      <c r="C121" s="133">
        <v>931</v>
      </c>
      <c r="D121" s="133">
        <v>1069</v>
      </c>
      <c r="E121" s="133">
        <f t="shared" si="16"/>
        <v>138</v>
      </c>
      <c r="F121" s="114">
        <f t="shared" si="17"/>
        <v>0.14822771213748656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159375</v>
      </c>
      <c r="D124" s="134">
        <f>SUM(D113:D123)</f>
        <v>151867</v>
      </c>
      <c r="E124" s="134">
        <f t="shared" si="16"/>
        <v>-7508</v>
      </c>
      <c r="F124" s="120">
        <f t="shared" si="17"/>
        <v>-4.7109019607843139E-2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51510</v>
      </c>
      <c r="D126" s="133">
        <v>48968</v>
      </c>
      <c r="E126" s="133">
        <f t="shared" ref="E126:E137" si="18">D126-C126</f>
        <v>-2542</v>
      </c>
      <c r="F126" s="114">
        <f t="shared" ref="F126:F137" si="19">IF(C126=0,0,E126/C126)</f>
        <v>-4.9349640846437587E-2</v>
      </c>
    </row>
    <row r="127" spans="1:6" x14ac:dyDescent="0.2">
      <c r="A127" s="115">
        <v>2</v>
      </c>
      <c r="B127" s="116" t="s">
        <v>114</v>
      </c>
      <c r="C127" s="133">
        <v>20620</v>
      </c>
      <c r="D127" s="133">
        <v>21791</v>
      </c>
      <c r="E127" s="133">
        <f t="shared" si="18"/>
        <v>1171</v>
      </c>
      <c r="F127" s="114">
        <f t="shared" si="19"/>
        <v>5.6789524733268669E-2</v>
      </c>
    </row>
    <row r="128" spans="1:6" x14ac:dyDescent="0.2">
      <c r="A128" s="115">
        <v>3</v>
      </c>
      <c r="B128" s="116" t="s">
        <v>115</v>
      </c>
      <c r="C128" s="133">
        <v>99051</v>
      </c>
      <c r="D128" s="133">
        <v>96637</v>
      </c>
      <c r="E128" s="133">
        <f t="shared" si="18"/>
        <v>-2414</v>
      </c>
      <c r="F128" s="114">
        <f t="shared" si="19"/>
        <v>-2.4371283480227358E-2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868</v>
      </c>
      <c r="D130" s="133">
        <v>769</v>
      </c>
      <c r="E130" s="133">
        <f t="shared" si="18"/>
        <v>-99</v>
      </c>
      <c r="F130" s="114">
        <f t="shared" si="19"/>
        <v>-0.11405529953917051</v>
      </c>
    </row>
    <row r="131" spans="1:6" x14ac:dyDescent="0.2">
      <c r="A131" s="115">
        <v>6</v>
      </c>
      <c r="B131" s="116" t="s">
        <v>118</v>
      </c>
      <c r="C131" s="133">
        <v>8944</v>
      </c>
      <c r="D131" s="133">
        <v>8402</v>
      </c>
      <c r="E131" s="133">
        <f t="shared" si="18"/>
        <v>-542</v>
      </c>
      <c r="F131" s="114">
        <f t="shared" si="19"/>
        <v>-6.059928443649374E-2</v>
      </c>
    </row>
    <row r="132" spans="1:6" x14ac:dyDescent="0.2">
      <c r="A132" s="115">
        <v>7</v>
      </c>
      <c r="B132" s="116" t="s">
        <v>119</v>
      </c>
      <c r="C132" s="133">
        <v>86151</v>
      </c>
      <c r="D132" s="133">
        <v>77572</v>
      </c>
      <c r="E132" s="133">
        <f t="shared" si="18"/>
        <v>-8579</v>
      </c>
      <c r="F132" s="114">
        <f t="shared" si="19"/>
        <v>-9.9580968299845626E-2</v>
      </c>
    </row>
    <row r="133" spans="1:6" x14ac:dyDescent="0.2">
      <c r="A133" s="115">
        <v>8</v>
      </c>
      <c r="B133" s="116" t="s">
        <v>120</v>
      </c>
      <c r="C133" s="133">
        <v>2091</v>
      </c>
      <c r="D133" s="133">
        <v>2165</v>
      </c>
      <c r="E133" s="133">
        <f t="shared" si="18"/>
        <v>74</v>
      </c>
      <c r="F133" s="114">
        <f t="shared" si="19"/>
        <v>3.5389765662362509E-2</v>
      </c>
    </row>
    <row r="134" spans="1:6" x14ac:dyDescent="0.2">
      <c r="A134" s="115">
        <v>9</v>
      </c>
      <c r="B134" s="116" t="s">
        <v>121</v>
      </c>
      <c r="C134" s="133">
        <v>15986</v>
      </c>
      <c r="D134" s="133">
        <v>11721</v>
      </c>
      <c r="E134" s="133">
        <f t="shared" si="18"/>
        <v>-4265</v>
      </c>
      <c r="F134" s="114">
        <f t="shared" si="19"/>
        <v>-0.26679594645314653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285221</v>
      </c>
      <c r="D137" s="134">
        <f>SUM(D126:D136)</f>
        <v>268025</v>
      </c>
      <c r="E137" s="134">
        <f t="shared" si="18"/>
        <v>-17196</v>
      </c>
      <c r="F137" s="120">
        <f t="shared" si="19"/>
        <v>-6.0290090841838437E-2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43329480</v>
      </c>
      <c r="D142" s="113">
        <v>46938021</v>
      </c>
      <c r="E142" s="113">
        <f t="shared" ref="E142:E153" si="20">D142-C142</f>
        <v>3608541</v>
      </c>
      <c r="F142" s="114">
        <f t="shared" ref="F142:F153" si="21">IF(C142=0,0,E142/C142)</f>
        <v>8.3281428717815215E-2</v>
      </c>
    </row>
    <row r="143" spans="1:6" x14ac:dyDescent="0.2">
      <c r="A143" s="115">
        <v>2</v>
      </c>
      <c r="B143" s="116" t="s">
        <v>114</v>
      </c>
      <c r="C143" s="113">
        <v>17953378</v>
      </c>
      <c r="D143" s="113">
        <v>22100424</v>
      </c>
      <c r="E143" s="113">
        <f t="shared" si="20"/>
        <v>4147046</v>
      </c>
      <c r="F143" s="114">
        <f t="shared" si="21"/>
        <v>0.23098973351978663</v>
      </c>
    </row>
    <row r="144" spans="1:6" x14ac:dyDescent="0.2">
      <c r="A144" s="115">
        <v>3</v>
      </c>
      <c r="B144" s="116" t="s">
        <v>115</v>
      </c>
      <c r="C144" s="113">
        <v>110474453</v>
      </c>
      <c r="D144" s="113">
        <v>110467489</v>
      </c>
      <c r="E144" s="113">
        <f t="shared" si="20"/>
        <v>-6964</v>
      </c>
      <c r="F144" s="114">
        <f t="shared" si="21"/>
        <v>-6.3037198292350896E-5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650350</v>
      </c>
      <c r="D146" s="113">
        <v>516295</v>
      </c>
      <c r="E146" s="113">
        <f t="shared" si="20"/>
        <v>-134055</v>
      </c>
      <c r="F146" s="114">
        <f t="shared" si="21"/>
        <v>-0.20612746982394095</v>
      </c>
    </row>
    <row r="147" spans="1:6" x14ac:dyDescent="0.2">
      <c r="A147" s="115">
        <v>6</v>
      </c>
      <c r="B147" s="116" t="s">
        <v>118</v>
      </c>
      <c r="C147" s="113">
        <v>7380824</v>
      </c>
      <c r="D147" s="113">
        <v>8764032</v>
      </c>
      <c r="E147" s="113">
        <f t="shared" si="20"/>
        <v>1383208</v>
      </c>
      <c r="F147" s="114">
        <f t="shared" si="21"/>
        <v>0.18740563384250863</v>
      </c>
    </row>
    <row r="148" spans="1:6" x14ac:dyDescent="0.2">
      <c r="A148" s="115">
        <v>7</v>
      </c>
      <c r="B148" s="116" t="s">
        <v>119</v>
      </c>
      <c r="C148" s="113">
        <v>58230632</v>
      </c>
      <c r="D148" s="113">
        <v>57151734</v>
      </c>
      <c r="E148" s="113">
        <f t="shared" si="20"/>
        <v>-1078898</v>
      </c>
      <c r="F148" s="114">
        <f t="shared" si="21"/>
        <v>-1.8528014602348812E-2</v>
      </c>
    </row>
    <row r="149" spans="1:6" x14ac:dyDescent="0.2">
      <c r="A149" s="115">
        <v>8</v>
      </c>
      <c r="B149" s="116" t="s">
        <v>120</v>
      </c>
      <c r="C149" s="113">
        <v>3348976</v>
      </c>
      <c r="D149" s="113">
        <v>3757848</v>
      </c>
      <c r="E149" s="113">
        <f t="shared" si="20"/>
        <v>408872</v>
      </c>
      <c r="F149" s="114">
        <f t="shared" si="21"/>
        <v>0.12208866232543918</v>
      </c>
    </row>
    <row r="150" spans="1:6" x14ac:dyDescent="0.2">
      <c r="A150" s="115">
        <v>9</v>
      </c>
      <c r="B150" s="116" t="s">
        <v>121</v>
      </c>
      <c r="C150" s="113">
        <v>18960476</v>
      </c>
      <c r="D150" s="113">
        <v>14501254</v>
      </c>
      <c r="E150" s="113">
        <f t="shared" si="20"/>
        <v>-4459222</v>
      </c>
      <c r="F150" s="114">
        <f t="shared" si="21"/>
        <v>-0.23518512931848334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260328569</v>
      </c>
      <c r="D153" s="119">
        <f>SUM(D142:D152)</f>
        <v>264197097</v>
      </c>
      <c r="E153" s="119">
        <f t="shared" si="20"/>
        <v>3868528</v>
      </c>
      <c r="F153" s="120">
        <f t="shared" si="21"/>
        <v>1.4860174643375388E-2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6179113</v>
      </c>
      <c r="D155" s="113">
        <v>7248511</v>
      </c>
      <c r="E155" s="113">
        <f t="shared" ref="E155:E166" si="22">D155-C155</f>
        <v>1069398</v>
      </c>
      <c r="F155" s="114">
        <f t="shared" ref="F155:F166" si="23">IF(C155=0,0,E155/C155)</f>
        <v>0.17306658738883721</v>
      </c>
    </row>
    <row r="156" spans="1:6" x14ac:dyDescent="0.2">
      <c r="A156" s="115">
        <v>2</v>
      </c>
      <c r="B156" s="116" t="s">
        <v>114</v>
      </c>
      <c r="C156" s="113">
        <v>2786352</v>
      </c>
      <c r="D156" s="113">
        <v>3406371</v>
      </c>
      <c r="E156" s="113">
        <f t="shared" si="22"/>
        <v>620019</v>
      </c>
      <c r="F156" s="114">
        <f t="shared" si="23"/>
        <v>0.2225199831177109</v>
      </c>
    </row>
    <row r="157" spans="1:6" x14ac:dyDescent="0.2">
      <c r="A157" s="115">
        <v>3</v>
      </c>
      <c r="B157" s="116" t="s">
        <v>115</v>
      </c>
      <c r="C157" s="113">
        <v>12037769</v>
      </c>
      <c r="D157" s="113">
        <v>11900639</v>
      </c>
      <c r="E157" s="113">
        <f t="shared" si="22"/>
        <v>-137130</v>
      </c>
      <c r="F157" s="114">
        <f t="shared" si="23"/>
        <v>-1.1391645744323553E-2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106927</v>
      </c>
      <c r="D159" s="113">
        <v>80577</v>
      </c>
      <c r="E159" s="113">
        <f t="shared" si="22"/>
        <v>-26350</v>
      </c>
      <c r="F159" s="114">
        <f t="shared" si="23"/>
        <v>-0.24642980725167637</v>
      </c>
    </row>
    <row r="160" spans="1:6" x14ac:dyDescent="0.2">
      <c r="A160" s="115">
        <v>6</v>
      </c>
      <c r="B160" s="116" t="s">
        <v>118</v>
      </c>
      <c r="C160" s="113">
        <v>3229156</v>
      </c>
      <c r="D160" s="113">
        <v>3610778</v>
      </c>
      <c r="E160" s="113">
        <f t="shared" si="22"/>
        <v>381622</v>
      </c>
      <c r="F160" s="114">
        <f t="shared" si="23"/>
        <v>0.11818010650460987</v>
      </c>
    </row>
    <row r="161" spans="1:6" x14ac:dyDescent="0.2">
      <c r="A161" s="115">
        <v>7</v>
      </c>
      <c r="B161" s="116" t="s">
        <v>119</v>
      </c>
      <c r="C161" s="113">
        <v>23910928</v>
      </c>
      <c r="D161" s="113">
        <v>25007460</v>
      </c>
      <c r="E161" s="113">
        <f t="shared" si="22"/>
        <v>1096532</v>
      </c>
      <c r="F161" s="114">
        <f t="shared" si="23"/>
        <v>4.5859031485519924E-2</v>
      </c>
    </row>
    <row r="162" spans="1:6" x14ac:dyDescent="0.2">
      <c r="A162" s="115">
        <v>8</v>
      </c>
      <c r="B162" s="116" t="s">
        <v>120</v>
      </c>
      <c r="C162" s="113">
        <v>2137002</v>
      </c>
      <c r="D162" s="113">
        <v>2419408</v>
      </c>
      <c r="E162" s="113">
        <f t="shared" si="22"/>
        <v>282406</v>
      </c>
      <c r="F162" s="114">
        <f t="shared" si="23"/>
        <v>0.1321505548427189</v>
      </c>
    </row>
    <row r="163" spans="1:6" x14ac:dyDescent="0.2">
      <c r="A163" s="115">
        <v>9</v>
      </c>
      <c r="B163" s="116" t="s">
        <v>121</v>
      </c>
      <c r="C163" s="113">
        <v>241593</v>
      </c>
      <c r="D163" s="113">
        <v>180360</v>
      </c>
      <c r="E163" s="113">
        <f t="shared" si="22"/>
        <v>-61233</v>
      </c>
      <c r="F163" s="114">
        <f t="shared" si="23"/>
        <v>-0.25345519116861831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50628840</v>
      </c>
      <c r="D166" s="119">
        <f>SUM(D155:D165)</f>
        <v>53854104</v>
      </c>
      <c r="E166" s="119">
        <f t="shared" si="22"/>
        <v>3225264</v>
      </c>
      <c r="F166" s="120">
        <f t="shared" si="23"/>
        <v>6.3704086445591085E-2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8864</v>
      </c>
      <c r="D168" s="133">
        <v>9358</v>
      </c>
      <c r="E168" s="133">
        <f t="shared" ref="E168:E179" si="24">D168-C168</f>
        <v>494</v>
      </c>
      <c r="F168" s="114">
        <f t="shared" ref="F168:F179" si="25">IF(C168=0,0,E168/C168)</f>
        <v>5.5731046931407943E-2</v>
      </c>
    </row>
    <row r="169" spans="1:6" x14ac:dyDescent="0.2">
      <c r="A169" s="115">
        <v>2</v>
      </c>
      <c r="B169" s="116" t="s">
        <v>114</v>
      </c>
      <c r="C169" s="133">
        <v>3419</v>
      </c>
      <c r="D169" s="133">
        <v>3938</v>
      </c>
      <c r="E169" s="133">
        <f t="shared" si="24"/>
        <v>519</v>
      </c>
      <c r="F169" s="114">
        <f t="shared" si="25"/>
        <v>0.15179877157063468</v>
      </c>
    </row>
    <row r="170" spans="1:6" x14ac:dyDescent="0.2">
      <c r="A170" s="115">
        <v>3</v>
      </c>
      <c r="B170" s="116" t="s">
        <v>115</v>
      </c>
      <c r="C170" s="133">
        <v>29375</v>
      </c>
      <c r="D170" s="133">
        <v>31977</v>
      </c>
      <c r="E170" s="133">
        <f t="shared" si="24"/>
        <v>2602</v>
      </c>
      <c r="F170" s="114">
        <f t="shared" si="25"/>
        <v>8.8578723404255322E-2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152</v>
      </c>
      <c r="D172" s="133">
        <v>140</v>
      </c>
      <c r="E172" s="133">
        <f t="shared" si="24"/>
        <v>-12</v>
      </c>
      <c r="F172" s="114">
        <f t="shared" si="25"/>
        <v>-7.8947368421052627E-2</v>
      </c>
    </row>
    <row r="173" spans="1:6" x14ac:dyDescent="0.2">
      <c r="A173" s="115">
        <v>6</v>
      </c>
      <c r="B173" s="116" t="s">
        <v>118</v>
      </c>
      <c r="C173" s="133">
        <v>1622</v>
      </c>
      <c r="D173" s="133">
        <v>2006</v>
      </c>
      <c r="E173" s="133">
        <f t="shared" si="24"/>
        <v>384</v>
      </c>
      <c r="F173" s="114">
        <f t="shared" si="25"/>
        <v>0.23674475955610358</v>
      </c>
    </row>
    <row r="174" spans="1:6" x14ac:dyDescent="0.2">
      <c r="A174" s="115">
        <v>7</v>
      </c>
      <c r="B174" s="116" t="s">
        <v>119</v>
      </c>
      <c r="C174" s="133">
        <v>12629</v>
      </c>
      <c r="D174" s="133">
        <v>12186</v>
      </c>
      <c r="E174" s="133">
        <f t="shared" si="24"/>
        <v>-443</v>
      </c>
      <c r="F174" s="114">
        <f t="shared" si="25"/>
        <v>-3.5077995090664345E-2</v>
      </c>
    </row>
    <row r="175" spans="1:6" x14ac:dyDescent="0.2">
      <c r="A175" s="115">
        <v>8</v>
      </c>
      <c r="B175" s="116" t="s">
        <v>120</v>
      </c>
      <c r="C175" s="133">
        <v>1254</v>
      </c>
      <c r="D175" s="133">
        <v>1330</v>
      </c>
      <c r="E175" s="133">
        <f t="shared" si="24"/>
        <v>76</v>
      </c>
      <c r="F175" s="114">
        <f t="shared" si="25"/>
        <v>6.0606060606060608E-2</v>
      </c>
    </row>
    <row r="176" spans="1:6" x14ac:dyDescent="0.2">
      <c r="A176" s="115">
        <v>9</v>
      </c>
      <c r="B176" s="116" t="s">
        <v>121</v>
      </c>
      <c r="C176" s="133">
        <v>5889</v>
      </c>
      <c r="D176" s="133">
        <v>4380</v>
      </c>
      <c r="E176" s="133">
        <f t="shared" si="24"/>
        <v>-1509</v>
      </c>
      <c r="F176" s="114">
        <f t="shared" si="25"/>
        <v>-0.2562404482934284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63204</v>
      </c>
      <c r="D179" s="134">
        <f>SUM(D168:D178)</f>
        <v>65315</v>
      </c>
      <c r="E179" s="134">
        <f t="shared" si="24"/>
        <v>2111</v>
      </c>
      <c r="F179" s="120">
        <f t="shared" si="25"/>
        <v>3.3399784823745331E-2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110581485</v>
      </c>
      <c r="D15" s="157">
        <v>100600169</v>
      </c>
      <c r="E15" s="157">
        <f>+D15-C15</f>
        <v>-9981316</v>
      </c>
      <c r="F15" s="161">
        <f>IF(C15=0,0,E15/C15)</f>
        <v>-9.0262090439461901E-2</v>
      </c>
    </row>
    <row r="16" spans="1:6" ht="15" customHeight="1" x14ac:dyDescent="0.2">
      <c r="A16" s="147">
        <v>2</v>
      </c>
      <c r="B16" s="160" t="s">
        <v>157</v>
      </c>
      <c r="C16" s="157">
        <v>4569581</v>
      </c>
      <c r="D16" s="157">
        <v>5213156</v>
      </c>
      <c r="E16" s="157">
        <f>+D16-C16</f>
        <v>643575</v>
      </c>
      <c r="F16" s="161">
        <f>IF(C16=0,0,E16/C16)</f>
        <v>0.14083895219277215</v>
      </c>
    </row>
    <row r="17" spans="1:6" ht="15" customHeight="1" x14ac:dyDescent="0.2">
      <c r="A17" s="147">
        <v>3</v>
      </c>
      <c r="B17" s="160" t="s">
        <v>158</v>
      </c>
      <c r="C17" s="157">
        <v>137408298</v>
      </c>
      <c r="D17" s="157">
        <v>148405212</v>
      </c>
      <c r="E17" s="157">
        <f>+D17-C17</f>
        <v>10996914</v>
      </c>
      <c r="F17" s="161">
        <f>IF(C17=0,0,E17/C17)</f>
        <v>8.0030930883082482E-2</v>
      </c>
    </row>
    <row r="18" spans="1:6" ht="15.75" customHeight="1" x14ac:dyDescent="0.25">
      <c r="A18" s="147"/>
      <c r="B18" s="162" t="s">
        <v>159</v>
      </c>
      <c r="C18" s="158">
        <f>SUM(C15:C17)</f>
        <v>252559364</v>
      </c>
      <c r="D18" s="158">
        <f>SUM(D15:D17)</f>
        <v>254218537</v>
      </c>
      <c r="E18" s="158">
        <f>+D18-C18</f>
        <v>1659173</v>
      </c>
      <c r="F18" s="159">
        <f>IF(C18=0,0,E18/C18)</f>
        <v>6.5694376708994246E-3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31316806</v>
      </c>
      <c r="D21" s="157">
        <v>27335819</v>
      </c>
      <c r="E21" s="157">
        <f>+D21-C21</f>
        <v>-3980987</v>
      </c>
      <c r="F21" s="161">
        <f>IF(C21=0,0,E21/C21)</f>
        <v>-0.12711982824812978</v>
      </c>
    </row>
    <row r="22" spans="1:6" ht="15" customHeight="1" x14ac:dyDescent="0.2">
      <c r="A22" s="147">
        <v>2</v>
      </c>
      <c r="B22" s="160" t="s">
        <v>162</v>
      </c>
      <c r="C22" s="157">
        <v>1286992</v>
      </c>
      <c r="D22" s="157">
        <v>1416557</v>
      </c>
      <c r="E22" s="157">
        <f>+D22-C22</f>
        <v>129565</v>
      </c>
      <c r="F22" s="161">
        <f>IF(C22=0,0,E22/C22)</f>
        <v>0.10067273145443018</v>
      </c>
    </row>
    <row r="23" spans="1:6" ht="15" customHeight="1" x14ac:dyDescent="0.2">
      <c r="A23" s="147">
        <v>3</v>
      </c>
      <c r="B23" s="160" t="s">
        <v>163</v>
      </c>
      <c r="C23" s="157">
        <v>38895758</v>
      </c>
      <c r="D23" s="157">
        <v>40325757</v>
      </c>
      <c r="E23" s="157">
        <f>+D23-C23</f>
        <v>1429999</v>
      </c>
      <c r="F23" s="161">
        <f>IF(C23=0,0,E23/C23)</f>
        <v>3.6764908913717531E-2</v>
      </c>
    </row>
    <row r="24" spans="1:6" ht="15.75" customHeight="1" x14ac:dyDescent="0.25">
      <c r="A24" s="147"/>
      <c r="B24" s="162" t="s">
        <v>164</v>
      </c>
      <c r="C24" s="158">
        <f>SUM(C21:C23)</f>
        <v>71499556</v>
      </c>
      <c r="D24" s="158">
        <f>SUM(D21:D23)</f>
        <v>69078133</v>
      </c>
      <c r="E24" s="158">
        <f>+D24-C24</f>
        <v>-2421423</v>
      </c>
      <c r="F24" s="159">
        <f>IF(C24=0,0,E24/C24)</f>
        <v>-3.3866266246464521E-2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3542565</v>
      </c>
      <c r="D27" s="157">
        <v>2404916</v>
      </c>
      <c r="E27" s="157">
        <f>+D27-C27</f>
        <v>-1137649</v>
      </c>
      <c r="F27" s="161">
        <f>IF(C27=0,0,E27/C27)</f>
        <v>-0.32113708569920385</v>
      </c>
    </row>
    <row r="28" spans="1:6" ht="15" customHeight="1" x14ac:dyDescent="0.2">
      <c r="A28" s="147">
        <v>2</v>
      </c>
      <c r="B28" s="160" t="s">
        <v>167</v>
      </c>
      <c r="C28" s="157">
        <v>46353712</v>
      </c>
      <c r="D28" s="157">
        <v>48711341</v>
      </c>
      <c r="E28" s="157">
        <f>+D28-C28</f>
        <v>2357629</v>
      </c>
      <c r="F28" s="161">
        <f>IF(C28=0,0,E28/C28)</f>
        <v>5.0861708766711068E-2</v>
      </c>
    </row>
    <row r="29" spans="1:6" ht="15" customHeight="1" x14ac:dyDescent="0.2">
      <c r="A29" s="147">
        <v>3</v>
      </c>
      <c r="B29" s="160" t="s">
        <v>168</v>
      </c>
      <c r="C29" s="157">
        <v>12220820</v>
      </c>
      <c r="D29" s="157">
        <v>11793982</v>
      </c>
      <c r="E29" s="157">
        <f>+D29-C29</f>
        <v>-426838</v>
      </c>
      <c r="F29" s="161">
        <f>IF(C29=0,0,E29/C29)</f>
        <v>-3.4927116183693076E-2</v>
      </c>
    </row>
    <row r="30" spans="1:6" ht="15.75" customHeight="1" x14ac:dyDescent="0.25">
      <c r="A30" s="147"/>
      <c r="B30" s="162" t="s">
        <v>169</v>
      </c>
      <c r="C30" s="158">
        <f>SUM(C27:C29)</f>
        <v>62117097</v>
      </c>
      <c r="D30" s="158">
        <f>SUM(D27:D29)</f>
        <v>62910239</v>
      </c>
      <c r="E30" s="158">
        <f>+D30-C30</f>
        <v>793142</v>
      </c>
      <c r="F30" s="159">
        <f>IF(C30=0,0,E30/C30)</f>
        <v>1.2768497536193617E-2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72850402</v>
      </c>
      <c r="D33" s="157">
        <v>70298935</v>
      </c>
      <c r="E33" s="157">
        <f>+D33-C33</f>
        <v>-2551467</v>
      </c>
      <c r="F33" s="161">
        <f>IF(C33=0,0,E33/C33)</f>
        <v>-3.5023375711777133E-2</v>
      </c>
    </row>
    <row r="34" spans="1:6" ht="15" customHeight="1" x14ac:dyDescent="0.2">
      <c r="A34" s="147">
        <v>2</v>
      </c>
      <c r="B34" s="160" t="s">
        <v>173</v>
      </c>
      <c r="C34" s="157">
        <v>28486899</v>
      </c>
      <c r="D34" s="157">
        <v>28875015</v>
      </c>
      <c r="E34" s="157">
        <f>+D34-C34</f>
        <v>388116</v>
      </c>
      <c r="F34" s="161">
        <f>IF(C34=0,0,E34/C34)</f>
        <v>1.362436817008408E-2</v>
      </c>
    </row>
    <row r="35" spans="1:6" ht="15.75" customHeight="1" x14ac:dyDescent="0.25">
      <c r="A35" s="147"/>
      <c r="B35" s="162" t="s">
        <v>174</v>
      </c>
      <c r="C35" s="158">
        <f>SUM(C33:C34)</f>
        <v>101337301</v>
      </c>
      <c r="D35" s="158">
        <f>SUM(D33:D34)</f>
        <v>99173950</v>
      </c>
      <c r="E35" s="158">
        <f>+D35-C35</f>
        <v>-2163351</v>
      </c>
      <c r="F35" s="159">
        <f>IF(C35=0,0,E35/C35)</f>
        <v>-2.1348022679230423E-2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11551356</v>
      </c>
      <c r="D38" s="157">
        <v>13219925</v>
      </c>
      <c r="E38" s="157">
        <f>+D38-C38</f>
        <v>1668569</v>
      </c>
      <c r="F38" s="161">
        <f>IF(C38=0,0,E38/C38)</f>
        <v>0.1444478899273817</v>
      </c>
    </row>
    <row r="39" spans="1:6" ht="15" customHeight="1" x14ac:dyDescent="0.2">
      <c r="A39" s="147">
        <v>2</v>
      </c>
      <c r="B39" s="160" t="s">
        <v>178</v>
      </c>
      <c r="C39" s="157">
        <v>22837228</v>
      </c>
      <c r="D39" s="157">
        <v>22157892</v>
      </c>
      <c r="E39" s="157">
        <f>+D39-C39</f>
        <v>-679336</v>
      </c>
      <c r="F39" s="161">
        <f>IF(C39=0,0,E39/C39)</f>
        <v>-2.9746867702157197E-2</v>
      </c>
    </row>
    <row r="40" spans="1:6" ht="15" customHeight="1" x14ac:dyDescent="0.2">
      <c r="A40" s="147">
        <v>3</v>
      </c>
      <c r="B40" s="160" t="s">
        <v>179</v>
      </c>
      <c r="C40" s="157">
        <v>480993</v>
      </c>
      <c r="D40" s="157">
        <v>421255</v>
      </c>
      <c r="E40" s="157">
        <f>+D40-C40</f>
        <v>-59738</v>
      </c>
      <c r="F40" s="161">
        <f>IF(C40=0,0,E40/C40)</f>
        <v>-0.1241972336395748</v>
      </c>
    </row>
    <row r="41" spans="1:6" ht="15.75" customHeight="1" x14ac:dyDescent="0.25">
      <c r="A41" s="147"/>
      <c r="B41" s="162" t="s">
        <v>180</v>
      </c>
      <c r="C41" s="158">
        <f>SUM(C38:C40)</f>
        <v>34869577</v>
      </c>
      <c r="D41" s="158">
        <f>SUM(D38:D40)</f>
        <v>35799072</v>
      </c>
      <c r="E41" s="158">
        <f>+D41-C41</f>
        <v>929495</v>
      </c>
      <c r="F41" s="159">
        <f>IF(C41=0,0,E41/C41)</f>
        <v>2.665633139168852E-2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11600890</v>
      </c>
      <c r="D47" s="157">
        <v>11620321</v>
      </c>
      <c r="E47" s="157">
        <f>+D47-C47</f>
        <v>19431</v>
      </c>
      <c r="F47" s="161">
        <f>IF(C47=0,0,E47/C47)</f>
        <v>1.6749576972111622E-3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8725455</v>
      </c>
      <c r="D50" s="157">
        <v>8757025</v>
      </c>
      <c r="E50" s="157">
        <f>+D50-C50</f>
        <v>31570</v>
      </c>
      <c r="F50" s="161">
        <f>IF(C50=0,0,E50/C50)</f>
        <v>3.6181494260184711E-3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997285</v>
      </c>
      <c r="D53" s="157">
        <v>1023948</v>
      </c>
      <c r="E53" s="157">
        <f t="shared" ref="E53:E59" si="0">+D53-C53</f>
        <v>26663</v>
      </c>
      <c r="F53" s="161">
        <f t="shared" ref="F53:F59" si="1">IF(C53=0,0,E53/C53)</f>
        <v>2.673558711902816E-2</v>
      </c>
    </row>
    <row r="54" spans="1:6" ht="15" customHeight="1" x14ac:dyDescent="0.2">
      <c r="A54" s="147">
        <v>2</v>
      </c>
      <c r="B54" s="160" t="s">
        <v>189</v>
      </c>
      <c r="C54" s="157">
        <v>3235430</v>
      </c>
      <c r="D54" s="157">
        <v>3051138</v>
      </c>
      <c r="E54" s="157">
        <f t="shared" si="0"/>
        <v>-184292</v>
      </c>
      <c r="F54" s="161">
        <f t="shared" si="1"/>
        <v>-5.6960589473423931E-2</v>
      </c>
    </row>
    <row r="55" spans="1:6" ht="15" customHeight="1" x14ac:dyDescent="0.2">
      <c r="A55" s="147">
        <v>3</v>
      </c>
      <c r="B55" s="160" t="s">
        <v>190</v>
      </c>
      <c r="C55" s="157">
        <v>6497</v>
      </c>
      <c r="D55" s="157">
        <v>36255</v>
      </c>
      <c r="E55" s="157">
        <f t="shared" si="0"/>
        <v>29758</v>
      </c>
      <c r="F55" s="161">
        <f t="shared" si="1"/>
        <v>4.5802678159150378</v>
      </c>
    </row>
    <row r="56" spans="1:6" ht="15" customHeight="1" x14ac:dyDescent="0.2">
      <c r="A56" s="147">
        <v>4</v>
      </c>
      <c r="B56" s="160" t="s">
        <v>191</v>
      </c>
      <c r="C56" s="157">
        <v>7012124</v>
      </c>
      <c r="D56" s="157">
        <v>6921173</v>
      </c>
      <c r="E56" s="157">
        <f t="shared" si="0"/>
        <v>-90951</v>
      </c>
      <c r="F56" s="161">
        <f t="shared" si="1"/>
        <v>-1.2970535033322286E-2</v>
      </c>
    </row>
    <row r="57" spans="1:6" ht="15" customHeight="1" x14ac:dyDescent="0.2">
      <c r="A57" s="147">
        <v>5</v>
      </c>
      <c r="B57" s="160" t="s">
        <v>192</v>
      </c>
      <c r="C57" s="157">
        <v>1614253</v>
      </c>
      <c r="D57" s="157">
        <v>1509847</v>
      </c>
      <c r="E57" s="157">
        <f t="shared" si="0"/>
        <v>-104406</v>
      </c>
      <c r="F57" s="161">
        <f t="shared" si="1"/>
        <v>-6.4677593908761516E-2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12865589</v>
      </c>
      <c r="D59" s="158">
        <f>SUM(D53:D58)</f>
        <v>12542361</v>
      </c>
      <c r="E59" s="158">
        <f t="shared" si="0"/>
        <v>-323228</v>
      </c>
      <c r="F59" s="159">
        <f t="shared" si="1"/>
        <v>-2.5123451402030643E-2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655312</v>
      </c>
      <c r="D62" s="157">
        <v>619984</v>
      </c>
      <c r="E62" s="157">
        <f t="shared" ref="E62:E90" si="2">+D62-C62</f>
        <v>-35328</v>
      </c>
      <c r="F62" s="161">
        <f t="shared" ref="F62:F90" si="3">IF(C62=0,0,E62/C62)</f>
        <v>-5.3910198500866764E-2</v>
      </c>
    </row>
    <row r="63" spans="1:6" ht="15" customHeight="1" x14ac:dyDescent="0.2">
      <c r="A63" s="147">
        <v>2</v>
      </c>
      <c r="B63" s="160" t="s">
        <v>198</v>
      </c>
      <c r="C63" s="157">
        <v>2470838</v>
      </c>
      <c r="D63" s="157">
        <v>969189</v>
      </c>
      <c r="E63" s="157">
        <f t="shared" si="2"/>
        <v>-1501649</v>
      </c>
      <c r="F63" s="161">
        <f t="shared" si="3"/>
        <v>-0.60774886900719516</v>
      </c>
    </row>
    <row r="64" spans="1:6" ht="15" customHeight="1" x14ac:dyDescent="0.2">
      <c r="A64" s="147">
        <v>3</v>
      </c>
      <c r="B64" s="160" t="s">
        <v>199</v>
      </c>
      <c r="C64" s="157">
        <v>5837461</v>
      </c>
      <c r="D64" s="157">
        <v>7489097</v>
      </c>
      <c r="E64" s="157">
        <f t="shared" si="2"/>
        <v>1651636</v>
      </c>
      <c r="F64" s="161">
        <f t="shared" si="3"/>
        <v>0.28293739350035912</v>
      </c>
    </row>
    <row r="65" spans="1:6" ht="15" customHeight="1" x14ac:dyDescent="0.2">
      <c r="A65" s="147">
        <v>4</v>
      </c>
      <c r="B65" s="160" t="s">
        <v>200</v>
      </c>
      <c r="C65" s="157">
        <v>2082231</v>
      </c>
      <c r="D65" s="157">
        <v>2549791</v>
      </c>
      <c r="E65" s="157">
        <f t="shared" si="2"/>
        <v>467560</v>
      </c>
      <c r="F65" s="161">
        <f t="shared" si="3"/>
        <v>0.22454761263279627</v>
      </c>
    </row>
    <row r="66" spans="1:6" ht="15" customHeight="1" x14ac:dyDescent="0.2">
      <c r="A66" s="147">
        <v>5</v>
      </c>
      <c r="B66" s="160" t="s">
        <v>201</v>
      </c>
      <c r="C66" s="157">
        <v>3158687</v>
      </c>
      <c r="D66" s="157">
        <v>2837352</v>
      </c>
      <c r="E66" s="157">
        <f t="shared" si="2"/>
        <v>-321335</v>
      </c>
      <c r="F66" s="161">
        <f t="shared" si="3"/>
        <v>-0.10173056083113015</v>
      </c>
    </row>
    <row r="67" spans="1:6" ht="15" customHeight="1" x14ac:dyDescent="0.2">
      <c r="A67" s="147">
        <v>6</v>
      </c>
      <c r="B67" s="160" t="s">
        <v>202</v>
      </c>
      <c r="C67" s="157">
        <v>3550677</v>
      </c>
      <c r="D67" s="157">
        <v>4221879</v>
      </c>
      <c r="E67" s="157">
        <f t="shared" si="2"/>
        <v>671202</v>
      </c>
      <c r="F67" s="161">
        <f t="shared" si="3"/>
        <v>0.18903493615442915</v>
      </c>
    </row>
    <row r="68" spans="1:6" ht="15" customHeight="1" x14ac:dyDescent="0.2">
      <c r="A68" s="147">
        <v>7</v>
      </c>
      <c r="B68" s="160" t="s">
        <v>203</v>
      </c>
      <c r="C68" s="157">
        <v>13963405</v>
      </c>
      <c r="D68" s="157">
        <v>13040686</v>
      </c>
      <c r="E68" s="157">
        <f t="shared" si="2"/>
        <v>-922719</v>
      </c>
      <c r="F68" s="161">
        <f t="shared" si="3"/>
        <v>-6.608123161936505E-2</v>
      </c>
    </row>
    <row r="69" spans="1:6" ht="15" customHeight="1" x14ac:dyDescent="0.2">
      <c r="A69" s="147">
        <v>8</v>
      </c>
      <c r="B69" s="160" t="s">
        <v>204</v>
      </c>
      <c r="C69" s="157">
        <v>1165297</v>
      </c>
      <c r="D69" s="157">
        <v>1183713</v>
      </c>
      <c r="E69" s="157">
        <f t="shared" si="2"/>
        <v>18416</v>
      </c>
      <c r="F69" s="161">
        <f t="shared" si="3"/>
        <v>1.5803696396712599E-2</v>
      </c>
    </row>
    <row r="70" spans="1:6" ht="15" customHeight="1" x14ac:dyDescent="0.2">
      <c r="A70" s="147">
        <v>9</v>
      </c>
      <c r="B70" s="160" t="s">
        <v>205</v>
      </c>
      <c r="C70" s="157">
        <v>930925</v>
      </c>
      <c r="D70" s="157">
        <v>1195662</v>
      </c>
      <c r="E70" s="157">
        <f t="shared" si="2"/>
        <v>264737</v>
      </c>
      <c r="F70" s="161">
        <f t="shared" si="3"/>
        <v>0.28438058919891507</v>
      </c>
    </row>
    <row r="71" spans="1:6" ht="15" customHeight="1" x14ac:dyDescent="0.2">
      <c r="A71" s="147">
        <v>10</v>
      </c>
      <c r="B71" s="160" t="s">
        <v>206</v>
      </c>
      <c r="C71" s="157">
        <v>646027</v>
      </c>
      <c r="D71" s="157">
        <v>564181</v>
      </c>
      <c r="E71" s="157">
        <f t="shared" si="2"/>
        <v>-81846</v>
      </c>
      <c r="F71" s="161">
        <f t="shared" si="3"/>
        <v>-0.12669129928006104</v>
      </c>
    </row>
    <row r="72" spans="1:6" ht="15" customHeight="1" x14ac:dyDescent="0.2">
      <c r="A72" s="147">
        <v>11</v>
      </c>
      <c r="B72" s="160" t="s">
        <v>207</v>
      </c>
      <c r="C72" s="157">
        <v>1666131</v>
      </c>
      <c r="D72" s="157">
        <v>1610768</v>
      </c>
      <c r="E72" s="157">
        <f t="shared" si="2"/>
        <v>-55363</v>
      </c>
      <c r="F72" s="161">
        <f t="shared" si="3"/>
        <v>-3.3228479633354159E-2</v>
      </c>
    </row>
    <row r="73" spans="1:6" ht="15" customHeight="1" x14ac:dyDescent="0.2">
      <c r="A73" s="147">
        <v>12</v>
      </c>
      <c r="B73" s="160" t="s">
        <v>208</v>
      </c>
      <c r="C73" s="157">
        <v>4110828</v>
      </c>
      <c r="D73" s="157">
        <v>4052763</v>
      </c>
      <c r="E73" s="157">
        <f t="shared" si="2"/>
        <v>-58065</v>
      </c>
      <c r="F73" s="161">
        <f t="shared" si="3"/>
        <v>-1.412489162767209E-2</v>
      </c>
    </row>
    <row r="74" spans="1:6" ht="15" customHeight="1" x14ac:dyDescent="0.2">
      <c r="A74" s="147">
        <v>13</v>
      </c>
      <c r="B74" s="160" t="s">
        <v>209</v>
      </c>
      <c r="C74" s="157">
        <v>572407</v>
      </c>
      <c r="D74" s="157">
        <v>548475</v>
      </c>
      <c r="E74" s="157">
        <f t="shared" si="2"/>
        <v>-23932</v>
      </c>
      <c r="F74" s="161">
        <f t="shared" si="3"/>
        <v>-4.1809411834586231E-2</v>
      </c>
    </row>
    <row r="75" spans="1:6" ht="15" customHeight="1" x14ac:dyDescent="0.2">
      <c r="A75" s="147">
        <v>14</v>
      </c>
      <c r="B75" s="160" t="s">
        <v>210</v>
      </c>
      <c r="C75" s="157">
        <v>166601</v>
      </c>
      <c r="D75" s="157">
        <v>527733</v>
      </c>
      <c r="E75" s="157">
        <f t="shared" si="2"/>
        <v>361132</v>
      </c>
      <c r="F75" s="161">
        <f t="shared" si="3"/>
        <v>2.1676460525447028</v>
      </c>
    </row>
    <row r="76" spans="1:6" ht="15" customHeight="1" x14ac:dyDescent="0.2">
      <c r="A76" s="147">
        <v>15</v>
      </c>
      <c r="B76" s="160" t="s">
        <v>211</v>
      </c>
      <c r="C76" s="157">
        <v>1983278</v>
      </c>
      <c r="D76" s="157">
        <v>1878420</v>
      </c>
      <c r="E76" s="157">
        <f t="shared" si="2"/>
        <v>-104858</v>
      </c>
      <c r="F76" s="161">
        <f t="shared" si="3"/>
        <v>-5.2871054889934745E-2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8975558</v>
      </c>
      <c r="D78" s="157">
        <v>11898606</v>
      </c>
      <c r="E78" s="157">
        <f t="shared" si="2"/>
        <v>2923048</v>
      </c>
      <c r="F78" s="161">
        <f t="shared" si="3"/>
        <v>0.32566755181126344</v>
      </c>
    </row>
    <row r="79" spans="1:6" ht="15" customHeight="1" x14ac:dyDescent="0.2">
      <c r="A79" s="147">
        <v>18</v>
      </c>
      <c r="B79" s="160" t="s">
        <v>214</v>
      </c>
      <c r="C79" s="157">
        <v>868</v>
      </c>
      <c r="D79" s="157">
        <v>417786</v>
      </c>
      <c r="E79" s="157">
        <f t="shared" si="2"/>
        <v>416918</v>
      </c>
      <c r="F79" s="161">
        <f t="shared" si="3"/>
        <v>480.32027649769583</v>
      </c>
    </row>
    <row r="80" spans="1:6" ht="15" customHeight="1" x14ac:dyDescent="0.2">
      <c r="A80" s="147">
        <v>19</v>
      </c>
      <c r="B80" s="160" t="s">
        <v>215</v>
      </c>
      <c r="C80" s="157">
        <v>3169031</v>
      </c>
      <c r="D80" s="157">
        <v>3650179</v>
      </c>
      <c r="E80" s="157">
        <f t="shared" si="2"/>
        <v>481148</v>
      </c>
      <c r="F80" s="161">
        <f t="shared" si="3"/>
        <v>0.15182811401971139</v>
      </c>
    </row>
    <row r="81" spans="1:6" ht="15" customHeight="1" x14ac:dyDescent="0.2">
      <c r="A81" s="147">
        <v>20</v>
      </c>
      <c r="B81" s="160" t="s">
        <v>216</v>
      </c>
      <c r="C81" s="157">
        <v>6279212</v>
      </c>
      <c r="D81" s="157">
        <v>5062962</v>
      </c>
      <c r="E81" s="157">
        <f t="shared" si="2"/>
        <v>-1216250</v>
      </c>
      <c r="F81" s="161">
        <f t="shared" si="3"/>
        <v>-0.1936946865307303</v>
      </c>
    </row>
    <row r="82" spans="1:6" ht="15" customHeight="1" x14ac:dyDescent="0.2">
      <c r="A82" s="147">
        <v>21</v>
      </c>
      <c r="B82" s="160" t="s">
        <v>217</v>
      </c>
      <c r="C82" s="157">
        <v>2119971</v>
      </c>
      <c r="D82" s="157">
        <v>2493618</v>
      </c>
      <c r="E82" s="157">
        <f t="shared" si="2"/>
        <v>373647</v>
      </c>
      <c r="F82" s="161">
        <f t="shared" si="3"/>
        <v>0.17625099588626447</v>
      </c>
    </row>
    <row r="83" spans="1:6" ht="15" customHeight="1" x14ac:dyDescent="0.2">
      <c r="A83" s="147">
        <v>22</v>
      </c>
      <c r="B83" s="160" t="s">
        <v>218</v>
      </c>
      <c r="C83" s="157">
        <v>890018</v>
      </c>
      <c r="D83" s="157">
        <v>860416</v>
      </c>
      <c r="E83" s="157">
        <f t="shared" si="2"/>
        <v>-29602</v>
      </c>
      <c r="F83" s="161">
        <f t="shared" si="3"/>
        <v>-3.3260001483116072E-2</v>
      </c>
    </row>
    <row r="84" spans="1:6" ht="15" customHeight="1" x14ac:dyDescent="0.2">
      <c r="A84" s="147">
        <v>23</v>
      </c>
      <c r="B84" s="160" t="s">
        <v>219</v>
      </c>
      <c r="C84" s="157">
        <v>676327</v>
      </c>
      <c r="D84" s="157">
        <v>695670</v>
      </c>
      <c r="E84" s="157">
        <f t="shared" si="2"/>
        <v>19343</v>
      </c>
      <c r="F84" s="161">
        <f t="shared" si="3"/>
        <v>2.8600070675871288E-2</v>
      </c>
    </row>
    <row r="85" spans="1:6" ht="15" customHeight="1" x14ac:dyDescent="0.2">
      <c r="A85" s="147">
        <v>24</v>
      </c>
      <c r="B85" s="160" t="s">
        <v>220</v>
      </c>
      <c r="C85" s="157">
        <v>1120810</v>
      </c>
      <c r="D85" s="157">
        <v>1738951</v>
      </c>
      <c r="E85" s="157">
        <f t="shared" si="2"/>
        <v>618141</v>
      </c>
      <c r="F85" s="161">
        <f t="shared" si="3"/>
        <v>0.55151274524674121</v>
      </c>
    </row>
    <row r="86" spans="1:6" ht="15" customHeight="1" x14ac:dyDescent="0.2">
      <c r="A86" s="147">
        <v>25</v>
      </c>
      <c r="B86" s="160" t="s">
        <v>221</v>
      </c>
      <c r="C86" s="157">
        <v>16721</v>
      </c>
      <c r="D86" s="157">
        <v>9364</v>
      </c>
      <c r="E86" s="157">
        <f t="shared" si="2"/>
        <v>-7357</v>
      </c>
      <c r="F86" s="161">
        <f t="shared" si="3"/>
        <v>-0.43998564679145985</v>
      </c>
    </row>
    <row r="87" spans="1:6" ht="15" customHeight="1" x14ac:dyDescent="0.2">
      <c r="A87" s="147">
        <v>26</v>
      </c>
      <c r="B87" s="160" t="s">
        <v>222</v>
      </c>
      <c r="C87" s="157">
        <v>530483</v>
      </c>
      <c r="D87" s="157">
        <v>542300</v>
      </c>
      <c r="E87" s="157">
        <f t="shared" si="2"/>
        <v>11817</v>
      </c>
      <c r="F87" s="161">
        <f t="shared" si="3"/>
        <v>2.2275925901489774E-2</v>
      </c>
    </row>
    <row r="88" spans="1:6" ht="15" customHeight="1" x14ac:dyDescent="0.2">
      <c r="A88" s="147">
        <v>27</v>
      </c>
      <c r="B88" s="160" t="s">
        <v>223</v>
      </c>
      <c r="C88" s="157">
        <v>2715112</v>
      </c>
      <c r="D88" s="157">
        <v>1954973</v>
      </c>
      <c r="E88" s="157">
        <f t="shared" si="2"/>
        <v>-760139</v>
      </c>
      <c r="F88" s="161">
        <f t="shared" si="3"/>
        <v>-0.27996598298707381</v>
      </c>
    </row>
    <row r="89" spans="1:6" ht="15" customHeight="1" x14ac:dyDescent="0.2">
      <c r="A89" s="147">
        <v>28</v>
      </c>
      <c r="B89" s="160" t="s">
        <v>224</v>
      </c>
      <c r="C89" s="157">
        <v>6616333</v>
      </c>
      <c r="D89" s="157">
        <v>6532421</v>
      </c>
      <c r="E89" s="157">
        <f t="shared" si="2"/>
        <v>-83912</v>
      </c>
      <c r="F89" s="161">
        <f t="shared" si="3"/>
        <v>-1.2682553916194968E-2</v>
      </c>
    </row>
    <row r="90" spans="1:6" ht="15.75" customHeight="1" x14ac:dyDescent="0.25">
      <c r="A90" s="147"/>
      <c r="B90" s="162" t="s">
        <v>225</v>
      </c>
      <c r="C90" s="158">
        <f>SUM(C62:C89)</f>
        <v>76070549</v>
      </c>
      <c r="D90" s="158">
        <f>SUM(D62:D89)</f>
        <v>79146939</v>
      </c>
      <c r="E90" s="158">
        <f t="shared" si="2"/>
        <v>3076390</v>
      </c>
      <c r="F90" s="159">
        <f t="shared" si="3"/>
        <v>4.044127511160725E-2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34613155</v>
      </c>
      <c r="D93" s="157">
        <v>33542006</v>
      </c>
      <c r="E93" s="157">
        <f>+D93-C93</f>
        <v>-1071149</v>
      </c>
      <c r="F93" s="161">
        <f>IF(C93=0,0,E93/C93)</f>
        <v>-3.0946297729866002E-2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666258533</v>
      </c>
      <c r="D95" s="158">
        <f>+D93+D90+D59+D50+D47+D44+D41+D35+D30+D24+D18</f>
        <v>666788583</v>
      </c>
      <c r="E95" s="158">
        <f>+D95-C95</f>
        <v>530050</v>
      </c>
      <c r="F95" s="159">
        <f>IF(C95=0,0,E95/C95)</f>
        <v>7.955620434808E-4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85489289</v>
      </c>
      <c r="D103" s="157">
        <v>87472639</v>
      </c>
      <c r="E103" s="157">
        <f t="shared" ref="E103:E121" si="4">D103-C103</f>
        <v>1983350</v>
      </c>
      <c r="F103" s="161">
        <f t="shared" ref="F103:F121" si="5">IF(C103=0,0,E103/C103)</f>
        <v>2.3199982397794885E-2</v>
      </c>
    </row>
    <row r="104" spans="1:6" ht="15" customHeight="1" x14ac:dyDescent="0.2">
      <c r="A104" s="147">
        <v>2</v>
      </c>
      <c r="B104" s="169" t="s">
        <v>234</v>
      </c>
      <c r="C104" s="157">
        <v>2370358</v>
      </c>
      <c r="D104" s="157">
        <v>2604510</v>
      </c>
      <c r="E104" s="157">
        <f t="shared" si="4"/>
        <v>234152</v>
      </c>
      <c r="F104" s="161">
        <f t="shared" si="5"/>
        <v>9.8783390525819303E-2</v>
      </c>
    </row>
    <row r="105" spans="1:6" ht="15" customHeight="1" x14ac:dyDescent="0.2">
      <c r="A105" s="147">
        <v>3</v>
      </c>
      <c r="B105" s="169" t="s">
        <v>235</v>
      </c>
      <c r="C105" s="157">
        <v>7559191</v>
      </c>
      <c r="D105" s="157">
        <v>8631520</v>
      </c>
      <c r="E105" s="157">
        <f t="shared" si="4"/>
        <v>1072329</v>
      </c>
      <c r="F105" s="161">
        <f t="shared" si="5"/>
        <v>0.14185764058614209</v>
      </c>
    </row>
    <row r="106" spans="1:6" ht="15" customHeight="1" x14ac:dyDescent="0.2">
      <c r="A106" s="147">
        <v>4</v>
      </c>
      <c r="B106" s="169" t="s">
        <v>236</v>
      </c>
      <c r="C106" s="157">
        <v>3334173</v>
      </c>
      <c r="D106" s="157">
        <v>3676612</v>
      </c>
      <c r="E106" s="157">
        <f t="shared" si="4"/>
        <v>342439</v>
      </c>
      <c r="F106" s="161">
        <f t="shared" si="5"/>
        <v>0.10270582840182559</v>
      </c>
    </row>
    <row r="107" spans="1:6" ht="15" customHeight="1" x14ac:dyDescent="0.2">
      <c r="A107" s="147">
        <v>5</v>
      </c>
      <c r="B107" s="169" t="s">
        <v>237</v>
      </c>
      <c r="C107" s="157">
        <v>13867724</v>
      </c>
      <c r="D107" s="157">
        <v>19600459</v>
      </c>
      <c r="E107" s="157">
        <f t="shared" si="4"/>
        <v>5732735</v>
      </c>
      <c r="F107" s="161">
        <f t="shared" si="5"/>
        <v>0.41338686867434049</v>
      </c>
    </row>
    <row r="108" spans="1:6" ht="15" customHeight="1" x14ac:dyDescent="0.2">
      <c r="A108" s="147">
        <v>6</v>
      </c>
      <c r="B108" s="169" t="s">
        <v>238</v>
      </c>
      <c r="C108" s="157">
        <v>12620241</v>
      </c>
      <c r="D108" s="157">
        <v>12829094</v>
      </c>
      <c r="E108" s="157">
        <f t="shared" si="4"/>
        <v>208853</v>
      </c>
      <c r="F108" s="161">
        <f t="shared" si="5"/>
        <v>1.6549050053798496E-2</v>
      </c>
    </row>
    <row r="109" spans="1:6" ht="15" customHeight="1" x14ac:dyDescent="0.2">
      <c r="A109" s="147">
        <v>7</v>
      </c>
      <c r="B109" s="169" t="s">
        <v>239</v>
      </c>
      <c r="C109" s="157">
        <v>6227048</v>
      </c>
      <c r="D109" s="157">
        <v>5260632</v>
      </c>
      <c r="E109" s="157">
        <f t="shared" si="4"/>
        <v>-966416</v>
      </c>
      <c r="F109" s="161">
        <f t="shared" si="5"/>
        <v>-0.15519649117848458</v>
      </c>
    </row>
    <row r="110" spans="1:6" ht="15" customHeight="1" x14ac:dyDescent="0.2">
      <c r="A110" s="147">
        <v>8</v>
      </c>
      <c r="B110" s="169" t="s">
        <v>240</v>
      </c>
      <c r="C110" s="157">
        <v>2468633</v>
      </c>
      <c r="D110" s="157">
        <v>2578326</v>
      </c>
      <c r="E110" s="157">
        <f t="shared" si="4"/>
        <v>109693</v>
      </c>
      <c r="F110" s="161">
        <f t="shared" si="5"/>
        <v>4.4434713462876016E-2</v>
      </c>
    </row>
    <row r="111" spans="1:6" ht="15" customHeight="1" x14ac:dyDescent="0.2">
      <c r="A111" s="147">
        <v>9</v>
      </c>
      <c r="B111" s="169" t="s">
        <v>241</v>
      </c>
      <c r="C111" s="157">
        <v>3223871</v>
      </c>
      <c r="D111" s="157">
        <v>3567869</v>
      </c>
      <c r="E111" s="157">
        <f t="shared" si="4"/>
        <v>343998</v>
      </c>
      <c r="F111" s="161">
        <f t="shared" si="5"/>
        <v>0.10670340097355012</v>
      </c>
    </row>
    <row r="112" spans="1:6" ht="15" customHeight="1" x14ac:dyDescent="0.2">
      <c r="A112" s="147">
        <v>10</v>
      </c>
      <c r="B112" s="169" t="s">
        <v>242</v>
      </c>
      <c r="C112" s="157">
        <v>6487725</v>
      </c>
      <c r="D112" s="157">
        <v>7178513</v>
      </c>
      <c r="E112" s="157">
        <f t="shared" si="4"/>
        <v>690788</v>
      </c>
      <c r="F112" s="161">
        <f t="shared" si="5"/>
        <v>0.10647615304286172</v>
      </c>
    </row>
    <row r="113" spans="1:6" ht="15" customHeight="1" x14ac:dyDescent="0.2">
      <c r="A113" s="147">
        <v>11</v>
      </c>
      <c r="B113" s="169" t="s">
        <v>243</v>
      </c>
      <c r="C113" s="157">
        <v>9128435</v>
      </c>
      <c r="D113" s="157">
        <v>9119041</v>
      </c>
      <c r="E113" s="157">
        <f t="shared" si="4"/>
        <v>-9394</v>
      </c>
      <c r="F113" s="161">
        <f t="shared" si="5"/>
        <v>-1.0290920623305089E-3</v>
      </c>
    </row>
    <row r="114" spans="1:6" ht="15" customHeight="1" x14ac:dyDescent="0.2">
      <c r="A114" s="147">
        <v>12</v>
      </c>
      <c r="B114" s="169" t="s">
        <v>244</v>
      </c>
      <c r="C114" s="157">
        <v>4258954</v>
      </c>
      <c r="D114" s="157">
        <v>4154559</v>
      </c>
      <c r="E114" s="157">
        <f t="shared" si="4"/>
        <v>-104395</v>
      </c>
      <c r="F114" s="161">
        <f t="shared" si="5"/>
        <v>-2.4511887191080252E-2</v>
      </c>
    </row>
    <row r="115" spans="1:6" ht="15" customHeight="1" x14ac:dyDescent="0.2">
      <c r="A115" s="147">
        <v>13</v>
      </c>
      <c r="B115" s="169" t="s">
        <v>245</v>
      </c>
      <c r="C115" s="157">
        <v>17750881</v>
      </c>
      <c r="D115" s="157">
        <v>18989388</v>
      </c>
      <c r="E115" s="157">
        <f t="shared" si="4"/>
        <v>1238507</v>
      </c>
      <c r="F115" s="161">
        <f t="shared" si="5"/>
        <v>6.9771579224715663E-2</v>
      </c>
    </row>
    <row r="116" spans="1:6" ht="15" customHeight="1" x14ac:dyDescent="0.2">
      <c r="A116" s="147">
        <v>14</v>
      </c>
      <c r="B116" s="169" t="s">
        <v>246</v>
      </c>
      <c r="C116" s="157">
        <v>3246583</v>
      </c>
      <c r="D116" s="157">
        <v>3283337</v>
      </c>
      <c r="E116" s="157">
        <f t="shared" si="4"/>
        <v>36754</v>
      </c>
      <c r="F116" s="161">
        <f t="shared" si="5"/>
        <v>1.1320825618812149E-2</v>
      </c>
    </row>
    <row r="117" spans="1:6" ht="15" customHeight="1" x14ac:dyDescent="0.2">
      <c r="A117" s="147">
        <v>15</v>
      </c>
      <c r="B117" s="169" t="s">
        <v>203</v>
      </c>
      <c r="C117" s="157">
        <v>8154005</v>
      </c>
      <c r="D117" s="157">
        <v>7598085</v>
      </c>
      <c r="E117" s="157">
        <f t="shared" si="4"/>
        <v>-555920</v>
      </c>
      <c r="F117" s="161">
        <f t="shared" si="5"/>
        <v>-6.8177539748871877E-2</v>
      </c>
    </row>
    <row r="118" spans="1:6" ht="15" customHeight="1" x14ac:dyDescent="0.2">
      <c r="A118" s="147">
        <v>16</v>
      </c>
      <c r="B118" s="169" t="s">
        <v>247</v>
      </c>
      <c r="C118" s="157">
        <v>4690776</v>
      </c>
      <c r="D118" s="157">
        <v>4444054</v>
      </c>
      <c r="E118" s="157">
        <f t="shared" si="4"/>
        <v>-246722</v>
      </c>
      <c r="F118" s="161">
        <f t="shared" si="5"/>
        <v>-5.2597267488364401E-2</v>
      </c>
    </row>
    <row r="119" spans="1:6" ht="15" customHeight="1" x14ac:dyDescent="0.2">
      <c r="A119" s="147">
        <v>17</v>
      </c>
      <c r="B119" s="169" t="s">
        <v>248</v>
      </c>
      <c r="C119" s="157">
        <v>35748657</v>
      </c>
      <c r="D119" s="157">
        <v>37025388</v>
      </c>
      <c r="E119" s="157">
        <f t="shared" si="4"/>
        <v>1276731</v>
      </c>
      <c r="F119" s="161">
        <f t="shared" si="5"/>
        <v>3.5714096896003675E-2</v>
      </c>
    </row>
    <row r="120" spans="1:6" ht="15" customHeight="1" x14ac:dyDescent="0.2">
      <c r="A120" s="147">
        <v>18</v>
      </c>
      <c r="B120" s="169" t="s">
        <v>249</v>
      </c>
      <c r="C120" s="157">
        <v>74822384</v>
      </c>
      <c r="D120" s="157">
        <v>71325359</v>
      </c>
      <c r="E120" s="157">
        <f t="shared" si="4"/>
        <v>-3497025</v>
      </c>
      <c r="F120" s="161">
        <f t="shared" si="5"/>
        <v>-4.6737684808332222E-2</v>
      </c>
    </row>
    <row r="121" spans="1:6" ht="15.75" customHeight="1" x14ac:dyDescent="0.25">
      <c r="A121" s="147"/>
      <c r="B121" s="165" t="s">
        <v>250</v>
      </c>
      <c r="C121" s="158">
        <f>SUM(C103:C120)</f>
        <v>301448928</v>
      </c>
      <c r="D121" s="158">
        <f>SUM(D103:D120)</f>
        <v>309339385</v>
      </c>
      <c r="E121" s="158">
        <f t="shared" si="4"/>
        <v>7890457</v>
      </c>
      <c r="F121" s="159">
        <f t="shared" si="5"/>
        <v>2.6175103863696605E-2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27261650</v>
      </c>
      <c r="D124" s="157">
        <v>26994276</v>
      </c>
      <c r="E124" s="157">
        <f t="shared" ref="E124:E130" si="6">D124-C124</f>
        <v>-267374</v>
      </c>
      <c r="F124" s="161">
        <f t="shared" ref="F124:F130" si="7">IF(C124=0,0,E124/C124)</f>
        <v>-9.8076968928879939E-3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8024696</v>
      </c>
      <c r="D126" s="157">
        <v>9606181</v>
      </c>
      <c r="E126" s="157">
        <f t="shared" si="6"/>
        <v>1581485</v>
      </c>
      <c r="F126" s="161">
        <f t="shared" si="7"/>
        <v>0.19707724753685374</v>
      </c>
    </row>
    <row r="127" spans="1:6" ht="15" customHeight="1" x14ac:dyDescent="0.2">
      <c r="A127" s="147">
        <v>4</v>
      </c>
      <c r="B127" s="169" t="s">
        <v>255</v>
      </c>
      <c r="C127" s="157">
        <v>6743315</v>
      </c>
      <c r="D127" s="157">
        <v>6399612</v>
      </c>
      <c r="E127" s="157">
        <f t="shared" si="6"/>
        <v>-343703</v>
      </c>
      <c r="F127" s="161">
        <f t="shared" si="7"/>
        <v>-5.0969441587705749E-2</v>
      </c>
    </row>
    <row r="128" spans="1:6" ht="15" customHeight="1" x14ac:dyDescent="0.2">
      <c r="A128" s="147">
        <v>5</v>
      </c>
      <c r="B128" s="169" t="s">
        <v>256</v>
      </c>
      <c r="C128" s="157">
        <v>5137094</v>
      </c>
      <c r="D128" s="157">
        <v>4895948</v>
      </c>
      <c r="E128" s="157">
        <f t="shared" si="6"/>
        <v>-241146</v>
      </c>
      <c r="F128" s="161">
        <f t="shared" si="7"/>
        <v>-4.6942103843145559E-2</v>
      </c>
    </row>
    <row r="129" spans="1:6" ht="15" customHeight="1" x14ac:dyDescent="0.2">
      <c r="A129" s="147">
        <v>6</v>
      </c>
      <c r="B129" s="169" t="s">
        <v>257</v>
      </c>
      <c r="C129" s="157">
        <v>24251674</v>
      </c>
      <c r="D129" s="157">
        <v>26233538</v>
      </c>
      <c r="E129" s="157">
        <f t="shared" si="6"/>
        <v>1981864</v>
      </c>
      <c r="F129" s="161">
        <f t="shared" si="7"/>
        <v>8.1720709259080426E-2</v>
      </c>
    </row>
    <row r="130" spans="1:6" ht="15.75" customHeight="1" x14ac:dyDescent="0.25">
      <c r="A130" s="147"/>
      <c r="B130" s="165" t="s">
        <v>258</v>
      </c>
      <c r="C130" s="158">
        <f>SUM(C124:C129)</f>
        <v>71418429</v>
      </c>
      <c r="D130" s="158">
        <f>SUM(D124:D129)</f>
        <v>74129555</v>
      </c>
      <c r="E130" s="158">
        <f t="shared" si="6"/>
        <v>2711126</v>
      </c>
      <c r="F130" s="159">
        <f t="shared" si="7"/>
        <v>3.7961154256137448E-2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48611781</v>
      </c>
      <c r="D133" s="157">
        <v>48194662</v>
      </c>
      <c r="E133" s="157">
        <f t="shared" ref="E133:E167" si="8">D133-C133</f>
        <v>-417119</v>
      </c>
      <c r="F133" s="161">
        <f t="shared" ref="F133:F167" si="9">IF(C133=0,0,E133/C133)</f>
        <v>-8.5806154685013503E-3</v>
      </c>
    </row>
    <row r="134" spans="1:6" ht="15" customHeight="1" x14ac:dyDescent="0.2">
      <c r="A134" s="147">
        <v>2</v>
      </c>
      <c r="B134" s="169" t="s">
        <v>261</v>
      </c>
      <c r="C134" s="157">
        <v>3247386</v>
      </c>
      <c r="D134" s="157">
        <v>3154810</v>
      </c>
      <c r="E134" s="157">
        <f t="shared" si="8"/>
        <v>-92576</v>
      </c>
      <c r="F134" s="161">
        <f t="shared" si="9"/>
        <v>-2.8507852161707908E-2</v>
      </c>
    </row>
    <row r="135" spans="1:6" ht="15" customHeight="1" x14ac:dyDescent="0.2">
      <c r="A135" s="147">
        <v>3</v>
      </c>
      <c r="B135" s="169" t="s">
        <v>262</v>
      </c>
      <c r="C135" s="157">
        <v>3398863</v>
      </c>
      <c r="D135" s="157">
        <v>2538303</v>
      </c>
      <c r="E135" s="157">
        <f t="shared" si="8"/>
        <v>-860560</v>
      </c>
      <c r="F135" s="161">
        <f t="shared" si="9"/>
        <v>-0.25319055225232673</v>
      </c>
    </row>
    <row r="136" spans="1:6" ht="15" customHeight="1" x14ac:dyDescent="0.2">
      <c r="A136" s="147">
        <v>4</v>
      </c>
      <c r="B136" s="169" t="s">
        <v>263</v>
      </c>
      <c r="C136" s="157">
        <v>5100869</v>
      </c>
      <c r="D136" s="157">
        <v>5106291</v>
      </c>
      <c r="E136" s="157">
        <f t="shared" si="8"/>
        <v>5422</v>
      </c>
      <c r="F136" s="161">
        <f t="shared" si="9"/>
        <v>1.0629561355133801E-3</v>
      </c>
    </row>
    <row r="137" spans="1:6" ht="15" customHeight="1" x14ac:dyDescent="0.2">
      <c r="A137" s="147">
        <v>5</v>
      </c>
      <c r="B137" s="169" t="s">
        <v>264</v>
      </c>
      <c r="C137" s="157">
        <v>9915899</v>
      </c>
      <c r="D137" s="157">
        <v>9564155</v>
      </c>
      <c r="E137" s="157">
        <f t="shared" si="8"/>
        <v>-351744</v>
      </c>
      <c r="F137" s="161">
        <f t="shared" si="9"/>
        <v>-3.5472729199843601E-2</v>
      </c>
    </row>
    <row r="138" spans="1:6" ht="15" customHeight="1" x14ac:dyDescent="0.2">
      <c r="A138" s="147">
        <v>6</v>
      </c>
      <c r="B138" s="169" t="s">
        <v>265</v>
      </c>
      <c r="C138" s="157">
        <v>2392496</v>
      </c>
      <c r="D138" s="157">
        <v>2496327</v>
      </c>
      <c r="E138" s="157">
        <f t="shared" si="8"/>
        <v>103831</v>
      </c>
      <c r="F138" s="161">
        <f t="shared" si="9"/>
        <v>4.3398609652847905E-2</v>
      </c>
    </row>
    <row r="139" spans="1:6" ht="15" customHeight="1" x14ac:dyDescent="0.2">
      <c r="A139" s="147">
        <v>7</v>
      </c>
      <c r="B139" s="169" t="s">
        <v>266</v>
      </c>
      <c r="C139" s="157">
        <v>4451237</v>
      </c>
      <c r="D139" s="157">
        <v>4328895</v>
      </c>
      <c r="E139" s="157">
        <f t="shared" si="8"/>
        <v>-122342</v>
      </c>
      <c r="F139" s="161">
        <f t="shared" si="9"/>
        <v>-2.7484944072849862E-2</v>
      </c>
    </row>
    <row r="140" spans="1:6" ht="15" customHeight="1" x14ac:dyDescent="0.2">
      <c r="A140" s="147">
        <v>8</v>
      </c>
      <c r="B140" s="169" t="s">
        <v>267</v>
      </c>
      <c r="C140" s="157">
        <v>1544983</v>
      </c>
      <c r="D140" s="157">
        <v>1540714</v>
      </c>
      <c r="E140" s="157">
        <f t="shared" si="8"/>
        <v>-4269</v>
      </c>
      <c r="F140" s="161">
        <f t="shared" si="9"/>
        <v>-2.7631371995678919E-3</v>
      </c>
    </row>
    <row r="141" spans="1:6" ht="15" customHeight="1" x14ac:dyDescent="0.2">
      <c r="A141" s="147">
        <v>9</v>
      </c>
      <c r="B141" s="169" t="s">
        <v>268</v>
      </c>
      <c r="C141" s="157">
        <v>2394350</v>
      </c>
      <c r="D141" s="157">
        <v>2429934</v>
      </c>
      <c r="E141" s="157">
        <f t="shared" si="8"/>
        <v>35584</v>
      </c>
      <c r="F141" s="161">
        <f t="shared" si="9"/>
        <v>1.4861653475891161E-2</v>
      </c>
    </row>
    <row r="142" spans="1:6" ht="15" customHeight="1" x14ac:dyDescent="0.2">
      <c r="A142" s="147">
        <v>10</v>
      </c>
      <c r="B142" s="169" t="s">
        <v>269</v>
      </c>
      <c r="C142" s="157">
        <v>25705135</v>
      </c>
      <c r="D142" s="157">
        <v>23643253</v>
      </c>
      <c r="E142" s="157">
        <f t="shared" si="8"/>
        <v>-2061882</v>
      </c>
      <c r="F142" s="161">
        <f t="shared" si="9"/>
        <v>-8.0212844632016125E-2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18988555</v>
      </c>
      <c r="D144" s="157">
        <v>19518403</v>
      </c>
      <c r="E144" s="157">
        <f t="shared" si="8"/>
        <v>529848</v>
      </c>
      <c r="F144" s="161">
        <f t="shared" si="9"/>
        <v>2.7903545056482709E-2</v>
      </c>
    </row>
    <row r="145" spans="1:6" ht="15" customHeight="1" x14ac:dyDescent="0.2">
      <c r="A145" s="147">
        <v>13</v>
      </c>
      <c r="B145" s="169" t="s">
        <v>272</v>
      </c>
      <c r="C145" s="157">
        <v>436518</v>
      </c>
      <c r="D145" s="157">
        <v>342354</v>
      </c>
      <c r="E145" s="157">
        <f t="shared" si="8"/>
        <v>-94164</v>
      </c>
      <c r="F145" s="161">
        <f t="shared" si="9"/>
        <v>-0.21571619039764683</v>
      </c>
    </row>
    <row r="146" spans="1:6" ht="15" customHeight="1" x14ac:dyDescent="0.2">
      <c r="A146" s="147">
        <v>14</v>
      </c>
      <c r="B146" s="169" t="s">
        <v>273</v>
      </c>
      <c r="C146" s="157">
        <v>894832</v>
      </c>
      <c r="D146" s="157">
        <v>567265</v>
      </c>
      <c r="E146" s="157">
        <f t="shared" si="8"/>
        <v>-327567</v>
      </c>
      <c r="F146" s="161">
        <f t="shared" si="9"/>
        <v>-0.3660653619897366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3462699</v>
      </c>
      <c r="D150" s="157">
        <v>3345709</v>
      </c>
      <c r="E150" s="157">
        <f t="shared" si="8"/>
        <v>-116990</v>
      </c>
      <c r="F150" s="161">
        <f t="shared" si="9"/>
        <v>-3.3785783863974315E-2</v>
      </c>
    </row>
    <row r="151" spans="1:6" ht="15" customHeight="1" x14ac:dyDescent="0.2">
      <c r="A151" s="147">
        <v>19</v>
      </c>
      <c r="B151" s="169" t="s">
        <v>278</v>
      </c>
      <c r="C151" s="157">
        <v>1545860</v>
      </c>
      <c r="D151" s="157">
        <v>1348620</v>
      </c>
      <c r="E151" s="157">
        <f t="shared" si="8"/>
        <v>-197240</v>
      </c>
      <c r="F151" s="161">
        <f t="shared" si="9"/>
        <v>-0.12759240810940189</v>
      </c>
    </row>
    <row r="152" spans="1:6" ht="15" customHeight="1" x14ac:dyDescent="0.2">
      <c r="A152" s="147">
        <v>20</v>
      </c>
      <c r="B152" s="169" t="s">
        <v>279</v>
      </c>
      <c r="C152" s="157">
        <v>1591857</v>
      </c>
      <c r="D152" s="157">
        <v>1591713</v>
      </c>
      <c r="E152" s="157">
        <f t="shared" si="8"/>
        <v>-144</v>
      </c>
      <c r="F152" s="161">
        <f t="shared" si="9"/>
        <v>-9.0460386831229183E-5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672534</v>
      </c>
      <c r="D154" s="157">
        <v>711584</v>
      </c>
      <c r="E154" s="157">
        <f t="shared" si="8"/>
        <v>39050</v>
      </c>
      <c r="F154" s="161">
        <f t="shared" si="9"/>
        <v>5.8063978921511772E-2</v>
      </c>
    </row>
    <row r="155" spans="1:6" ht="15" customHeight="1" x14ac:dyDescent="0.2">
      <c r="A155" s="147">
        <v>23</v>
      </c>
      <c r="B155" s="169" t="s">
        <v>282</v>
      </c>
      <c r="C155" s="157">
        <v>1408315</v>
      </c>
      <c r="D155" s="157">
        <v>1388629</v>
      </c>
      <c r="E155" s="157">
        <f t="shared" si="8"/>
        <v>-19686</v>
      </c>
      <c r="F155" s="161">
        <f t="shared" si="9"/>
        <v>-1.3978406819497059E-2</v>
      </c>
    </row>
    <row r="156" spans="1:6" ht="15" customHeight="1" x14ac:dyDescent="0.2">
      <c r="A156" s="147">
        <v>24</v>
      </c>
      <c r="B156" s="169" t="s">
        <v>283</v>
      </c>
      <c r="C156" s="157">
        <v>17534926</v>
      </c>
      <c r="D156" s="157">
        <v>16628141</v>
      </c>
      <c r="E156" s="157">
        <f t="shared" si="8"/>
        <v>-906785</v>
      </c>
      <c r="F156" s="161">
        <f t="shared" si="9"/>
        <v>-5.1713078230270264E-2</v>
      </c>
    </row>
    <row r="157" spans="1:6" ht="15" customHeight="1" x14ac:dyDescent="0.2">
      <c r="A157" s="147">
        <v>25</v>
      </c>
      <c r="B157" s="169" t="s">
        <v>284</v>
      </c>
      <c r="C157" s="157">
        <v>2540938</v>
      </c>
      <c r="D157" s="157">
        <v>2208909</v>
      </c>
      <c r="E157" s="157">
        <f t="shared" si="8"/>
        <v>-332029</v>
      </c>
      <c r="F157" s="161">
        <f t="shared" si="9"/>
        <v>-0.13067182276781253</v>
      </c>
    </row>
    <row r="158" spans="1:6" ht="15" customHeight="1" x14ac:dyDescent="0.2">
      <c r="A158" s="147">
        <v>26</v>
      </c>
      <c r="B158" s="169" t="s">
        <v>285</v>
      </c>
      <c r="C158" s="157">
        <v>484545</v>
      </c>
      <c r="D158" s="157">
        <v>534250</v>
      </c>
      <c r="E158" s="157">
        <f t="shared" si="8"/>
        <v>49705</v>
      </c>
      <c r="F158" s="161">
        <f t="shared" si="9"/>
        <v>0.10258077165175578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5348557</v>
      </c>
      <c r="D160" s="157">
        <v>5239020</v>
      </c>
      <c r="E160" s="157">
        <f t="shared" si="8"/>
        <v>-109537</v>
      </c>
      <c r="F160" s="161">
        <f t="shared" si="9"/>
        <v>-2.0479729392432387E-2</v>
      </c>
    </row>
    <row r="161" spans="1:6" ht="15" customHeight="1" x14ac:dyDescent="0.2">
      <c r="A161" s="147">
        <v>29</v>
      </c>
      <c r="B161" s="169" t="s">
        <v>288</v>
      </c>
      <c r="C161" s="157">
        <v>359834</v>
      </c>
      <c r="D161" s="157">
        <v>305727</v>
      </c>
      <c r="E161" s="157">
        <f t="shared" si="8"/>
        <v>-54107</v>
      </c>
      <c r="F161" s="161">
        <f t="shared" si="9"/>
        <v>-0.15036655791281536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8375996</v>
      </c>
      <c r="D163" s="157">
        <v>8291793</v>
      </c>
      <c r="E163" s="157">
        <f t="shared" si="8"/>
        <v>-84203</v>
      </c>
      <c r="F163" s="161">
        <f t="shared" si="9"/>
        <v>-1.0052894008067817E-2</v>
      </c>
    </row>
    <row r="164" spans="1:6" ht="15" customHeight="1" x14ac:dyDescent="0.2">
      <c r="A164" s="147">
        <v>32</v>
      </c>
      <c r="B164" s="169" t="s">
        <v>291</v>
      </c>
      <c r="C164" s="157">
        <v>3537348</v>
      </c>
      <c r="D164" s="157">
        <v>3601761</v>
      </c>
      <c r="E164" s="157">
        <f t="shared" si="8"/>
        <v>64413</v>
      </c>
      <c r="F164" s="161">
        <f t="shared" si="9"/>
        <v>1.820940433341588E-2</v>
      </c>
    </row>
    <row r="165" spans="1:6" ht="15" customHeight="1" x14ac:dyDescent="0.2">
      <c r="A165" s="147">
        <v>33</v>
      </c>
      <c r="B165" s="169" t="s">
        <v>292</v>
      </c>
      <c r="C165" s="157">
        <v>1450361</v>
      </c>
      <c r="D165" s="157">
        <v>1356883</v>
      </c>
      <c r="E165" s="157">
        <f t="shared" si="8"/>
        <v>-93478</v>
      </c>
      <c r="F165" s="161">
        <f t="shared" si="9"/>
        <v>-6.4451539995904472E-2</v>
      </c>
    </row>
    <row r="166" spans="1:6" ht="15" customHeight="1" x14ac:dyDescent="0.2">
      <c r="A166" s="147">
        <v>34</v>
      </c>
      <c r="B166" s="169" t="s">
        <v>293</v>
      </c>
      <c r="C166" s="157">
        <v>3925772</v>
      </c>
      <c r="D166" s="157">
        <v>4292359</v>
      </c>
      <c r="E166" s="157">
        <f t="shared" si="8"/>
        <v>366587</v>
      </c>
      <c r="F166" s="161">
        <f t="shared" si="9"/>
        <v>9.3379595147145583E-2</v>
      </c>
    </row>
    <row r="167" spans="1:6" ht="15.75" customHeight="1" x14ac:dyDescent="0.25">
      <c r="A167" s="147"/>
      <c r="B167" s="165" t="s">
        <v>294</v>
      </c>
      <c r="C167" s="158">
        <f>SUM(C133:C166)</f>
        <v>179322446</v>
      </c>
      <c r="D167" s="158">
        <f>SUM(D133:D166)</f>
        <v>174270464</v>
      </c>
      <c r="E167" s="158">
        <f t="shared" si="8"/>
        <v>-5051982</v>
      </c>
      <c r="F167" s="159">
        <f t="shared" si="9"/>
        <v>-2.8172613706150318E-2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58393359</v>
      </c>
      <c r="D170" s="157">
        <v>54769160</v>
      </c>
      <c r="E170" s="157">
        <f t="shared" ref="E170:E183" si="10">D170-C170</f>
        <v>-3624199</v>
      </c>
      <c r="F170" s="161">
        <f t="shared" ref="F170:F183" si="11">IF(C170=0,0,E170/C170)</f>
        <v>-6.2065259852580157E-2</v>
      </c>
    </row>
    <row r="171" spans="1:6" ht="15" customHeight="1" x14ac:dyDescent="0.2">
      <c r="A171" s="147">
        <v>2</v>
      </c>
      <c r="B171" s="169" t="s">
        <v>297</v>
      </c>
      <c r="C171" s="157">
        <v>6869100</v>
      </c>
      <c r="D171" s="157">
        <v>6726804</v>
      </c>
      <c r="E171" s="157">
        <f t="shared" si="10"/>
        <v>-142296</v>
      </c>
      <c r="F171" s="161">
        <f t="shared" si="11"/>
        <v>-2.071537756037909E-2</v>
      </c>
    </row>
    <row r="172" spans="1:6" ht="15" customHeight="1" x14ac:dyDescent="0.2">
      <c r="A172" s="147">
        <v>3</v>
      </c>
      <c r="B172" s="169" t="s">
        <v>298</v>
      </c>
      <c r="C172" s="157">
        <v>5886097</v>
      </c>
      <c r="D172" s="157">
        <v>4973635</v>
      </c>
      <c r="E172" s="157">
        <f t="shared" si="10"/>
        <v>-912462</v>
      </c>
      <c r="F172" s="161">
        <f t="shared" si="11"/>
        <v>-0.15501987140205131</v>
      </c>
    </row>
    <row r="173" spans="1:6" ht="15" customHeight="1" x14ac:dyDescent="0.2">
      <c r="A173" s="147">
        <v>4</v>
      </c>
      <c r="B173" s="169" t="s">
        <v>299</v>
      </c>
      <c r="C173" s="157">
        <v>7274076</v>
      </c>
      <c r="D173" s="157">
        <v>7154892</v>
      </c>
      <c r="E173" s="157">
        <f t="shared" si="10"/>
        <v>-119184</v>
      </c>
      <c r="F173" s="161">
        <f t="shared" si="11"/>
        <v>-1.638476144598984E-2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3907867</v>
      </c>
      <c r="D175" s="157">
        <v>3985394</v>
      </c>
      <c r="E175" s="157">
        <f t="shared" si="10"/>
        <v>77527</v>
      </c>
      <c r="F175" s="161">
        <f t="shared" si="11"/>
        <v>1.9838699730569131E-2</v>
      </c>
    </row>
    <row r="176" spans="1:6" ht="15" customHeight="1" x14ac:dyDescent="0.2">
      <c r="A176" s="147">
        <v>7</v>
      </c>
      <c r="B176" s="169" t="s">
        <v>302</v>
      </c>
      <c r="C176" s="157">
        <v>441146</v>
      </c>
      <c r="D176" s="157">
        <v>379817</v>
      </c>
      <c r="E176" s="157">
        <f t="shared" si="10"/>
        <v>-61329</v>
      </c>
      <c r="F176" s="161">
        <f t="shared" si="11"/>
        <v>-0.1390220017862567</v>
      </c>
    </row>
    <row r="177" spans="1:6" ht="15" customHeight="1" x14ac:dyDescent="0.2">
      <c r="A177" s="147">
        <v>8</v>
      </c>
      <c r="B177" s="169" t="s">
        <v>303</v>
      </c>
      <c r="C177" s="157">
        <v>4371491</v>
      </c>
      <c r="D177" s="157">
        <v>4137599</v>
      </c>
      <c r="E177" s="157">
        <f t="shared" si="10"/>
        <v>-233892</v>
      </c>
      <c r="F177" s="161">
        <f t="shared" si="11"/>
        <v>-5.3503941790112343E-2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12060029</v>
      </c>
      <c r="D179" s="157">
        <v>12264378</v>
      </c>
      <c r="E179" s="157">
        <f t="shared" si="10"/>
        <v>204349</v>
      </c>
      <c r="F179" s="161">
        <f t="shared" si="11"/>
        <v>1.6944320780654838E-2</v>
      </c>
    </row>
    <row r="180" spans="1:6" ht="15" customHeight="1" x14ac:dyDescent="0.2">
      <c r="A180" s="147">
        <v>11</v>
      </c>
      <c r="B180" s="169" t="s">
        <v>306</v>
      </c>
      <c r="C180" s="157">
        <v>638257</v>
      </c>
      <c r="D180" s="157">
        <v>613168</v>
      </c>
      <c r="E180" s="157">
        <f t="shared" si="10"/>
        <v>-25089</v>
      </c>
      <c r="F180" s="161">
        <f t="shared" si="11"/>
        <v>-3.930861706177919E-2</v>
      </c>
    </row>
    <row r="181" spans="1:6" ht="15" customHeight="1" x14ac:dyDescent="0.2">
      <c r="A181" s="147">
        <v>12</v>
      </c>
      <c r="B181" s="169" t="s">
        <v>307</v>
      </c>
      <c r="C181" s="157">
        <v>6650996</v>
      </c>
      <c r="D181" s="157">
        <v>6133163</v>
      </c>
      <c r="E181" s="157">
        <f t="shared" si="10"/>
        <v>-517833</v>
      </c>
      <c r="F181" s="161">
        <f t="shared" si="11"/>
        <v>-7.7857962927657759E-2</v>
      </c>
    </row>
    <row r="182" spans="1:6" ht="15" customHeight="1" x14ac:dyDescent="0.2">
      <c r="A182" s="147">
        <v>13</v>
      </c>
      <c r="B182" s="169" t="s">
        <v>308</v>
      </c>
      <c r="C182" s="157">
        <v>5290416</v>
      </c>
      <c r="D182" s="157">
        <v>5115201</v>
      </c>
      <c r="E182" s="157">
        <f t="shared" si="10"/>
        <v>-175215</v>
      </c>
      <c r="F182" s="161">
        <f t="shared" si="11"/>
        <v>-3.3119323697796167E-2</v>
      </c>
    </row>
    <row r="183" spans="1:6" ht="15.75" customHeight="1" x14ac:dyDescent="0.25">
      <c r="A183" s="147"/>
      <c r="B183" s="165" t="s">
        <v>309</v>
      </c>
      <c r="C183" s="158">
        <f>SUM(C170:C182)</f>
        <v>111782834</v>
      </c>
      <c r="D183" s="158">
        <f>SUM(D170:D182)</f>
        <v>106253211</v>
      </c>
      <c r="E183" s="158">
        <f t="shared" si="10"/>
        <v>-5529623</v>
      </c>
      <c r="F183" s="159">
        <f t="shared" si="11"/>
        <v>-4.9467550625885905E-2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2285896</v>
      </c>
      <c r="D186" s="157">
        <v>2795968</v>
      </c>
      <c r="E186" s="157">
        <f>D186-C186</f>
        <v>510072</v>
      </c>
      <c r="F186" s="161">
        <f>IF(C186=0,0,E186/C186)</f>
        <v>0.22313876046854275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666258533</v>
      </c>
      <c r="D188" s="158">
        <f>+D186+D183+D167+D130+D121</f>
        <v>666788583</v>
      </c>
      <c r="E188" s="158">
        <f>D188-C188</f>
        <v>530050</v>
      </c>
      <c r="F188" s="159">
        <f>IF(C188=0,0,E188/C188)</f>
        <v>7.955620434808E-4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FRANCIS HOSPITAL AND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645464533</v>
      </c>
      <c r="D11" s="183">
        <v>635118562</v>
      </c>
      <c r="E11" s="76">
        <v>648781738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37899033</v>
      </c>
      <c r="D12" s="185">
        <v>35327848</v>
      </c>
      <c r="E12" s="185">
        <v>32428240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683363566</v>
      </c>
      <c r="D13" s="76">
        <f>+D11+D12</f>
        <v>670446410</v>
      </c>
      <c r="E13" s="76">
        <f>+E11+E12</f>
        <v>681209978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674830699</v>
      </c>
      <c r="D14" s="185">
        <v>666258533</v>
      </c>
      <c r="E14" s="185">
        <v>666788583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8532867</v>
      </c>
      <c r="D15" s="76">
        <f>+D13-D14</f>
        <v>4187877</v>
      </c>
      <c r="E15" s="76">
        <f>+E13-E14</f>
        <v>14421395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-10794169</v>
      </c>
      <c r="D16" s="185">
        <v>24513453</v>
      </c>
      <c r="E16" s="185">
        <v>1198724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-2261302</v>
      </c>
      <c r="D17" s="76">
        <f>D15+D16</f>
        <v>28701330</v>
      </c>
      <c r="E17" s="76">
        <f>E15+E16</f>
        <v>15620119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1.2686968866054428E-2</v>
      </c>
      <c r="D20" s="189">
        <f>IF(+D27=0,0,+D24/+D27)</f>
        <v>6.026070314221873E-3</v>
      </c>
      <c r="E20" s="189">
        <f>IF(+E27=0,0,+E24/+E27)</f>
        <v>2.1133076055058864E-2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-1.6049152768691913E-2</v>
      </c>
      <c r="D21" s="189">
        <f>IF(D27=0,0,+D26/D27)</f>
        <v>3.5273192460612647E-2</v>
      </c>
      <c r="E21" s="189">
        <f>IF(E27=0,0,+E26/E27)</f>
        <v>1.7566071424452614E-3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-3.3621839026374851E-3</v>
      </c>
      <c r="D22" s="189">
        <f>IF(D27=0,0,+D28/D27)</f>
        <v>4.1299262774834526E-2</v>
      </c>
      <c r="E22" s="189">
        <f>IF(E27=0,0,+E28/E27)</f>
        <v>2.2889683197504125E-2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8532867</v>
      </c>
      <c r="D24" s="76">
        <f>+D15</f>
        <v>4187877</v>
      </c>
      <c r="E24" s="76">
        <f>+E15</f>
        <v>14421395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683363566</v>
      </c>
      <c r="D25" s="76">
        <f>+D13</f>
        <v>670446410</v>
      </c>
      <c r="E25" s="76">
        <f>+E13</f>
        <v>681209978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-10794169</v>
      </c>
      <c r="D26" s="76">
        <f>+D16</f>
        <v>24513453</v>
      </c>
      <c r="E26" s="76">
        <f>+E16</f>
        <v>1198724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672569397</v>
      </c>
      <c r="D27" s="76">
        <f>+D25+D26</f>
        <v>694959863</v>
      </c>
      <c r="E27" s="76">
        <f>+E25+E26</f>
        <v>682408702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-2261302</v>
      </c>
      <c r="D28" s="76">
        <f>+D17</f>
        <v>28701330</v>
      </c>
      <c r="E28" s="76">
        <f>+E17</f>
        <v>15620119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5944000</v>
      </c>
      <c r="D31" s="76">
        <v>127892000</v>
      </c>
      <c r="E31" s="76">
        <v>100020000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103370000</v>
      </c>
      <c r="D32" s="76">
        <v>208956000</v>
      </c>
      <c r="E32" s="76">
        <v>181694000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-16846253</v>
      </c>
      <c r="D33" s="76">
        <f>+D32-C32</f>
        <v>105586000</v>
      </c>
      <c r="E33" s="76">
        <f>+E32-D32</f>
        <v>-27262000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0.85980000000000001</v>
      </c>
      <c r="D34" s="193">
        <f>IF(C32=0,0,+D33/C32)</f>
        <v>1.0214375544161749</v>
      </c>
      <c r="E34" s="193">
        <f>IF(D32=0,0,+E33/D32)</f>
        <v>-0.13046765826298359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0.37726514190133276</v>
      </c>
      <c r="D38" s="195">
        <f>IF((D40+D41)=0,0,+D39/(D40+D41))</f>
        <v>0.33960121945660399</v>
      </c>
      <c r="E38" s="195">
        <f>IF((E40+E41)=0,0,+E39/(E40+E41))</f>
        <v>0.33056275670802759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674830699</v>
      </c>
      <c r="D39" s="76">
        <v>666258533</v>
      </c>
      <c r="E39" s="196">
        <v>666788583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1757658330</v>
      </c>
      <c r="D40" s="76">
        <v>1930957096</v>
      </c>
      <c r="E40" s="196">
        <v>1988630574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31085511</v>
      </c>
      <c r="D41" s="76">
        <v>30927888</v>
      </c>
      <c r="E41" s="196">
        <v>28501028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1.2818742431267691</v>
      </c>
      <c r="D43" s="197">
        <f>IF(D38=0,0,IF((D46-D47)=0,0,((+D44-D45)/(D46-D47)/D38)))</f>
        <v>1.4429500645110407</v>
      </c>
      <c r="E43" s="197">
        <f>IF(E38=0,0,IF((E46-E47)=0,0,((+E44-E45)/(E46-E47)/E38)))</f>
        <v>1.4010335989178411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280763754</v>
      </c>
      <c r="D44" s="76">
        <v>302880886</v>
      </c>
      <c r="E44" s="196">
        <v>287706838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976412</v>
      </c>
      <c r="D45" s="76">
        <v>942361</v>
      </c>
      <c r="E45" s="196">
        <v>735924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611779200</v>
      </c>
      <c r="D46" s="76">
        <v>650907761</v>
      </c>
      <c r="E46" s="196">
        <v>652139718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33235776</v>
      </c>
      <c r="D47" s="76">
        <v>34741398</v>
      </c>
      <c r="E47" s="76">
        <v>32505477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0.91338213136287894</v>
      </c>
      <c r="D49" s="198">
        <f>IF(D38=0,0,IF(D51=0,0,(D50/D51)/D38))</f>
        <v>0.90012124858930542</v>
      </c>
      <c r="E49" s="198">
        <f>IF(E38=0,0,IF(E51=0,0,(E50/E51)/E38))</f>
        <v>0.92633176729830191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264981399</v>
      </c>
      <c r="D50" s="199">
        <v>260274962</v>
      </c>
      <c r="E50" s="199">
        <v>275515865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768982042</v>
      </c>
      <c r="D51" s="199">
        <v>851455856</v>
      </c>
      <c r="E51" s="199">
        <v>899758861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0.66983787871794243</v>
      </c>
      <c r="D53" s="198">
        <f>IF(D38=0,0,IF(D55=0,0,(D54/D55)/D38))</f>
        <v>0.65223763616134289</v>
      </c>
      <c r="E53" s="198">
        <f>IF(E38=0,0,IF(E55=0,0,(E54/E55)/E38))</f>
        <v>0.70922698111515148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94027452</v>
      </c>
      <c r="D54" s="199">
        <v>93910370</v>
      </c>
      <c r="E54" s="199">
        <v>101488590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372081678</v>
      </c>
      <c r="D55" s="199">
        <v>423973249</v>
      </c>
      <c r="E55" s="199">
        <v>432890493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9333364.9368782714</v>
      </c>
      <c r="D57" s="88">
        <f>+D60*D38</f>
        <v>8834586.8272647951</v>
      </c>
      <c r="E57" s="88">
        <f>+E60*E38</f>
        <v>8707888.0944237523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6110468</v>
      </c>
      <c r="D58" s="199">
        <v>5761205</v>
      </c>
      <c r="E58" s="199">
        <v>4494629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18629069</v>
      </c>
      <c r="D59" s="199">
        <v>20253386</v>
      </c>
      <c r="E59" s="199">
        <v>21847988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24739537</v>
      </c>
      <c r="D60" s="76">
        <v>26014591</v>
      </c>
      <c r="E60" s="201">
        <v>26342617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1.3830676272891775E-2</v>
      </c>
      <c r="D62" s="202">
        <f>IF(D63=0,0,+D57/D63)</f>
        <v>1.3259998018314003E-2</v>
      </c>
      <c r="E62" s="202">
        <f>IF(E63=0,0,+E57/E63)</f>
        <v>1.3059443902361707E-2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674830699</v>
      </c>
      <c r="D63" s="199">
        <v>666258533</v>
      </c>
      <c r="E63" s="199">
        <v>666788583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2.2352429385454324</v>
      </c>
      <c r="D67" s="203">
        <f>IF(D69=0,0,D68/D69)</f>
        <v>2.0378455165533471</v>
      </c>
      <c r="E67" s="203">
        <f>IF(E69=0,0,E68/E69)</f>
        <v>2.0354692250801216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182407000</v>
      </c>
      <c r="D68" s="204">
        <v>187924000</v>
      </c>
      <c r="E68" s="204">
        <v>198157000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81605000</v>
      </c>
      <c r="D69" s="204">
        <v>92217000</v>
      </c>
      <c r="E69" s="204">
        <v>97352000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61.05318996356857</v>
      </c>
      <c r="D71" s="203">
        <f>IF((D77/365)=0,0,+D74/(D77/365))</f>
        <v>63.987688755202107</v>
      </c>
      <c r="E71" s="203">
        <f>IF((E77/365)=0,0,+E74/(E77/365))</f>
        <v>55.484392988586464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73853000</v>
      </c>
      <c r="D72" s="183">
        <v>80260000</v>
      </c>
      <c r="E72" s="183">
        <v>70507000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33203000</v>
      </c>
      <c r="D73" s="206">
        <v>30428000</v>
      </c>
      <c r="E73" s="206">
        <v>25411000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107056000</v>
      </c>
      <c r="D74" s="204">
        <f>+D72+D73</f>
        <v>110688000</v>
      </c>
      <c r="E74" s="204">
        <f>+E72+E73</f>
        <v>95918000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674830699</v>
      </c>
      <c r="D75" s="204">
        <f>+D14</f>
        <v>666258533</v>
      </c>
      <c r="E75" s="204">
        <f>+E14</f>
        <v>666788583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34807794</v>
      </c>
      <c r="D76" s="204">
        <v>34869577</v>
      </c>
      <c r="E76" s="204">
        <v>35799072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640022905</v>
      </c>
      <c r="D77" s="204">
        <f>+D75-D76</f>
        <v>631388956</v>
      </c>
      <c r="E77" s="204">
        <f>+E75-E76</f>
        <v>630989511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32.975080599819727</v>
      </c>
      <c r="D79" s="203">
        <f>IF((D84/365)=0,0,+D83/(D84/365))</f>
        <v>27.869875105303564</v>
      </c>
      <c r="E79" s="203">
        <f>IF((E84/365)=0,0,+E83/(E84/365))</f>
        <v>31.510828376615002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60915000</v>
      </c>
      <c r="D80" s="212">
        <v>60969000</v>
      </c>
      <c r="E80" s="212">
        <v>70949000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2602000</v>
      </c>
      <c r="D82" s="212">
        <v>12474000</v>
      </c>
      <c r="E82" s="212">
        <v>14939000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58313000</v>
      </c>
      <c r="D83" s="212">
        <f>+D80+D81-D82</f>
        <v>48495000</v>
      </c>
      <c r="E83" s="212">
        <f>+E80+E81-E82</f>
        <v>56010000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645464533</v>
      </c>
      <c r="D84" s="204">
        <f>+D11</f>
        <v>635118562</v>
      </c>
      <c r="E84" s="204">
        <f>+E11</f>
        <v>648781738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46.538685986558562</v>
      </c>
      <c r="D86" s="203">
        <f>IF((D90/365)=0,0,+D87/(D90/365))</f>
        <v>53.309777879611815</v>
      </c>
      <c r="E86" s="203">
        <f>IF((E90/365)=0,0,+E87/(E90/365))</f>
        <v>56.313899645789832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81605000</v>
      </c>
      <c r="D87" s="76">
        <f>+D69</f>
        <v>92217000</v>
      </c>
      <c r="E87" s="76">
        <f>+E69</f>
        <v>97352000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674830699</v>
      </c>
      <c r="D88" s="76">
        <f t="shared" si="0"/>
        <v>666258533</v>
      </c>
      <c r="E88" s="76">
        <f t="shared" si="0"/>
        <v>666788583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34807794</v>
      </c>
      <c r="D89" s="201">
        <f t="shared" si="0"/>
        <v>34869577</v>
      </c>
      <c r="E89" s="201">
        <f t="shared" si="0"/>
        <v>35799072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640022905</v>
      </c>
      <c r="D90" s="76">
        <f>+D88-D89</f>
        <v>631388956</v>
      </c>
      <c r="E90" s="76">
        <f>+E88-E89</f>
        <v>630989511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14.142450610189897</v>
      </c>
      <c r="D94" s="214">
        <f>IF(D96=0,0,(D95/D96)*100)</f>
        <v>27.816812347407964</v>
      </c>
      <c r="E94" s="214">
        <f>IF(E96=0,0,(E95/E96)*100)</f>
        <v>23.289146156074477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103370000</v>
      </c>
      <c r="D95" s="76">
        <f>+D32</f>
        <v>208956000</v>
      </c>
      <c r="E95" s="76">
        <f>+E32</f>
        <v>181694000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730920000</v>
      </c>
      <c r="D96" s="76">
        <v>751186000</v>
      </c>
      <c r="E96" s="76">
        <v>780166000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9.5564764952873116</v>
      </c>
      <c r="D98" s="214">
        <f>IF(D104=0,0,(D101/D104)*100)</f>
        <v>18.118906154696827</v>
      </c>
      <c r="E98" s="214">
        <f>IF(E104=0,0,(E101/E104)*100)</f>
        <v>14.740557237377732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-2261302</v>
      </c>
      <c r="D99" s="76">
        <f>+D28</f>
        <v>28701330</v>
      </c>
      <c r="E99" s="76">
        <f>+E28</f>
        <v>15620119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34807794</v>
      </c>
      <c r="D100" s="201">
        <f>+D76</f>
        <v>34869577</v>
      </c>
      <c r="E100" s="201">
        <f>+E76</f>
        <v>35799072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32546492</v>
      </c>
      <c r="D101" s="76">
        <f>+D99+D100</f>
        <v>63570907</v>
      </c>
      <c r="E101" s="76">
        <f>+E99+E100</f>
        <v>51419191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81605000</v>
      </c>
      <c r="D102" s="204">
        <f>+D69</f>
        <v>92217000</v>
      </c>
      <c r="E102" s="204">
        <f>+E69</f>
        <v>97352000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258965000</v>
      </c>
      <c r="D103" s="216">
        <v>258637000</v>
      </c>
      <c r="E103" s="216">
        <v>251476000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340570000</v>
      </c>
      <c r="D104" s="204">
        <f>+D102+D103</f>
        <v>350854000</v>
      </c>
      <c r="E104" s="204">
        <f>+E102+E103</f>
        <v>348828000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71.471152386603549</v>
      </c>
      <c r="D106" s="214">
        <f>IF(D109=0,0,(D107/D109)*100)</f>
        <v>55.312419133733826</v>
      </c>
      <c r="E106" s="214">
        <f>IF(E109=0,0,(E107/E109)*100)</f>
        <v>58.05480527275666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258965000</v>
      </c>
      <c r="D107" s="204">
        <f>+D103</f>
        <v>258637000</v>
      </c>
      <c r="E107" s="204">
        <f>+E103</f>
        <v>251476000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103370000</v>
      </c>
      <c r="D108" s="204">
        <f>+D32</f>
        <v>208956000</v>
      </c>
      <c r="E108" s="204">
        <f>+E32</f>
        <v>181694000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362335000</v>
      </c>
      <c r="D109" s="204">
        <f>+D107+D108</f>
        <v>467593000</v>
      </c>
      <c r="E109" s="204">
        <f>+E107+E108</f>
        <v>433170000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2.4464832012705813</v>
      </c>
      <c r="D111" s="214">
        <f>IF((+D113+D115)=0,0,((+D112+D113+D114)/(+D113+D115)))</f>
        <v>3.5148540531138468</v>
      </c>
      <c r="E111" s="214">
        <f>IF((+E113+E115)=0,0,((+E112+E113+E114)/(+E113+E115)))</f>
        <v>3.1184027203921225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-2261302</v>
      </c>
      <c r="D112" s="76">
        <f>+D17</f>
        <v>28701330</v>
      </c>
      <c r="E112" s="76">
        <f>+E17</f>
        <v>15620119</v>
      </c>
    </row>
    <row r="113" spans="1:8" ht="24" customHeight="1" x14ac:dyDescent="0.2">
      <c r="A113" s="85">
        <v>17</v>
      </c>
      <c r="B113" s="75" t="s">
        <v>88</v>
      </c>
      <c r="C113" s="218">
        <v>11964520</v>
      </c>
      <c r="D113" s="76">
        <v>11600890</v>
      </c>
      <c r="E113" s="76">
        <v>11620321</v>
      </c>
    </row>
    <row r="114" spans="1:8" ht="24" customHeight="1" x14ac:dyDescent="0.2">
      <c r="A114" s="85">
        <v>18</v>
      </c>
      <c r="B114" s="75" t="s">
        <v>374</v>
      </c>
      <c r="C114" s="218">
        <v>34807794</v>
      </c>
      <c r="D114" s="76">
        <v>34869577</v>
      </c>
      <c r="E114" s="76">
        <v>35799072</v>
      </c>
    </row>
    <row r="115" spans="1:8" ht="24" customHeight="1" x14ac:dyDescent="0.2">
      <c r="A115" s="85">
        <v>19</v>
      </c>
      <c r="B115" s="75" t="s">
        <v>104</v>
      </c>
      <c r="C115" s="218">
        <v>6229356</v>
      </c>
      <c r="D115" s="76">
        <v>9786000</v>
      </c>
      <c r="E115" s="76">
        <v>8595000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11.574936349025739</v>
      </c>
      <c r="D119" s="214">
        <f>IF(+D121=0,0,(+D120)/(+D121))</f>
        <v>10.21090677412003</v>
      </c>
      <c r="E119" s="214">
        <f>IF(+E121=0,0,(+E120)/(+E121))</f>
        <v>10.925786009201579</v>
      </c>
    </row>
    <row r="120" spans="1:8" ht="24" customHeight="1" x14ac:dyDescent="0.2">
      <c r="A120" s="85">
        <v>21</v>
      </c>
      <c r="B120" s="75" t="s">
        <v>378</v>
      </c>
      <c r="C120" s="218">
        <v>402898000</v>
      </c>
      <c r="D120" s="218">
        <v>356050000</v>
      </c>
      <c r="E120" s="218">
        <v>391133000</v>
      </c>
    </row>
    <row r="121" spans="1:8" ht="24" customHeight="1" x14ac:dyDescent="0.2">
      <c r="A121" s="85">
        <v>22</v>
      </c>
      <c r="B121" s="75" t="s">
        <v>374</v>
      </c>
      <c r="C121" s="218">
        <v>34807794</v>
      </c>
      <c r="D121" s="218">
        <v>34869577</v>
      </c>
      <c r="E121" s="218">
        <v>35799072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157534</v>
      </c>
      <c r="D124" s="218">
        <v>159375</v>
      </c>
      <c r="E124" s="218">
        <v>151867</v>
      </c>
    </row>
    <row r="125" spans="1:8" ht="24" customHeight="1" x14ac:dyDescent="0.2">
      <c r="A125" s="85">
        <v>2</v>
      </c>
      <c r="B125" s="75" t="s">
        <v>381</v>
      </c>
      <c r="C125" s="218">
        <v>32111</v>
      </c>
      <c r="D125" s="218">
        <v>32366</v>
      </c>
      <c r="E125" s="218">
        <v>31234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4.9059200896888919</v>
      </c>
      <c r="D126" s="219">
        <f>IF(D125=0,0,D124/D125)</f>
        <v>4.9241487981214851</v>
      </c>
      <c r="E126" s="219">
        <f>IF(E125=0,0,E124/E125)</f>
        <v>4.8622334635333289</v>
      </c>
    </row>
    <row r="127" spans="1:8" ht="24" customHeight="1" x14ac:dyDescent="0.2">
      <c r="A127" s="85">
        <v>4</v>
      </c>
      <c r="B127" s="75" t="s">
        <v>383</v>
      </c>
      <c r="C127" s="218">
        <v>595</v>
      </c>
      <c r="D127" s="218">
        <v>595</v>
      </c>
      <c r="E127" s="218">
        <v>595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595</v>
      </c>
      <c r="E128" s="218">
        <v>595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595</v>
      </c>
      <c r="D129" s="218">
        <v>682</v>
      </c>
      <c r="E129" s="218">
        <v>682</v>
      </c>
    </row>
    <row r="130" spans="1:7" ht="24" customHeight="1" x14ac:dyDescent="0.2">
      <c r="A130" s="85">
        <v>7</v>
      </c>
      <c r="B130" s="75" t="s">
        <v>386</v>
      </c>
      <c r="C130" s="193">
        <v>0.72529999999999994</v>
      </c>
      <c r="D130" s="193">
        <v>0.73380000000000001</v>
      </c>
      <c r="E130" s="193">
        <v>0.69920000000000004</v>
      </c>
    </row>
    <row r="131" spans="1:7" ht="24" customHeight="1" x14ac:dyDescent="0.2">
      <c r="A131" s="85">
        <v>8</v>
      </c>
      <c r="B131" s="75" t="s">
        <v>387</v>
      </c>
      <c r="C131" s="193">
        <v>0.72529999999999994</v>
      </c>
      <c r="D131" s="193">
        <v>0.73380000000000001</v>
      </c>
      <c r="E131" s="193">
        <v>0.69920000000000004</v>
      </c>
    </row>
    <row r="132" spans="1:7" ht="24" customHeight="1" x14ac:dyDescent="0.2">
      <c r="A132" s="85">
        <v>9</v>
      </c>
      <c r="B132" s="75" t="s">
        <v>388</v>
      </c>
      <c r="C132" s="219">
        <v>3694.5</v>
      </c>
      <c r="D132" s="219">
        <v>3816.6</v>
      </c>
      <c r="E132" s="219">
        <v>3802.8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0.32915579445977988</v>
      </c>
      <c r="D135" s="227">
        <f>IF(D149=0,0,D143/D149)</f>
        <v>0.31909894024905877</v>
      </c>
      <c r="E135" s="227">
        <f>IF(E149=0,0,E143/E149)</f>
        <v>0.31158841119175107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0.43750371097436214</v>
      </c>
      <c r="D136" s="227">
        <f>IF(D149=0,0,D144/D149)</f>
        <v>0.44095016806111365</v>
      </c>
      <c r="E136" s="227">
        <f>IF(E149=0,0,E144/E149)</f>
        <v>0.45245148735201934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0.2116916989208022</v>
      </c>
      <c r="D137" s="227">
        <f>IF(D149=0,0,D145/D149)</f>
        <v>0.21956637456019376</v>
      </c>
      <c r="E137" s="227">
        <f>IF(E149=0,0,E145/E149)</f>
        <v>0.21768271023273528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1.8909122115900647E-2</v>
      </c>
      <c r="D139" s="227">
        <f>IF(D149=0,0,D147/D149)</f>
        <v>1.7991802133753881E-2</v>
      </c>
      <c r="E139" s="227">
        <f>IF(E149=0,0,E147/E149)</f>
        <v>1.6345658879526007E-2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2.7396735291551231E-3</v>
      </c>
      <c r="D140" s="227">
        <f>IF(D149=0,0,D148/D149)</f>
        <v>2.3927149958799499E-3</v>
      </c>
      <c r="E140" s="227">
        <f>IF(E149=0,0,E148/E149)</f>
        <v>1.9317323439682768E-3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578543424</v>
      </c>
      <c r="D143" s="229">
        <f>+D46-D147</f>
        <v>616166363</v>
      </c>
      <c r="E143" s="229">
        <f>+E46-E147</f>
        <v>619634241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768982042</v>
      </c>
      <c r="D144" s="229">
        <f>+D51</f>
        <v>851455856</v>
      </c>
      <c r="E144" s="229">
        <f>+E51</f>
        <v>899758861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372081678</v>
      </c>
      <c r="D145" s="229">
        <f>+D55</f>
        <v>423973249</v>
      </c>
      <c r="E145" s="229">
        <f>+E55</f>
        <v>432890493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33235776</v>
      </c>
      <c r="D147" s="229">
        <f>+D47</f>
        <v>34741398</v>
      </c>
      <c r="E147" s="229">
        <f>+E47</f>
        <v>32505477</v>
      </c>
    </row>
    <row r="148" spans="1:7" ht="20.100000000000001" customHeight="1" x14ac:dyDescent="0.2">
      <c r="A148" s="226">
        <v>13</v>
      </c>
      <c r="B148" s="224" t="s">
        <v>402</v>
      </c>
      <c r="C148" s="230">
        <v>4815410</v>
      </c>
      <c r="D148" s="229">
        <v>4620230</v>
      </c>
      <c r="E148" s="229">
        <v>3841502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1757658330</v>
      </c>
      <c r="D149" s="229">
        <f>SUM(D143:D148)</f>
        <v>1930957096</v>
      </c>
      <c r="E149" s="229">
        <f>SUM(E143:E148)</f>
        <v>1988630574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0.43671252344690825</v>
      </c>
      <c r="D152" s="227">
        <f>IF(D166=0,0,D160/D166)</f>
        <v>0.45876090711322076</v>
      </c>
      <c r="E152" s="227">
        <f>IF(E166=0,0,E160/E166)</f>
        <v>0.43150883507277965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0.41360232595433877</v>
      </c>
      <c r="D153" s="227">
        <f>IF(D166=0,0,D161/D166)</f>
        <v>0.39545790874476539</v>
      </c>
      <c r="E153" s="227">
        <f>IF(E166=0,0,E161/E166)</f>
        <v>0.41428425025059934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0.14676491632063554</v>
      </c>
      <c r="D154" s="227">
        <f>IF(D166=0,0,D162/D166)</f>
        <v>0.14268602036967026</v>
      </c>
      <c r="E154" s="227">
        <f>IF(E166=0,0,E162/E166)</f>
        <v>0.15260509378340326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1.5240551820383732E-3</v>
      </c>
      <c r="D156" s="227">
        <f>IF(D166=0,0,D164/D166)</f>
        <v>1.431809296902811E-3</v>
      </c>
      <c r="E156" s="227">
        <f>IF(E166=0,0,E164/E166)</f>
        <v>1.1065849967711373E-3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1.3961790960790898E-3</v>
      </c>
      <c r="D157" s="227">
        <f>IF(D166=0,0,D165/D166)</f>
        <v>1.6633544754407672E-3</v>
      </c>
      <c r="E157" s="227">
        <f>IF(E166=0,0,E165/E166)</f>
        <v>4.9523589644659991E-4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279787342</v>
      </c>
      <c r="D160" s="229">
        <f>+D44-D164</f>
        <v>301938525</v>
      </c>
      <c r="E160" s="229">
        <f>+E44-E164</f>
        <v>286970914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264981399</v>
      </c>
      <c r="D161" s="229">
        <f>+D50</f>
        <v>260274962</v>
      </c>
      <c r="E161" s="229">
        <f>+E50</f>
        <v>275515865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94027452</v>
      </c>
      <c r="D162" s="229">
        <f>+D54</f>
        <v>93910370</v>
      </c>
      <c r="E162" s="229">
        <f>+E54</f>
        <v>101488590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976412</v>
      </c>
      <c r="D164" s="229">
        <f>+D45</f>
        <v>942361</v>
      </c>
      <c r="E164" s="229">
        <f>+E45</f>
        <v>735924</v>
      </c>
    </row>
    <row r="165" spans="1:6" ht="20.100000000000001" customHeight="1" x14ac:dyDescent="0.2">
      <c r="A165" s="226">
        <v>13</v>
      </c>
      <c r="B165" s="224" t="s">
        <v>417</v>
      </c>
      <c r="C165" s="230">
        <v>894486</v>
      </c>
      <c r="D165" s="229">
        <v>1094755</v>
      </c>
      <c r="E165" s="229">
        <v>329352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640667091</v>
      </c>
      <c r="D166" s="229">
        <f>SUM(D160:D165)</f>
        <v>658160973</v>
      </c>
      <c r="E166" s="229">
        <f>SUM(E160:E165)</f>
        <v>665040645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10289</v>
      </c>
      <c r="D169" s="218">
        <v>10159</v>
      </c>
      <c r="E169" s="218">
        <v>9526</v>
      </c>
    </row>
    <row r="170" spans="1:6" ht="20.100000000000001" customHeight="1" x14ac:dyDescent="0.2">
      <c r="A170" s="226">
        <v>2</v>
      </c>
      <c r="B170" s="224" t="s">
        <v>420</v>
      </c>
      <c r="C170" s="218">
        <v>13861</v>
      </c>
      <c r="D170" s="218">
        <v>14271</v>
      </c>
      <c r="E170" s="218">
        <v>13744</v>
      </c>
    </row>
    <row r="171" spans="1:6" ht="20.100000000000001" customHeight="1" x14ac:dyDescent="0.2">
      <c r="A171" s="226">
        <v>3</v>
      </c>
      <c r="B171" s="224" t="s">
        <v>421</v>
      </c>
      <c r="C171" s="218">
        <v>7872</v>
      </c>
      <c r="D171" s="218">
        <v>7857</v>
      </c>
      <c r="E171" s="218">
        <v>7876</v>
      </c>
    </row>
    <row r="172" spans="1:6" ht="20.100000000000001" customHeight="1" x14ac:dyDescent="0.2">
      <c r="A172" s="226">
        <v>4</v>
      </c>
      <c r="B172" s="224" t="s">
        <v>422</v>
      </c>
      <c r="C172" s="218">
        <v>7872</v>
      </c>
      <c r="D172" s="218">
        <v>7857</v>
      </c>
      <c r="E172" s="218">
        <v>7876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89</v>
      </c>
      <c r="D174" s="218">
        <v>79</v>
      </c>
      <c r="E174" s="218">
        <v>88</v>
      </c>
    </row>
    <row r="175" spans="1:6" ht="20.100000000000001" customHeight="1" x14ac:dyDescent="0.2">
      <c r="A175" s="226">
        <v>7</v>
      </c>
      <c r="B175" s="224" t="s">
        <v>425</v>
      </c>
      <c r="C175" s="218">
        <v>253</v>
      </c>
      <c r="D175" s="218">
        <v>281</v>
      </c>
      <c r="E175" s="218">
        <v>319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32111</v>
      </c>
      <c r="D176" s="218">
        <f>+D169+D170+D171+D174</f>
        <v>32366</v>
      </c>
      <c r="E176" s="218">
        <f>+E169+E170+E171+E174</f>
        <v>31234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1.4084000000000001</v>
      </c>
      <c r="D179" s="231">
        <v>1.4196</v>
      </c>
      <c r="E179" s="231">
        <v>1.4157</v>
      </c>
    </row>
    <row r="180" spans="1:6" ht="20.100000000000001" customHeight="1" x14ac:dyDescent="0.2">
      <c r="A180" s="226">
        <v>2</v>
      </c>
      <c r="B180" s="224" t="s">
        <v>420</v>
      </c>
      <c r="C180" s="231">
        <v>1.7150000000000001</v>
      </c>
      <c r="D180" s="231">
        <v>1.6898</v>
      </c>
      <c r="E180" s="231">
        <v>1.696</v>
      </c>
    </row>
    <row r="181" spans="1:6" ht="20.100000000000001" customHeight="1" x14ac:dyDescent="0.2">
      <c r="A181" s="226">
        <v>3</v>
      </c>
      <c r="B181" s="224" t="s">
        <v>421</v>
      </c>
      <c r="C181" s="231">
        <v>1.1131</v>
      </c>
      <c r="D181" s="231">
        <v>1.1608000000000001</v>
      </c>
      <c r="E181" s="231">
        <v>1.1567000000000001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1.1131</v>
      </c>
      <c r="D182" s="231">
        <v>1.1608000000000001</v>
      </c>
      <c r="E182" s="231">
        <v>1.1567000000000001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1.1055999999999999</v>
      </c>
      <c r="D184" s="231">
        <v>1.0992</v>
      </c>
      <c r="E184" s="231">
        <v>1.07</v>
      </c>
    </row>
    <row r="185" spans="1:6" ht="20.100000000000001" customHeight="1" x14ac:dyDescent="0.2">
      <c r="A185" s="226">
        <v>7</v>
      </c>
      <c r="B185" s="224" t="s">
        <v>425</v>
      </c>
      <c r="C185" s="231">
        <v>1.2406999999999999</v>
      </c>
      <c r="D185" s="231">
        <v>1.2102999999999999</v>
      </c>
      <c r="E185" s="231">
        <v>1.2447999999999999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1.467514</v>
      </c>
      <c r="D186" s="231">
        <v>1.475131</v>
      </c>
      <c r="E186" s="231">
        <v>1.4727570000000001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16654</v>
      </c>
      <c r="D189" s="218">
        <v>17868</v>
      </c>
      <c r="E189" s="218">
        <v>17605</v>
      </c>
    </row>
    <row r="190" spans="1:6" ht="20.100000000000001" customHeight="1" x14ac:dyDescent="0.2">
      <c r="A190" s="226">
        <v>2</v>
      </c>
      <c r="B190" s="224" t="s">
        <v>433</v>
      </c>
      <c r="C190" s="218">
        <v>62547</v>
      </c>
      <c r="D190" s="218">
        <v>63204</v>
      </c>
      <c r="E190" s="218">
        <v>65315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79201</v>
      </c>
      <c r="D191" s="218">
        <f>+D190+D189</f>
        <v>81072</v>
      </c>
      <c r="E191" s="218">
        <f>+E190+E189</f>
        <v>82920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FILING&amp;RSAINT FRANCIS HOSPITAL AND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7916801</v>
      </c>
      <c r="D14" s="258">
        <v>6097468</v>
      </c>
      <c r="E14" s="258">
        <f t="shared" ref="E14:E24" si="0">D14-C14</f>
        <v>-1819333</v>
      </c>
      <c r="F14" s="259">
        <f t="shared" ref="F14:F24" si="1">IF(C14=0,0,E14/C14)</f>
        <v>-0.22980658475563551</v>
      </c>
    </row>
    <row r="15" spans="1:7" ht="20.25" customHeight="1" x14ac:dyDescent="0.3">
      <c r="A15" s="256">
        <v>2</v>
      </c>
      <c r="B15" s="257" t="s">
        <v>442</v>
      </c>
      <c r="C15" s="258">
        <v>2434962</v>
      </c>
      <c r="D15" s="258">
        <v>1842214</v>
      </c>
      <c r="E15" s="258">
        <f t="shared" si="0"/>
        <v>-592748</v>
      </c>
      <c r="F15" s="259">
        <f t="shared" si="1"/>
        <v>-0.24343213569657349</v>
      </c>
    </row>
    <row r="16" spans="1:7" ht="20.25" customHeight="1" x14ac:dyDescent="0.3">
      <c r="A16" s="256">
        <v>3</v>
      </c>
      <c r="B16" s="257" t="s">
        <v>443</v>
      </c>
      <c r="C16" s="258">
        <v>5331972</v>
      </c>
      <c r="D16" s="258">
        <v>3380062</v>
      </c>
      <c r="E16" s="258">
        <f t="shared" si="0"/>
        <v>-1951910</v>
      </c>
      <c r="F16" s="259">
        <f t="shared" si="1"/>
        <v>-0.3660765660434826</v>
      </c>
    </row>
    <row r="17" spans="1:6" ht="20.25" customHeight="1" x14ac:dyDescent="0.3">
      <c r="A17" s="256">
        <v>4</v>
      </c>
      <c r="B17" s="257" t="s">
        <v>444</v>
      </c>
      <c r="C17" s="258">
        <v>1618281</v>
      </c>
      <c r="D17" s="258">
        <v>1002912</v>
      </c>
      <c r="E17" s="258">
        <f t="shared" si="0"/>
        <v>-615369</v>
      </c>
      <c r="F17" s="259">
        <f t="shared" si="1"/>
        <v>-0.38026090648039496</v>
      </c>
    </row>
    <row r="18" spans="1:6" ht="20.25" customHeight="1" x14ac:dyDescent="0.3">
      <c r="A18" s="256">
        <v>5</v>
      </c>
      <c r="B18" s="257" t="s">
        <v>381</v>
      </c>
      <c r="C18" s="260">
        <v>192</v>
      </c>
      <c r="D18" s="260">
        <v>117</v>
      </c>
      <c r="E18" s="260">
        <f t="shared" si="0"/>
        <v>-75</v>
      </c>
      <c r="F18" s="259">
        <f t="shared" si="1"/>
        <v>-0.390625</v>
      </c>
    </row>
    <row r="19" spans="1:6" ht="20.25" customHeight="1" x14ac:dyDescent="0.3">
      <c r="A19" s="256">
        <v>6</v>
      </c>
      <c r="B19" s="257" t="s">
        <v>380</v>
      </c>
      <c r="C19" s="260">
        <v>1084</v>
      </c>
      <c r="D19" s="260">
        <v>733</v>
      </c>
      <c r="E19" s="260">
        <f t="shared" si="0"/>
        <v>-351</v>
      </c>
      <c r="F19" s="259">
        <f t="shared" si="1"/>
        <v>-0.32380073800738007</v>
      </c>
    </row>
    <row r="20" spans="1:6" ht="20.25" customHeight="1" x14ac:dyDescent="0.3">
      <c r="A20" s="256">
        <v>7</v>
      </c>
      <c r="B20" s="257" t="s">
        <v>445</v>
      </c>
      <c r="C20" s="260">
        <v>1197</v>
      </c>
      <c r="D20" s="260">
        <v>714</v>
      </c>
      <c r="E20" s="260">
        <f t="shared" si="0"/>
        <v>-483</v>
      </c>
      <c r="F20" s="259">
        <f t="shared" si="1"/>
        <v>-0.40350877192982454</v>
      </c>
    </row>
    <row r="21" spans="1:6" ht="20.25" customHeight="1" x14ac:dyDescent="0.3">
      <c r="A21" s="256">
        <v>8</v>
      </c>
      <c r="B21" s="257" t="s">
        <v>446</v>
      </c>
      <c r="C21" s="260">
        <v>239</v>
      </c>
      <c r="D21" s="260">
        <v>118</v>
      </c>
      <c r="E21" s="260">
        <f t="shared" si="0"/>
        <v>-121</v>
      </c>
      <c r="F21" s="259">
        <f t="shared" si="1"/>
        <v>-0.50627615062761511</v>
      </c>
    </row>
    <row r="22" spans="1:6" ht="20.25" customHeight="1" x14ac:dyDescent="0.3">
      <c r="A22" s="256">
        <v>9</v>
      </c>
      <c r="B22" s="257" t="s">
        <v>447</v>
      </c>
      <c r="C22" s="260">
        <v>139</v>
      </c>
      <c r="D22" s="260">
        <v>83</v>
      </c>
      <c r="E22" s="260">
        <f t="shared" si="0"/>
        <v>-56</v>
      </c>
      <c r="F22" s="259">
        <f t="shared" si="1"/>
        <v>-0.40287769784172661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13248773</v>
      </c>
      <c r="D23" s="263">
        <f>+D14+D16</f>
        <v>9477530</v>
      </c>
      <c r="E23" s="263">
        <f t="shared" si="0"/>
        <v>-3771243</v>
      </c>
      <c r="F23" s="264">
        <f t="shared" si="1"/>
        <v>-0.28464847273026717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4053243</v>
      </c>
      <c r="D24" s="263">
        <f>+D15+D17</f>
        <v>2845126</v>
      </c>
      <c r="E24" s="263">
        <f t="shared" si="0"/>
        <v>-1208117</v>
      </c>
      <c r="F24" s="264">
        <f t="shared" si="1"/>
        <v>-0.29806182358175909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38475876</v>
      </c>
      <c r="D40" s="258">
        <v>52717232</v>
      </c>
      <c r="E40" s="258">
        <f t="shared" ref="E40:E50" si="4">D40-C40</f>
        <v>14241356</v>
      </c>
      <c r="F40" s="259">
        <f t="shared" ref="F40:F50" si="5">IF(C40=0,0,E40/C40)</f>
        <v>0.37013727770616578</v>
      </c>
    </row>
    <row r="41" spans="1:6" ht="20.25" customHeight="1" x14ac:dyDescent="0.3">
      <c r="A41" s="256">
        <v>2</v>
      </c>
      <c r="B41" s="257" t="s">
        <v>442</v>
      </c>
      <c r="C41" s="258">
        <v>14586590</v>
      </c>
      <c r="D41" s="258">
        <v>18365461</v>
      </c>
      <c r="E41" s="258">
        <f t="shared" si="4"/>
        <v>3778871</v>
      </c>
      <c r="F41" s="259">
        <f t="shared" si="5"/>
        <v>0.25906473000200869</v>
      </c>
    </row>
    <row r="42" spans="1:6" ht="20.25" customHeight="1" x14ac:dyDescent="0.3">
      <c r="A42" s="256">
        <v>3</v>
      </c>
      <c r="B42" s="257" t="s">
        <v>443</v>
      </c>
      <c r="C42" s="258">
        <v>21049496</v>
      </c>
      <c r="D42" s="258">
        <v>21675186</v>
      </c>
      <c r="E42" s="258">
        <f t="shared" si="4"/>
        <v>625690</v>
      </c>
      <c r="F42" s="259">
        <f t="shared" si="5"/>
        <v>2.9724702197145243E-2</v>
      </c>
    </row>
    <row r="43" spans="1:6" ht="20.25" customHeight="1" x14ac:dyDescent="0.3">
      <c r="A43" s="256">
        <v>4</v>
      </c>
      <c r="B43" s="257" t="s">
        <v>444</v>
      </c>
      <c r="C43" s="258">
        <v>5427268</v>
      </c>
      <c r="D43" s="258">
        <v>5031455</v>
      </c>
      <c r="E43" s="258">
        <f t="shared" si="4"/>
        <v>-395813</v>
      </c>
      <c r="F43" s="259">
        <f t="shared" si="5"/>
        <v>-7.2930432033207135E-2</v>
      </c>
    </row>
    <row r="44" spans="1:6" ht="20.25" customHeight="1" x14ac:dyDescent="0.3">
      <c r="A44" s="256">
        <v>5</v>
      </c>
      <c r="B44" s="257" t="s">
        <v>381</v>
      </c>
      <c r="C44" s="260">
        <v>849</v>
      </c>
      <c r="D44" s="260">
        <v>994</v>
      </c>
      <c r="E44" s="260">
        <f t="shared" si="4"/>
        <v>145</v>
      </c>
      <c r="F44" s="259">
        <f t="shared" si="5"/>
        <v>0.17078916372202591</v>
      </c>
    </row>
    <row r="45" spans="1:6" ht="20.25" customHeight="1" x14ac:dyDescent="0.3">
      <c r="A45" s="256">
        <v>6</v>
      </c>
      <c r="B45" s="257" t="s">
        <v>380</v>
      </c>
      <c r="C45" s="260">
        <v>4562</v>
      </c>
      <c r="D45" s="260">
        <v>5522</v>
      </c>
      <c r="E45" s="260">
        <f t="shared" si="4"/>
        <v>960</v>
      </c>
      <c r="F45" s="259">
        <f t="shared" si="5"/>
        <v>0.2104340201665936</v>
      </c>
    </row>
    <row r="46" spans="1:6" ht="20.25" customHeight="1" x14ac:dyDescent="0.3">
      <c r="A46" s="256">
        <v>7</v>
      </c>
      <c r="B46" s="257" t="s">
        <v>445</v>
      </c>
      <c r="C46" s="260">
        <v>3761</v>
      </c>
      <c r="D46" s="260">
        <v>3571</v>
      </c>
      <c r="E46" s="260">
        <f t="shared" si="4"/>
        <v>-190</v>
      </c>
      <c r="F46" s="259">
        <f t="shared" si="5"/>
        <v>-5.0518479127891515E-2</v>
      </c>
    </row>
    <row r="47" spans="1:6" ht="20.25" customHeight="1" x14ac:dyDescent="0.3">
      <c r="A47" s="256">
        <v>8</v>
      </c>
      <c r="B47" s="257" t="s">
        <v>446</v>
      </c>
      <c r="C47" s="260">
        <v>513</v>
      </c>
      <c r="D47" s="260">
        <v>551</v>
      </c>
      <c r="E47" s="260">
        <f t="shared" si="4"/>
        <v>38</v>
      </c>
      <c r="F47" s="259">
        <f t="shared" si="5"/>
        <v>7.407407407407407E-2</v>
      </c>
    </row>
    <row r="48" spans="1:6" ht="20.25" customHeight="1" x14ac:dyDescent="0.3">
      <c r="A48" s="256">
        <v>9</v>
      </c>
      <c r="B48" s="257" t="s">
        <v>447</v>
      </c>
      <c r="C48" s="260">
        <v>492</v>
      </c>
      <c r="D48" s="260">
        <v>627</v>
      </c>
      <c r="E48" s="260">
        <f t="shared" si="4"/>
        <v>135</v>
      </c>
      <c r="F48" s="259">
        <f t="shared" si="5"/>
        <v>0.27439024390243905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59525372</v>
      </c>
      <c r="D49" s="263">
        <f>+D40+D42</f>
        <v>74392418</v>
      </c>
      <c r="E49" s="263">
        <f t="shared" si="4"/>
        <v>14867046</v>
      </c>
      <c r="F49" s="264">
        <f t="shared" si="5"/>
        <v>0.24975981670471542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20013858</v>
      </c>
      <c r="D50" s="263">
        <f>+D41+D43</f>
        <v>23396916</v>
      </c>
      <c r="E50" s="263">
        <f t="shared" si="4"/>
        <v>3383058</v>
      </c>
      <c r="F50" s="264">
        <f t="shared" si="5"/>
        <v>0.16903577511142528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1361169</v>
      </c>
      <c r="D66" s="258">
        <v>1771472</v>
      </c>
      <c r="E66" s="258">
        <f t="shared" ref="E66:E76" si="8">D66-C66</f>
        <v>410303</v>
      </c>
      <c r="F66" s="259">
        <f t="shared" ref="F66:F76" si="9">IF(C66=0,0,E66/C66)</f>
        <v>0.30143428185625737</v>
      </c>
    </row>
    <row r="67" spans="1:6" ht="20.25" customHeight="1" x14ac:dyDescent="0.3">
      <c r="A67" s="256">
        <v>2</v>
      </c>
      <c r="B67" s="257" t="s">
        <v>442</v>
      </c>
      <c r="C67" s="258">
        <v>1127244</v>
      </c>
      <c r="D67" s="258">
        <v>1116467</v>
      </c>
      <c r="E67" s="258">
        <f t="shared" si="8"/>
        <v>-10777</v>
      </c>
      <c r="F67" s="259">
        <f t="shared" si="9"/>
        <v>-9.5604855736646198E-3</v>
      </c>
    </row>
    <row r="68" spans="1:6" ht="20.25" customHeight="1" x14ac:dyDescent="0.3">
      <c r="A68" s="256">
        <v>3</v>
      </c>
      <c r="B68" s="257" t="s">
        <v>443</v>
      </c>
      <c r="C68" s="258">
        <v>788470</v>
      </c>
      <c r="D68" s="258">
        <v>842440</v>
      </c>
      <c r="E68" s="258">
        <f t="shared" si="8"/>
        <v>53970</v>
      </c>
      <c r="F68" s="259">
        <f t="shared" si="9"/>
        <v>6.8449021522695858E-2</v>
      </c>
    </row>
    <row r="69" spans="1:6" ht="20.25" customHeight="1" x14ac:dyDescent="0.3">
      <c r="A69" s="256">
        <v>4</v>
      </c>
      <c r="B69" s="257" t="s">
        <v>444</v>
      </c>
      <c r="C69" s="258">
        <v>295104</v>
      </c>
      <c r="D69" s="258">
        <v>365959</v>
      </c>
      <c r="E69" s="258">
        <f t="shared" si="8"/>
        <v>70855</v>
      </c>
      <c r="F69" s="259">
        <f t="shared" si="9"/>
        <v>0.24010179462155715</v>
      </c>
    </row>
    <row r="70" spans="1:6" ht="20.25" customHeight="1" x14ac:dyDescent="0.3">
      <c r="A70" s="256">
        <v>5</v>
      </c>
      <c r="B70" s="257" t="s">
        <v>381</v>
      </c>
      <c r="C70" s="260">
        <v>66</v>
      </c>
      <c r="D70" s="260">
        <v>78</v>
      </c>
      <c r="E70" s="260">
        <f t="shared" si="8"/>
        <v>12</v>
      </c>
      <c r="F70" s="259">
        <f t="shared" si="9"/>
        <v>0.18181818181818182</v>
      </c>
    </row>
    <row r="71" spans="1:6" ht="20.25" customHeight="1" x14ac:dyDescent="0.3">
      <c r="A71" s="256">
        <v>6</v>
      </c>
      <c r="B71" s="257" t="s">
        <v>380</v>
      </c>
      <c r="C71" s="260">
        <v>354</v>
      </c>
      <c r="D71" s="260">
        <v>724</v>
      </c>
      <c r="E71" s="260">
        <f t="shared" si="8"/>
        <v>370</v>
      </c>
      <c r="F71" s="259">
        <f t="shared" si="9"/>
        <v>1.0451977401129944</v>
      </c>
    </row>
    <row r="72" spans="1:6" ht="20.25" customHeight="1" x14ac:dyDescent="0.3">
      <c r="A72" s="256">
        <v>7</v>
      </c>
      <c r="B72" s="257" t="s">
        <v>445</v>
      </c>
      <c r="C72" s="260">
        <v>106</v>
      </c>
      <c r="D72" s="260">
        <v>79</v>
      </c>
      <c r="E72" s="260">
        <f t="shared" si="8"/>
        <v>-27</v>
      </c>
      <c r="F72" s="259">
        <f t="shared" si="9"/>
        <v>-0.25471698113207547</v>
      </c>
    </row>
    <row r="73" spans="1:6" ht="20.25" customHeight="1" x14ac:dyDescent="0.3">
      <c r="A73" s="256">
        <v>8</v>
      </c>
      <c r="B73" s="257" t="s">
        <v>446</v>
      </c>
      <c r="C73" s="260">
        <v>69</v>
      </c>
      <c r="D73" s="260">
        <v>79</v>
      </c>
      <c r="E73" s="260">
        <f t="shared" si="8"/>
        <v>10</v>
      </c>
      <c r="F73" s="259">
        <f t="shared" si="9"/>
        <v>0.14492753623188406</v>
      </c>
    </row>
    <row r="74" spans="1:6" ht="20.25" customHeight="1" x14ac:dyDescent="0.3">
      <c r="A74" s="256">
        <v>9</v>
      </c>
      <c r="B74" s="257" t="s">
        <v>447</v>
      </c>
      <c r="C74" s="260">
        <v>49</v>
      </c>
      <c r="D74" s="260">
        <v>43</v>
      </c>
      <c r="E74" s="260">
        <f t="shared" si="8"/>
        <v>-6</v>
      </c>
      <c r="F74" s="259">
        <f t="shared" si="9"/>
        <v>-0.12244897959183673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2149639</v>
      </c>
      <c r="D75" s="263">
        <f>+D66+D68</f>
        <v>2613912</v>
      </c>
      <c r="E75" s="263">
        <f t="shared" si="8"/>
        <v>464273</v>
      </c>
      <c r="F75" s="264">
        <f t="shared" si="9"/>
        <v>0.21597719431030046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1422348</v>
      </c>
      <c r="D76" s="263">
        <f>+D67+D69</f>
        <v>1482426</v>
      </c>
      <c r="E76" s="263">
        <f t="shared" si="8"/>
        <v>60078</v>
      </c>
      <c r="F76" s="264">
        <f t="shared" si="9"/>
        <v>4.2238608273080847E-2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13273609</v>
      </c>
      <c r="D105" s="258">
        <v>23292189</v>
      </c>
      <c r="E105" s="258">
        <f t="shared" ref="E105:E115" si="14">D105-C105</f>
        <v>10018580</v>
      </c>
      <c r="F105" s="259">
        <f t="shared" ref="F105:F115" si="15">IF(C105=0,0,E105/C105)</f>
        <v>0.7547743797485672</v>
      </c>
    </row>
    <row r="106" spans="1:6" ht="20.25" customHeight="1" x14ac:dyDescent="0.3">
      <c r="A106" s="256">
        <v>2</v>
      </c>
      <c r="B106" s="257" t="s">
        <v>442</v>
      </c>
      <c r="C106" s="258">
        <v>4711692</v>
      </c>
      <c r="D106" s="258">
        <v>7451404</v>
      </c>
      <c r="E106" s="258">
        <f t="shared" si="14"/>
        <v>2739712</v>
      </c>
      <c r="F106" s="259">
        <f t="shared" si="15"/>
        <v>0.58147094504479491</v>
      </c>
    </row>
    <row r="107" spans="1:6" ht="20.25" customHeight="1" x14ac:dyDescent="0.3">
      <c r="A107" s="256">
        <v>3</v>
      </c>
      <c r="B107" s="257" t="s">
        <v>443</v>
      </c>
      <c r="C107" s="258">
        <v>10066684</v>
      </c>
      <c r="D107" s="258">
        <v>15020708</v>
      </c>
      <c r="E107" s="258">
        <f t="shared" si="14"/>
        <v>4954024</v>
      </c>
      <c r="F107" s="259">
        <f t="shared" si="15"/>
        <v>0.49212074204375544</v>
      </c>
    </row>
    <row r="108" spans="1:6" ht="20.25" customHeight="1" x14ac:dyDescent="0.3">
      <c r="A108" s="256">
        <v>4</v>
      </c>
      <c r="B108" s="257" t="s">
        <v>444</v>
      </c>
      <c r="C108" s="258">
        <v>1754059</v>
      </c>
      <c r="D108" s="258">
        <v>3846254</v>
      </c>
      <c r="E108" s="258">
        <f t="shared" si="14"/>
        <v>2092195</v>
      </c>
      <c r="F108" s="259">
        <f t="shared" si="15"/>
        <v>1.1927734471873523</v>
      </c>
    </row>
    <row r="109" spans="1:6" ht="20.25" customHeight="1" x14ac:dyDescent="0.3">
      <c r="A109" s="256">
        <v>5</v>
      </c>
      <c r="B109" s="257" t="s">
        <v>381</v>
      </c>
      <c r="C109" s="260">
        <v>392</v>
      </c>
      <c r="D109" s="260">
        <v>516</v>
      </c>
      <c r="E109" s="260">
        <f t="shared" si="14"/>
        <v>124</v>
      </c>
      <c r="F109" s="259">
        <f t="shared" si="15"/>
        <v>0.31632653061224492</v>
      </c>
    </row>
    <row r="110" spans="1:6" ht="20.25" customHeight="1" x14ac:dyDescent="0.3">
      <c r="A110" s="256">
        <v>6</v>
      </c>
      <c r="B110" s="257" t="s">
        <v>380</v>
      </c>
      <c r="C110" s="260">
        <v>1937</v>
      </c>
      <c r="D110" s="260">
        <v>2988</v>
      </c>
      <c r="E110" s="260">
        <f t="shared" si="14"/>
        <v>1051</v>
      </c>
      <c r="F110" s="259">
        <f t="shared" si="15"/>
        <v>0.54259163655136811</v>
      </c>
    </row>
    <row r="111" spans="1:6" ht="20.25" customHeight="1" x14ac:dyDescent="0.3">
      <c r="A111" s="256">
        <v>7</v>
      </c>
      <c r="B111" s="257" t="s">
        <v>445</v>
      </c>
      <c r="C111" s="260">
        <v>3419</v>
      </c>
      <c r="D111" s="260">
        <v>4463</v>
      </c>
      <c r="E111" s="260">
        <f t="shared" si="14"/>
        <v>1044</v>
      </c>
      <c r="F111" s="259">
        <f t="shared" si="15"/>
        <v>0.30535244223457153</v>
      </c>
    </row>
    <row r="112" spans="1:6" ht="20.25" customHeight="1" x14ac:dyDescent="0.3">
      <c r="A112" s="256">
        <v>8</v>
      </c>
      <c r="B112" s="257" t="s">
        <v>446</v>
      </c>
      <c r="C112" s="260">
        <v>889</v>
      </c>
      <c r="D112" s="260">
        <v>1181</v>
      </c>
      <c r="E112" s="260">
        <f t="shared" si="14"/>
        <v>292</v>
      </c>
      <c r="F112" s="259">
        <f t="shared" si="15"/>
        <v>0.32845894263217096</v>
      </c>
    </row>
    <row r="113" spans="1:6" ht="20.25" customHeight="1" x14ac:dyDescent="0.3">
      <c r="A113" s="256">
        <v>9</v>
      </c>
      <c r="B113" s="257" t="s">
        <v>447</v>
      </c>
      <c r="C113" s="260">
        <v>343</v>
      </c>
      <c r="D113" s="260">
        <v>436</v>
      </c>
      <c r="E113" s="260">
        <f t="shared" si="14"/>
        <v>93</v>
      </c>
      <c r="F113" s="259">
        <f t="shared" si="15"/>
        <v>0.27113702623906705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23340293</v>
      </c>
      <c r="D114" s="263">
        <f>+D105+D107</f>
        <v>38312897</v>
      </c>
      <c r="E114" s="263">
        <f t="shared" si="14"/>
        <v>14972604</v>
      </c>
      <c r="F114" s="264">
        <f t="shared" si="15"/>
        <v>0.64149168992865691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6465751</v>
      </c>
      <c r="D115" s="263">
        <f>+D106+D108</f>
        <v>11297658</v>
      </c>
      <c r="E115" s="263">
        <f t="shared" si="14"/>
        <v>4831907</v>
      </c>
      <c r="F115" s="264">
        <f t="shared" si="15"/>
        <v>0.74730793066420276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15030451</v>
      </c>
      <c r="D118" s="258">
        <v>22393615</v>
      </c>
      <c r="E118" s="258">
        <f t="shared" ref="E118:E128" si="16">D118-C118</f>
        <v>7363164</v>
      </c>
      <c r="F118" s="259">
        <f t="shared" ref="F118:F128" si="17">IF(C118=0,0,E118/C118)</f>
        <v>0.48988310463870977</v>
      </c>
    </row>
    <row r="119" spans="1:6" ht="20.25" customHeight="1" x14ac:dyDescent="0.3">
      <c r="A119" s="256">
        <v>2</v>
      </c>
      <c r="B119" s="257" t="s">
        <v>442</v>
      </c>
      <c r="C119" s="258">
        <v>4626084</v>
      </c>
      <c r="D119" s="258">
        <v>7448446</v>
      </c>
      <c r="E119" s="258">
        <f t="shared" si="16"/>
        <v>2822362</v>
      </c>
      <c r="F119" s="259">
        <f t="shared" si="17"/>
        <v>0.61009743878407741</v>
      </c>
    </row>
    <row r="120" spans="1:6" ht="20.25" customHeight="1" x14ac:dyDescent="0.3">
      <c r="A120" s="256">
        <v>3</v>
      </c>
      <c r="B120" s="257" t="s">
        <v>443</v>
      </c>
      <c r="C120" s="258">
        <v>8836481</v>
      </c>
      <c r="D120" s="258">
        <v>12028709</v>
      </c>
      <c r="E120" s="258">
        <f t="shared" si="16"/>
        <v>3192228</v>
      </c>
      <c r="F120" s="259">
        <f t="shared" si="17"/>
        <v>0.36125557221251309</v>
      </c>
    </row>
    <row r="121" spans="1:6" ht="20.25" customHeight="1" x14ac:dyDescent="0.3">
      <c r="A121" s="256">
        <v>4</v>
      </c>
      <c r="B121" s="257" t="s">
        <v>444</v>
      </c>
      <c r="C121" s="258">
        <v>1892298</v>
      </c>
      <c r="D121" s="258">
        <v>2526216</v>
      </c>
      <c r="E121" s="258">
        <f t="shared" si="16"/>
        <v>633918</v>
      </c>
      <c r="F121" s="259">
        <f t="shared" si="17"/>
        <v>0.33499903292187594</v>
      </c>
    </row>
    <row r="122" spans="1:6" ht="20.25" customHeight="1" x14ac:dyDescent="0.3">
      <c r="A122" s="256">
        <v>5</v>
      </c>
      <c r="B122" s="257" t="s">
        <v>381</v>
      </c>
      <c r="C122" s="260">
        <v>393</v>
      </c>
      <c r="D122" s="260">
        <v>514</v>
      </c>
      <c r="E122" s="260">
        <f t="shared" si="16"/>
        <v>121</v>
      </c>
      <c r="F122" s="259">
        <f t="shared" si="17"/>
        <v>0.30788804071246817</v>
      </c>
    </row>
    <row r="123" spans="1:6" ht="20.25" customHeight="1" x14ac:dyDescent="0.3">
      <c r="A123" s="256">
        <v>6</v>
      </c>
      <c r="B123" s="257" t="s">
        <v>380</v>
      </c>
      <c r="C123" s="260">
        <v>1907</v>
      </c>
      <c r="D123" s="260">
        <v>2485</v>
      </c>
      <c r="E123" s="260">
        <f t="shared" si="16"/>
        <v>578</v>
      </c>
      <c r="F123" s="259">
        <f t="shared" si="17"/>
        <v>0.30309386470896699</v>
      </c>
    </row>
    <row r="124" spans="1:6" ht="20.25" customHeight="1" x14ac:dyDescent="0.3">
      <c r="A124" s="256">
        <v>7</v>
      </c>
      <c r="B124" s="257" t="s">
        <v>445</v>
      </c>
      <c r="C124" s="260">
        <v>1710</v>
      </c>
      <c r="D124" s="260">
        <v>2321</v>
      </c>
      <c r="E124" s="260">
        <f t="shared" si="16"/>
        <v>611</v>
      </c>
      <c r="F124" s="259">
        <f t="shared" si="17"/>
        <v>0.35730994152046786</v>
      </c>
    </row>
    <row r="125" spans="1:6" ht="20.25" customHeight="1" x14ac:dyDescent="0.3">
      <c r="A125" s="256">
        <v>8</v>
      </c>
      <c r="B125" s="257" t="s">
        <v>446</v>
      </c>
      <c r="C125" s="260">
        <v>376</v>
      </c>
      <c r="D125" s="260">
        <v>512</v>
      </c>
      <c r="E125" s="260">
        <f t="shared" si="16"/>
        <v>136</v>
      </c>
      <c r="F125" s="259">
        <f t="shared" si="17"/>
        <v>0.36170212765957449</v>
      </c>
    </row>
    <row r="126" spans="1:6" ht="20.25" customHeight="1" x14ac:dyDescent="0.3">
      <c r="A126" s="256">
        <v>9</v>
      </c>
      <c r="B126" s="257" t="s">
        <v>447</v>
      </c>
      <c r="C126" s="260">
        <v>267</v>
      </c>
      <c r="D126" s="260">
        <v>364</v>
      </c>
      <c r="E126" s="260">
        <f t="shared" si="16"/>
        <v>97</v>
      </c>
      <c r="F126" s="259">
        <f t="shared" si="17"/>
        <v>0.36329588014981273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23866932</v>
      </c>
      <c r="D127" s="263">
        <f>+D118+D120</f>
        <v>34422324</v>
      </c>
      <c r="E127" s="263">
        <f t="shared" si="16"/>
        <v>10555392</v>
      </c>
      <c r="F127" s="264">
        <f t="shared" si="17"/>
        <v>0.4422601111864734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6518382</v>
      </c>
      <c r="D128" s="263">
        <f>+D119+D121</f>
        <v>9974662</v>
      </c>
      <c r="E128" s="263">
        <f t="shared" si="16"/>
        <v>3456280</v>
      </c>
      <c r="F128" s="264">
        <f t="shared" si="17"/>
        <v>0.53023587755366286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56747101</v>
      </c>
      <c r="D183" s="258">
        <v>56612535</v>
      </c>
      <c r="E183" s="258">
        <f t="shared" ref="E183:E193" si="26">D183-C183</f>
        <v>-134566</v>
      </c>
      <c r="F183" s="259">
        <f t="shared" ref="F183:F193" si="27">IF(C183=0,0,E183/C183)</f>
        <v>-2.3713281846767819E-3</v>
      </c>
    </row>
    <row r="184" spans="1:6" ht="20.25" customHeight="1" x14ac:dyDescent="0.3">
      <c r="A184" s="256">
        <v>2</v>
      </c>
      <c r="B184" s="257" t="s">
        <v>442</v>
      </c>
      <c r="C184" s="258">
        <v>18899031</v>
      </c>
      <c r="D184" s="258">
        <v>18460046</v>
      </c>
      <c r="E184" s="258">
        <f t="shared" si="26"/>
        <v>-438985</v>
      </c>
      <c r="F184" s="259">
        <f t="shared" si="27"/>
        <v>-2.3227910468002301E-2</v>
      </c>
    </row>
    <row r="185" spans="1:6" ht="20.25" customHeight="1" x14ac:dyDescent="0.3">
      <c r="A185" s="256">
        <v>3</v>
      </c>
      <c r="B185" s="257" t="s">
        <v>443</v>
      </c>
      <c r="C185" s="258">
        <v>28806019</v>
      </c>
      <c r="D185" s="258">
        <v>31792281</v>
      </c>
      <c r="E185" s="258">
        <f t="shared" si="26"/>
        <v>2986262</v>
      </c>
      <c r="F185" s="259">
        <f t="shared" si="27"/>
        <v>0.10366798688843468</v>
      </c>
    </row>
    <row r="186" spans="1:6" ht="20.25" customHeight="1" x14ac:dyDescent="0.3">
      <c r="A186" s="256">
        <v>4</v>
      </c>
      <c r="B186" s="257" t="s">
        <v>444</v>
      </c>
      <c r="C186" s="258">
        <v>5851920</v>
      </c>
      <c r="D186" s="258">
        <v>7128318</v>
      </c>
      <c r="E186" s="258">
        <f t="shared" si="26"/>
        <v>1276398</v>
      </c>
      <c r="F186" s="259">
        <f t="shared" si="27"/>
        <v>0.21811610548332855</v>
      </c>
    </row>
    <row r="187" spans="1:6" ht="20.25" customHeight="1" x14ac:dyDescent="0.3">
      <c r="A187" s="256">
        <v>5</v>
      </c>
      <c r="B187" s="257" t="s">
        <v>381</v>
      </c>
      <c r="C187" s="260">
        <v>1299</v>
      </c>
      <c r="D187" s="260">
        <v>1227</v>
      </c>
      <c r="E187" s="260">
        <f t="shared" si="26"/>
        <v>-72</v>
      </c>
      <c r="F187" s="259">
        <f t="shared" si="27"/>
        <v>-5.5427251732101619E-2</v>
      </c>
    </row>
    <row r="188" spans="1:6" ht="20.25" customHeight="1" x14ac:dyDescent="0.3">
      <c r="A188" s="256">
        <v>6</v>
      </c>
      <c r="B188" s="257" t="s">
        <v>380</v>
      </c>
      <c r="C188" s="260">
        <v>7610</v>
      </c>
      <c r="D188" s="260">
        <v>7010</v>
      </c>
      <c r="E188" s="260">
        <f t="shared" si="26"/>
        <v>-600</v>
      </c>
      <c r="F188" s="259">
        <f t="shared" si="27"/>
        <v>-7.8843626806833114E-2</v>
      </c>
    </row>
    <row r="189" spans="1:6" ht="20.25" customHeight="1" x14ac:dyDescent="0.3">
      <c r="A189" s="256">
        <v>7</v>
      </c>
      <c r="B189" s="257" t="s">
        <v>445</v>
      </c>
      <c r="C189" s="260">
        <v>7008</v>
      </c>
      <c r="D189" s="260">
        <v>6705</v>
      </c>
      <c r="E189" s="260">
        <f t="shared" si="26"/>
        <v>-303</v>
      </c>
      <c r="F189" s="259">
        <f t="shared" si="27"/>
        <v>-4.3236301369863013E-2</v>
      </c>
    </row>
    <row r="190" spans="1:6" ht="20.25" customHeight="1" x14ac:dyDescent="0.3">
      <c r="A190" s="256">
        <v>8</v>
      </c>
      <c r="B190" s="257" t="s">
        <v>446</v>
      </c>
      <c r="C190" s="260">
        <v>1333</v>
      </c>
      <c r="D190" s="260">
        <v>1497</v>
      </c>
      <c r="E190" s="260">
        <f t="shared" si="26"/>
        <v>164</v>
      </c>
      <c r="F190" s="259">
        <f t="shared" si="27"/>
        <v>0.12303075768942236</v>
      </c>
    </row>
    <row r="191" spans="1:6" ht="20.25" customHeight="1" x14ac:dyDescent="0.3">
      <c r="A191" s="256">
        <v>9</v>
      </c>
      <c r="B191" s="257" t="s">
        <v>447</v>
      </c>
      <c r="C191" s="260">
        <v>962</v>
      </c>
      <c r="D191" s="260">
        <v>914</v>
      </c>
      <c r="E191" s="260">
        <f t="shared" si="26"/>
        <v>-48</v>
      </c>
      <c r="F191" s="259">
        <f t="shared" si="27"/>
        <v>-4.9896049896049899E-2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85553120</v>
      </c>
      <c r="D192" s="263">
        <f>+D183+D185</f>
        <v>88404816</v>
      </c>
      <c r="E192" s="263">
        <f t="shared" si="26"/>
        <v>2851696</v>
      </c>
      <c r="F192" s="264">
        <f t="shared" si="27"/>
        <v>3.3332460581215508E-2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24750951</v>
      </c>
      <c r="D193" s="263">
        <f>+D184+D186</f>
        <v>25588364</v>
      </c>
      <c r="E193" s="263">
        <f t="shared" si="26"/>
        <v>837413</v>
      </c>
      <c r="F193" s="264">
        <f t="shared" si="27"/>
        <v>3.3833568657624512E-2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132805007</v>
      </c>
      <c r="D198" s="263">
        <f t="shared" si="28"/>
        <v>162884511</v>
      </c>
      <c r="E198" s="263">
        <f t="shared" ref="E198:E208" si="29">D198-C198</f>
        <v>30079504</v>
      </c>
      <c r="F198" s="273">
        <f t="shared" ref="F198:F208" si="30">IF(C198=0,0,E198/C198)</f>
        <v>0.2264937495918358</v>
      </c>
    </row>
    <row r="199" spans="1:9" ht="20.25" customHeight="1" x14ac:dyDescent="0.3">
      <c r="A199" s="271"/>
      <c r="B199" s="272" t="s">
        <v>466</v>
      </c>
      <c r="C199" s="263">
        <f t="shared" si="28"/>
        <v>46385603</v>
      </c>
      <c r="D199" s="263">
        <f t="shared" si="28"/>
        <v>54684038</v>
      </c>
      <c r="E199" s="263">
        <f t="shared" si="29"/>
        <v>8298435</v>
      </c>
      <c r="F199" s="273">
        <f t="shared" si="30"/>
        <v>0.17890109135802332</v>
      </c>
    </row>
    <row r="200" spans="1:9" ht="20.25" customHeight="1" x14ac:dyDescent="0.3">
      <c r="A200" s="271"/>
      <c r="B200" s="272" t="s">
        <v>467</v>
      </c>
      <c r="C200" s="263">
        <f t="shared" si="28"/>
        <v>74879122</v>
      </c>
      <c r="D200" s="263">
        <f t="shared" si="28"/>
        <v>84739386</v>
      </c>
      <c r="E200" s="263">
        <f t="shared" si="29"/>
        <v>9860264</v>
      </c>
      <c r="F200" s="273">
        <f t="shared" si="30"/>
        <v>0.13168242010102629</v>
      </c>
    </row>
    <row r="201" spans="1:9" ht="20.25" customHeight="1" x14ac:dyDescent="0.3">
      <c r="A201" s="271"/>
      <c r="B201" s="272" t="s">
        <v>468</v>
      </c>
      <c r="C201" s="263">
        <f t="shared" si="28"/>
        <v>16838930</v>
      </c>
      <c r="D201" s="263">
        <f t="shared" si="28"/>
        <v>19901114</v>
      </c>
      <c r="E201" s="263">
        <f t="shared" si="29"/>
        <v>3062184</v>
      </c>
      <c r="F201" s="273">
        <f t="shared" si="30"/>
        <v>0.18185145968300837</v>
      </c>
    </row>
    <row r="202" spans="1:9" ht="20.25" customHeight="1" x14ac:dyDescent="0.3">
      <c r="A202" s="271"/>
      <c r="B202" s="272" t="s">
        <v>138</v>
      </c>
      <c r="C202" s="274">
        <f t="shared" si="28"/>
        <v>3191</v>
      </c>
      <c r="D202" s="274">
        <f t="shared" si="28"/>
        <v>3446</v>
      </c>
      <c r="E202" s="274">
        <f t="shared" si="29"/>
        <v>255</v>
      </c>
      <c r="F202" s="273">
        <f t="shared" si="30"/>
        <v>7.9912253212159196E-2</v>
      </c>
    </row>
    <row r="203" spans="1:9" ht="20.25" customHeight="1" x14ac:dyDescent="0.3">
      <c r="A203" s="271"/>
      <c r="B203" s="272" t="s">
        <v>140</v>
      </c>
      <c r="C203" s="274">
        <f t="shared" si="28"/>
        <v>17454</v>
      </c>
      <c r="D203" s="274">
        <f t="shared" si="28"/>
        <v>19462</v>
      </c>
      <c r="E203" s="274">
        <f t="shared" si="29"/>
        <v>2008</v>
      </c>
      <c r="F203" s="273">
        <f t="shared" si="30"/>
        <v>0.11504526183109889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17201</v>
      </c>
      <c r="D204" s="274">
        <f t="shared" si="28"/>
        <v>17853</v>
      </c>
      <c r="E204" s="274">
        <f t="shared" si="29"/>
        <v>652</v>
      </c>
      <c r="F204" s="273">
        <f t="shared" si="30"/>
        <v>3.7904772978315217E-2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3419</v>
      </c>
      <c r="D205" s="274">
        <f t="shared" si="28"/>
        <v>3938</v>
      </c>
      <c r="E205" s="274">
        <f t="shared" si="29"/>
        <v>519</v>
      </c>
      <c r="F205" s="273">
        <f t="shared" si="30"/>
        <v>0.15179877157063468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2252</v>
      </c>
      <c r="D206" s="274">
        <f t="shared" si="28"/>
        <v>2467</v>
      </c>
      <c r="E206" s="274">
        <f t="shared" si="29"/>
        <v>215</v>
      </c>
      <c r="F206" s="273">
        <f t="shared" si="30"/>
        <v>9.5470692717584363E-2</v>
      </c>
    </row>
    <row r="207" spans="1:9" ht="20.25" customHeight="1" x14ac:dyDescent="0.3">
      <c r="A207" s="271"/>
      <c r="B207" s="262" t="s">
        <v>471</v>
      </c>
      <c r="C207" s="263">
        <f>+C198+C200</f>
        <v>207684129</v>
      </c>
      <c r="D207" s="263">
        <f>+D198+D200</f>
        <v>247623897</v>
      </c>
      <c r="E207" s="263">
        <f t="shared" si="29"/>
        <v>39939768</v>
      </c>
      <c r="F207" s="273">
        <f t="shared" si="30"/>
        <v>0.19231015962707482</v>
      </c>
    </row>
    <row r="208" spans="1:9" ht="20.25" customHeight="1" x14ac:dyDescent="0.3">
      <c r="A208" s="271"/>
      <c r="B208" s="262" t="s">
        <v>472</v>
      </c>
      <c r="C208" s="263">
        <f>+C199+C201</f>
        <v>63224533</v>
      </c>
      <c r="D208" s="263">
        <f>+D199+D201</f>
        <v>74585152</v>
      </c>
      <c r="E208" s="263">
        <f t="shared" si="29"/>
        <v>11360619</v>
      </c>
      <c r="F208" s="273">
        <f t="shared" si="30"/>
        <v>0.17968687882597725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D42" sqref="D42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97524000</v>
      </c>
      <c r="D13" s="22">
        <v>93155000</v>
      </c>
      <c r="E13" s="22">
        <f t="shared" ref="E13:E22" si="0">D13-C13</f>
        <v>-4369000</v>
      </c>
      <c r="F13" s="306">
        <f t="shared" ref="F13:F22" si="1">IF(C13=0,0,E13/C13)</f>
        <v>-4.479922890775604E-2</v>
      </c>
    </row>
    <row r="14" spans="1:8" ht="24" customHeight="1" x14ac:dyDescent="0.2">
      <c r="A14" s="304">
        <v>2</v>
      </c>
      <c r="B14" s="305" t="s">
        <v>17</v>
      </c>
      <c r="C14" s="22">
        <v>50685000</v>
      </c>
      <c r="D14" s="22">
        <v>42241000</v>
      </c>
      <c r="E14" s="22">
        <f t="shared" si="0"/>
        <v>-8444000</v>
      </c>
      <c r="F14" s="306">
        <f t="shared" si="1"/>
        <v>-0.16659761270592877</v>
      </c>
    </row>
    <row r="15" spans="1:8" ht="35.1" customHeight="1" x14ac:dyDescent="0.2">
      <c r="A15" s="304">
        <v>3</v>
      </c>
      <c r="B15" s="305" t="s">
        <v>18</v>
      </c>
      <c r="C15" s="22">
        <v>72901000</v>
      </c>
      <c r="D15" s="22">
        <v>84904000</v>
      </c>
      <c r="E15" s="22">
        <f t="shared" si="0"/>
        <v>12003000</v>
      </c>
      <c r="F15" s="306">
        <f t="shared" si="1"/>
        <v>0.16464794721608758</v>
      </c>
    </row>
    <row r="16" spans="1:8" ht="35.1" customHeight="1" x14ac:dyDescent="0.2">
      <c r="A16" s="304">
        <v>4</v>
      </c>
      <c r="B16" s="305" t="s">
        <v>19</v>
      </c>
      <c r="C16" s="22">
        <v>4883000</v>
      </c>
      <c r="D16" s="22">
        <v>1459000</v>
      </c>
      <c r="E16" s="22">
        <f t="shared" si="0"/>
        <v>-3424000</v>
      </c>
      <c r="F16" s="306">
        <f t="shared" si="1"/>
        <v>-0.70120827360229365</v>
      </c>
    </row>
    <row r="17" spans="1:11" ht="24" customHeight="1" x14ac:dyDescent="0.2">
      <c r="A17" s="304">
        <v>5</v>
      </c>
      <c r="B17" s="305" t="s">
        <v>20</v>
      </c>
      <c r="C17" s="22">
        <v>1812000</v>
      </c>
      <c r="D17" s="22">
        <v>1346000</v>
      </c>
      <c r="E17" s="22">
        <f t="shared" si="0"/>
        <v>-466000</v>
      </c>
      <c r="F17" s="306">
        <f t="shared" si="1"/>
        <v>-0.25717439293598232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7209000</v>
      </c>
      <c r="D19" s="22">
        <v>8855000</v>
      </c>
      <c r="E19" s="22">
        <f t="shared" si="0"/>
        <v>1646000</v>
      </c>
      <c r="F19" s="306">
        <f t="shared" si="1"/>
        <v>0.22832570398113469</v>
      </c>
    </row>
    <row r="20" spans="1:11" ht="24" customHeight="1" x14ac:dyDescent="0.2">
      <c r="A20" s="304">
        <v>8</v>
      </c>
      <c r="B20" s="305" t="s">
        <v>23</v>
      </c>
      <c r="C20" s="22">
        <v>5829000</v>
      </c>
      <c r="D20" s="22">
        <v>6778000</v>
      </c>
      <c r="E20" s="22">
        <f t="shared" si="0"/>
        <v>949000</v>
      </c>
      <c r="F20" s="306">
        <f t="shared" si="1"/>
        <v>0.16280665637330588</v>
      </c>
    </row>
    <row r="21" spans="1:11" ht="24" customHeight="1" x14ac:dyDescent="0.2">
      <c r="A21" s="304">
        <v>9</v>
      </c>
      <c r="B21" s="305" t="s">
        <v>24</v>
      </c>
      <c r="C21" s="22">
        <v>5889000</v>
      </c>
      <c r="D21" s="22">
        <v>5547000</v>
      </c>
      <c r="E21" s="22">
        <f t="shared" si="0"/>
        <v>-342000</v>
      </c>
      <c r="F21" s="306">
        <f t="shared" si="1"/>
        <v>-5.8074375955170655E-2</v>
      </c>
    </row>
    <row r="22" spans="1:11" ht="24" customHeight="1" x14ac:dyDescent="0.25">
      <c r="A22" s="307"/>
      <c r="B22" s="308" t="s">
        <v>25</v>
      </c>
      <c r="C22" s="309">
        <f>SUM(C13:C21)</f>
        <v>246732000</v>
      </c>
      <c r="D22" s="309">
        <f>SUM(D13:D21)</f>
        <v>244285000</v>
      </c>
      <c r="E22" s="309">
        <f t="shared" si="0"/>
        <v>-2447000</v>
      </c>
      <c r="F22" s="310">
        <f t="shared" si="1"/>
        <v>-9.9176434349820854E-3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51164000</v>
      </c>
      <c r="D25" s="22">
        <v>53033000</v>
      </c>
      <c r="E25" s="22">
        <f>D25-C25</f>
        <v>1869000</v>
      </c>
      <c r="F25" s="306">
        <f>IF(C25=0,0,E25/C25)</f>
        <v>3.6529591118755374E-2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51522000</v>
      </c>
      <c r="D26" s="22">
        <v>60751000</v>
      </c>
      <c r="E26" s="22">
        <f>D26-C26</f>
        <v>9229000</v>
      </c>
      <c r="F26" s="306">
        <f>IF(C26=0,0,E26/C26)</f>
        <v>0.17912736306820387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4167000</v>
      </c>
      <c r="D28" s="22">
        <v>3784000</v>
      </c>
      <c r="E28" s="22">
        <f>D28-C28</f>
        <v>-383000</v>
      </c>
      <c r="F28" s="306">
        <f>IF(C28=0,0,E28/C28)</f>
        <v>-9.1912646988240934E-2</v>
      </c>
    </row>
    <row r="29" spans="1:11" ht="35.1" customHeight="1" x14ac:dyDescent="0.25">
      <c r="A29" s="307"/>
      <c r="B29" s="308" t="s">
        <v>32</v>
      </c>
      <c r="C29" s="309">
        <f>SUM(C25:C28)</f>
        <v>106853000</v>
      </c>
      <c r="D29" s="309">
        <f>SUM(D25:D28)</f>
        <v>117568000</v>
      </c>
      <c r="E29" s="309">
        <f>D29-C29</f>
        <v>10715000</v>
      </c>
      <c r="F29" s="310">
        <f>IF(C29=0,0,E29/C29)</f>
        <v>0.10027795195268266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15209000</v>
      </c>
      <c r="D32" s="22">
        <v>16156000</v>
      </c>
      <c r="E32" s="22">
        <f>D32-C32</f>
        <v>947000</v>
      </c>
      <c r="F32" s="306">
        <f>IF(C32=0,0,E32/C32)</f>
        <v>6.2265763692550463E-2</v>
      </c>
    </row>
    <row r="33" spans="1:8" ht="24" customHeight="1" x14ac:dyDescent="0.2">
      <c r="A33" s="304">
        <v>7</v>
      </c>
      <c r="B33" s="305" t="s">
        <v>35</v>
      </c>
      <c r="C33" s="22">
        <v>18549000</v>
      </c>
      <c r="D33" s="22">
        <v>22987000</v>
      </c>
      <c r="E33" s="22">
        <f>D33-C33</f>
        <v>4438000</v>
      </c>
      <c r="F33" s="306">
        <f>IF(C33=0,0,E33/C33)</f>
        <v>0.239258181034018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807881000</v>
      </c>
      <c r="D36" s="22">
        <v>878962000</v>
      </c>
      <c r="E36" s="22">
        <f>D36-C36</f>
        <v>71081000</v>
      </c>
      <c r="F36" s="306">
        <f>IF(C36=0,0,E36/C36)</f>
        <v>8.7984492765642464E-2</v>
      </c>
    </row>
    <row r="37" spans="1:8" ht="24" customHeight="1" x14ac:dyDescent="0.2">
      <c r="A37" s="304">
        <v>2</v>
      </c>
      <c r="B37" s="305" t="s">
        <v>39</v>
      </c>
      <c r="C37" s="22">
        <v>379697000</v>
      </c>
      <c r="D37" s="22">
        <v>416786000</v>
      </c>
      <c r="E37" s="22">
        <f>D37-C37</f>
        <v>37089000</v>
      </c>
      <c r="F37" s="22">
        <f>IF(C37=0,0,E37/C37)</f>
        <v>9.768051894010224E-2</v>
      </c>
    </row>
    <row r="38" spans="1:8" ht="24" customHeight="1" x14ac:dyDescent="0.25">
      <c r="A38" s="307"/>
      <c r="B38" s="308" t="s">
        <v>40</v>
      </c>
      <c r="C38" s="309">
        <f>C36-C37</f>
        <v>428184000</v>
      </c>
      <c r="D38" s="309">
        <f>D36-D37</f>
        <v>462176000</v>
      </c>
      <c r="E38" s="309">
        <f>D38-C38</f>
        <v>33992000</v>
      </c>
      <c r="F38" s="310">
        <f>IF(C38=0,0,E38/C38)</f>
        <v>7.9386432001195745E-2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40032000</v>
      </c>
      <c r="D40" s="22">
        <v>13587000</v>
      </c>
      <c r="E40" s="22">
        <f>D40-C40</f>
        <v>-26445000</v>
      </c>
      <c r="F40" s="306">
        <f>IF(C40=0,0,E40/C40)</f>
        <v>-0.66059652278177461</v>
      </c>
    </row>
    <row r="41" spans="1:8" ht="24" customHeight="1" x14ac:dyDescent="0.25">
      <c r="A41" s="307"/>
      <c r="B41" s="308" t="s">
        <v>42</v>
      </c>
      <c r="C41" s="309">
        <f>+C38+C40</f>
        <v>468216000</v>
      </c>
      <c r="D41" s="309">
        <f>+D38+D40</f>
        <v>475763000</v>
      </c>
      <c r="E41" s="309">
        <f>D41-C41</f>
        <v>7547000</v>
      </c>
      <c r="F41" s="310">
        <f>IF(C41=0,0,E41/C41)</f>
        <v>1.611862900883353E-2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855559000</v>
      </c>
      <c r="D43" s="309">
        <f>D22+D29+D31+D32+D33+D41</f>
        <v>876759000</v>
      </c>
      <c r="E43" s="309">
        <f>D43-C43</f>
        <v>21200000</v>
      </c>
      <c r="F43" s="310">
        <f>IF(C43=0,0,E43/C43)</f>
        <v>2.477912101912317E-2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37123000</v>
      </c>
      <c r="D49" s="22">
        <v>37210000</v>
      </c>
      <c r="E49" s="22">
        <f t="shared" ref="E49:E56" si="2">D49-C49</f>
        <v>87000</v>
      </c>
      <c r="F49" s="306">
        <f t="shared" ref="F49:F56" si="3">IF(C49=0,0,E49/C49)</f>
        <v>2.3435605958570158E-3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46219000</v>
      </c>
      <c r="D50" s="22">
        <v>49723000</v>
      </c>
      <c r="E50" s="22">
        <f t="shared" si="2"/>
        <v>3504000</v>
      </c>
      <c r="F50" s="306">
        <f t="shared" si="3"/>
        <v>7.5812977346978519E-2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14021000</v>
      </c>
      <c r="D51" s="22">
        <v>15780000</v>
      </c>
      <c r="E51" s="22">
        <f t="shared" si="2"/>
        <v>1759000</v>
      </c>
      <c r="F51" s="306">
        <f t="shared" si="3"/>
        <v>0.1254546751301619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8819000</v>
      </c>
      <c r="D53" s="22">
        <v>8760000</v>
      </c>
      <c r="E53" s="22">
        <f t="shared" si="2"/>
        <v>-59000</v>
      </c>
      <c r="F53" s="306">
        <f t="shared" si="3"/>
        <v>-6.6901009184714821E-3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6550000</v>
      </c>
      <c r="D55" s="22">
        <v>7455000</v>
      </c>
      <c r="E55" s="22">
        <f t="shared" si="2"/>
        <v>905000</v>
      </c>
      <c r="F55" s="306">
        <f t="shared" si="3"/>
        <v>0.13816793893129772</v>
      </c>
    </row>
    <row r="56" spans="1:6" ht="24" customHeight="1" x14ac:dyDescent="0.25">
      <c r="A56" s="307"/>
      <c r="B56" s="308" t="s">
        <v>54</v>
      </c>
      <c r="C56" s="309">
        <f>SUM(C49:C55)</f>
        <v>112732000</v>
      </c>
      <c r="D56" s="309">
        <f>SUM(D49:D55)</f>
        <v>118928000</v>
      </c>
      <c r="E56" s="309">
        <f t="shared" si="2"/>
        <v>6196000</v>
      </c>
      <c r="F56" s="310">
        <f t="shared" si="3"/>
        <v>5.4962211262108367E-2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258637000</v>
      </c>
      <c r="D59" s="22">
        <v>251476000</v>
      </c>
      <c r="E59" s="22">
        <f>D59-C59</f>
        <v>-7161000</v>
      </c>
      <c r="F59" s="306">
        <f>IF(C59=0,0,E59/C59)</f>
        <v>-2.7687453844577534E-2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258637000</v>
      </c>
      <c r="D61" s="309">
        <f>SUM(D59:D60)</f>
        <v>251476000</v>
      </c>
      <c r="E61" s="309">
        <f>D61-C61</f>
        <v>-7161000</v>
      </c>
      <c r="F61" s="310">
        <f>IF(C61=0,0,E61/C61)</f>
        <v>-2.7687453844577534E-2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223617000</v>
      </c>
      <c r="D63" s="22">
        <v>285634000</v>
      </c>
      <c r="E63" s="22">
        <f>D63-C63</f>
        <v>62017000</v>
      </c>
      <c r="F63" s="306">
        <f>IF(C63=0,0,E63/C63)</f>
        <v>0.27733580183975282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0</v>
      </c>
      <c r="E64" s="22">
        <f>D64-C64</f>
        <v>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482254000</v>
      </c>
      <c r="D65" s="309">
        <f>SUM(D61:D64)</f>
        <v>537110000</v>
      </c>
      <c r="E65" s="309">
        <f>D65-C65</f>
        <v>54856000</v>
      </c>
      <c r="F65" s="310">
        <f>IF(C65=0,0,E65/C65)</f>
        <v>0.11374918611354183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178467000</v>
      </c>
      <c r="D70" s="22">
        <v>137311000</v>
      </c>
      <c r="E70" s="22">
        <f>D70-C70</f>
        <v>-41156000</v>
      </c>
      <c r="F70" s="306">
        <f>IF(C70=0,0,E70/C70)</f>
        <v>-0.23060845982730702</v>
      </c>
    </row>
    <row r="71" spans="1:6" ht="24" customHeight="1" x14ac:dyDescent="0.2">
      <c r="A71" s="304">
        <v>2</v>
      </c>
      <c r="B71" s="305" t="s">
        <v>65</v>
      </c>
      <c r="C71" s="22">
        <v>26656000</v>
      </c>
      <c r="D71" s="22">
        <v>26091000</v>
      </c>
      <c r="E71" s="22">
        <f>D71-C71</f>
        <v>-565000</v>
      </c>
      <c r="F71" s="306">
        <f>IF(C71=0,0,E71/C71)</f>
        <v>-2.1195978391356542E-2</v>
      </c>
    </row>
    <row r="72" spans="1:6" ht="24" customHeight="1" x14ac:dyDescent="0.2">
      <c r="A72" s="304">
        <v>3</v>
      </c>
      <c r="B72" s="305" t="s">
        <v>66</v>
      </c>
      <c r="C72" s="22">
        <v>55450000</v>
      </c>
      <c r="D72" s="22">
        <v>57319000</v>
      </c>
      <c r="E72" s="22">
        <f>D72-C72</f>
        <v>1869000</v>
      </c>
      <c r="F72" s="306">
        <f>IF(C72=0,0,E72/C72)</f>
        <v>3.3706041478809741E-2</v>
      </c>
    </row>
    <row r="73" spans="1:6" ht="24" customHeight="1" x14ac:dyDescent="0.25">
      <c r="A73" s="304"/>
      <c r="B73" s="308" t="s">
        <v>67</v>
      </c>
      <c r="C73" s="309">
        <f>SUM(C70:C72)</f>
        <v>260573000</v>
      </c>
      <c r="D73" s="309">
        <f>SUM(D70:D72)</f>
        <v>220721000</v>
      </c>
      <c r="E73" s="309">
        <f>D73-C73</f>
        <v>-39852000</v>
      </c>
      <c r="F73" s="310">
        <f>IF(C73=0,0,E73/C73)</f>
        <v>-0.15293986713895913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855559000</v>
      </c>
      <c r="D75" s="309">
        <f>D56+D65+D67+D73</f>
        <v>876759000</v>
      </c>
      <c r="E75" s="309">
        <f>D75-C75</f>
        <v>21200000</v>
      </c>
      <c r="F75" s="310">
        <f>IF(C75=0,0,E75/C75)</f>
        <v>2.477912101912317E-2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FILING&amp;RSAINT FRANCIS CARE,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2200109000</v>
      </c>
      <c r="D11" s="76">
        <v>2287499000</v>
      </c>
      <c r="E11" s="76">
        <f t="shared" ref="E11:E20" si="0">D11-C11</f>
        <v>87390000</v>
      </c>
      <c r="F11" s="77">
        <f t="shared" ref="F11:F20" si="1">IF(C11=0,0,E11/C11)</f>
        <v>3.9720759289653379E-2</v>
      </c>
    </row>
    <row r="12" spans="1:7" ht="23.1" customHeight="1" x14ac:dyDescent="0.2">
      <c r="A12" s="74">
        <v>2</v>
      </c>
      <c r="B12" s="75" t="s">
        <v>72</v>
      </c>
      <c r="C12" s="76">
        <v>1422379000</v>
      </c>
      <c r="D12" s="76">
        <v>1485018000</v>
      </c>
      <c r="E12" s="76">
        <f t="shared" si="0"/>
        <v>62639000</v>
      </c>
      <c r="F12" s="77">
        <f t="shared" si="1"/>
        <v>4.4038192352389906E-2</v>
      </c>
    </row>
    <row r="13" spans="1:7" ht="23.1" customHeight="1" x14ac:dyDescent="0.2">
      <c r="A13" s="74">
        <v>3</v>
      </c>
      <c r="B13" s="75" t="s">
        <v>73</v>
      </c>
      <c r="C13" s="76">
        <v>19567000</v>
      </c>
      <c r="D13" s="76">
        <v>19154000</v>
      </c>
      <c r="E13" s="76">
        <f t="shared" si="0"/>
        <v>-413000</v>
      </c>
      <c r="F13" s="77">
        <f t="shared" si="1"/>
        <v>-2.1106965809781775E-2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758163000</v>
      </c>
      <c r="D15" s="79">
        <f>D11-D12-D13-D14</f>
        <v>783327000</v>
      </c>
      <c r="E15" s="79">
        <f t="shared" si="0"/>
        <v>25164000</v>
      </c>
      <c r="F15" s="80">
        <f t="shared" si="1"/>
        <v>3.3190751856790691E-2</v>
      </c>
    </row>
    <row r="16" spans="1:7" ht="23.1" customHeight="1" x14ac:dyDescent="0.2">
      <c r="A16" s="74">
        <v>5</v>
      </c>
      <c r="B16" s="75" t="s">
        <v>76</v>
      </c>
      <c r="C16" s="76">
        <v>23311000</v>
      </c>
      <c r="D16" s="76">
        <v>26546000</v>
      </c>
      <c r="E16" s="76">
        <f t="shared" si="0"/>
        <v>3235000</v>
      </c>
      <c r="F16" s="77">
        <f t="shared" si="1"/>
        <v>0.13877568529878598</v>
      </c>
      <c r="G16" s="65"/>
    </row>
    <row r="17" spans="1:7" ht="31.5" customHeight="1" x14ac:dyDescent="0.25">
      <c r="A17" s="71"/>
      <c r="B17" s="81" t="s">
        <v>77</v>
      </c>
      <c r="C17" s="79">
        <f>C15-C16</f>
        <v>734852000</v>
      </c>
      <c r="D17" s="79">
        <f>D15-D16</f>
        <v>756781000</v>
      </c>
      <c r="E17" s="79">
        <f t="shared" si="0"/>
        <v>21929000</v>
      </c>
      <c r="F17" s="80">
        <f t="shared" si="1"/>
        <v>2.9841383026786347E-2</v>
      </c>
    </row>
    <row r="18" spans="1:7" ht="23.1" customHeight="1" x14ac:dyDescent="0.2">
      <c r="A18" s="74">
        <v>6</v>
      </c>
      <c r="B18" s="75" t="s">
        <v>78</v>
      </c>
      <c r="C18" s="76">
        <v>39764000</v>
      </c>
      <c r="D18" s="76">
        <v>38797000</v>
      </c>
      <c r="E18" s="76">
        <f t="shared" si="0"/>
        <v>-967000</v>
      </c>
      <c r="F18" s="77">
        <f t="shared" si="1"/>
        <v>-2.4318479026254905E-2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9519000</v>
      </c>
      <c r="D19" s="76">
        <v>9644000</v>
      </c>
      <c r="E19" s="76">
        <f t="shared" si="0"/>
        <v>125000</v>
      </c>
      <c r="F19" s="77">
        <f t="shared" si="1"/>
        <v>1.3131631473894317E-2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784135000</v>
      </c>
      <c r="D20" s="79">
        <f>SUM(D17:D19)</f>
        <v>805222000</v>
      </c>
      <c r="E20" s="79">
        <f t="shared" si="0"/>
        <v>21087000</v>
      </c>
      <c r="F20" s="80">
        <f t="shared" si="1"/>
        <v>2.6892053026583432E-2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349214000</v>
      </c>
      <c r="D23" s="76">
        <v>363599000</v>
      </c>
      <c r="E23" s="76">
        <f t="shared" ref="E23:E32" si="2">D23-C23</f>
        <v>14385000</v>
      </c>
      <c r="F23" s="77">
        <f t="shared" ref="F23:F32" si="3">IF(C23=0,0,E23/C23)</f>
        <v>4.1192506600537207E-2</v>
      </c>
    </row>
    <row r="24" spans="1:7" ht="23.1" customHeight="1" x14ac:dyDescent="0.2">
      <c r="A24" s="74">
        <v>2</v>
      </c>
      <c r="B24" s="75" t="s">
        <v>83</v>
      </c>
      <c r="C24" s="76">
        <v>87301000</v>
      </c>
      <c r="D24" s="76">
        <v>86707000</v>
      </c>
      <c r="E24" s="76">
        <f t="shared" si="2"/>
        <v>-594000</v>
      </c>
      <c r="F24" s="77">
        <f t="shared" si="3"/>
        <v>-6.804045772671562E-3</v>
      </c>
    </row>
    <row r="25" spans="1:7" ht="23.1" customHeight="1" x14ac:dyDescent="0.2">
      <c r="A25" s="74">
        <v>3</v>
      </c>
      <c r="B25" s="75" t="s">
        <v>84</v>
      </c>
      <c r="C25" s="76">
        <v>8506000</v>
      </c>
      <c r="D25" s="76">
        <v>25149000</v>
      </c>
      <c r="E25" s="76">
        <f t="shared" si="2"/>
        <v>16643000</v>
      </c>
      <c r="F25" s="77">
        <f t="shared" si="3"/>
        <v>1.9566188572772161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120574000</v>
      </c>
      <c r="D26" s="76">
        <v>120366000</v>
      </c>
      <c r="E26" s="76">
        <f t="shared" si="2"/>
        <v>-208000</v>
      </c>
      <c r="F26" s="77">
        <f t="shared" si="3"/>
        <v>-1.7250816925705376E-3</v>
      </c>
    </row>
    <row r="27" spans="1:7" ht="23.1" customHeight="1" x14ac:dyDescent="0.2">
      <c r="A27" s="74">
        <v>5</v>
      </c>
      <c r="B27" s="75" t="s">
        <v>86</v>
      </c>
      <c r="C27" s="76">
        <v>36733000</v>
      </c>
      <c r="D27" s="76">
        <v>37887000</v>
      </c>
      <c r="E27" s="76">
        <f t="shared" si="2"/>
        <v>1154000</v>
      </c>
      <c r="F27" s="77">
        <f t="shared" si="3"/>
        <v>3.1415893066180277E-2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11601000</v>
      </c>
      <c r="D29" s="76">
        <v>11620000</v>
      </c>
      <c r="E29" s="76">
        <f t="shared" si="2"/>
        <v>19000</v>
      </c>
      <c r="F29" s="77">
        <f t="shared" si="3"/>
        <v>1.6377898457029566E-3</v>
      </c>
    </row>
    <row r="30" spans="1:7" ht="23.1" customHeight="1" x14ac:dyDescent="0.2">
      <c r="A30" s="74">
        <v>8</v>
      </c>
      <c r="B30" s="75" t="s">
        <v>89</v>
      </c>
      <c r="C30" s="76">
        <v>18323000</v>
      </c>
      <c r="D30" s="76">
        <v>9863000</v>
      </c>
      <c r="E30" s="76">
        <f t="shared" si="2"/>
        <v>-8460000</v>
      </c>
      <c r="F30" s="77">
        <f t="shared" si="3"/>
        <v>-0.46171478469682914</v>
      </c>
    </row>
    <row r="31" spans="1:7" ht="23.1" customHeight="1" x14ac:dyDescent="0.2">
      <c r="A31" s="74">
        <v>9</v>
      </c>
      <c r="B31" s="75" t="s">
        <v>90</v>
      </c>
      <c r="C31" s="76">
        <v>143657000</v>
      </c>
      <c r="D31" s="76">
        <v>138508000</v>
      </c>
      <c r="E31" s="76">
        <f t="shared" si="2"/>
        <v>-5149000</v>
      </c>
      <c r="F31" s="77">
        <f t="shared" si="3"/>
        <v>-3.584231885672122E-2</v>
      </c>
    </row>
    <row r="32" spans="1:7" ht="23.1" customHeight="1" x14ac:dyDescent="0.25">
      <c r="A32" s="71"/>
      <c r="B32" s="78" t="s">
        <v>91</v>
      </c>
      <c r="C32" s="79">
        <f>SUM(C23:C31)</f>
        <v>775909000</v>
      </c>
      <c r="D32" s="79">
        <f>SUM(D23:D31)</f>
        <v>793699000</v>
      </c>
      <c r="E32" s="79">
        <f t="shared" si="2"/>
        <v>17790000</v>
      </c>
      <c r="F32" s="80">
        <f t="shared" si="3"/>
        <v>2.2927946447328231E-2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8226000</v>
      </c>
      <c r="D34" s="79">
        <f>+D20-D32</f>
        <v>11523000</v>
      </c>
      <c r="E34" s="79">
        <f>D34-C34</f>
        <v>3297000</v>
      </c>
      <c r="F34" s="80">
        <f>IF(C34=0,0,E34/C34)</f>
        <v>0.40080233406272792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2299000</v>
      </c>
      <c r="D37" s="76">
        <v>3625000</v>
      </c>
      <c r="E37" s="76">
        <f>D37-C37</f>
        <v>1326000</v>
      </c>
      <c r="F37" s="77">
        <f>IF(C37=0,0,E37/C37)</f>
        <v>0.5767725097868639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22218000</v>
      </c>
      <c r="D39" s="76">
        <v>-2424000</v>
      </c>
      <c r="E39" s="76">
        <f>D39-C39</f>
        <v>-24642000</v>
      </c>
      <c r="F39" s="77">
        <f>IF(C39=0,0,E39/C39)</f>
        <v>-1.1091007291385364</v>
      </c>
    </row>
    <row r="40" spans="1:6" ht="23.1" customHeight="1" x14ac:dyDescent="0.25">
      <c r="A40" s="83"/>
      <c r="B40" s="78" t="s">
        <v>97</v>
      </c>
      <c r="C40" s="79">
        <f>SUM(C37:C39)</f>
        <v>24517000</v>
      </c>
      <c r="D40" s="79">
        <f>SUM(D37:D39)</f>
        <v>1201000</v>
      </c>
      <c r="E40" s="79">
        <f>D40-C40</f>
        <v>-23316000</v>
      </c>
      <c r="F40" s="80">
        <f>IF(C40=0,0,E40/C40)</f>
        <v>-0.9510135824122038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32743000</v>
      </c>
      <c r="D42" s="79">
        <f>D34+D40</f>
        <v>12724000</v>
      </c>
      <c r="E42" s="79">
        <f>D42-C42</f>
        <v>-20019000</v>
      </c>
      <c r="F42" s="80">
        <f>IF(C42=0,0,E42/C42)</f>
        <v>-0.6113978560302965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32743000</v>
      </c>
      <c r="D49" s="79">
        <f>D42+D47</f>
        <v>12724000</v>
      </c>
      <c r="E49" s="79">
        <f>D49-C49</f>
        <v>-20019000</v>
      </c>
      <c r="F49" s="80">
        <f>IF(C49=0,0,E49/C49)</f>
        <v>-0.6113978560302965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FILING&amp;R&amp;8SAINT FRANCIS CARE,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2015-07-07T13:58:05Z</cp:lastPrinted>
  <dcterms:created xsi:type="dcterms:W3CDTF">2015-07-07T13:52:31Z</dcterms:created>
  <dcterms:modified xsi:type="dcterms:W3CDTF">2015-07-07T13:58:15Z</dcterms:modified>
</cp:coreProperties>
</file>