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 s="1"/>
  <c r="D86" i="22"/>
  <c r="D88" i="22" s="1"/>
  <c r="C86" i="22"/>
  <c r="C88" i="22" s="1"/>
  <c r="E83" i="22"/>
  <c r="D83" i="22"/>
  <c r="D102" i="22" s="1"/>
  <c r="C83" i="22"/>
  <c r="E76" i="22"/>
  <c r="D76" i="22"/>
  <c r="C76" i="22"/>
  <c r="E75" i="22"/>
  <c r="D75" i="22"/>
  <c r="D77" i="22" s="1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 s="1"/>
  <c r="E21" i="22"/>
  <c r="D21" i="22"/>
  <c r="C21" i="22"/>
  <c r="E12" i="22"/>
  <c r="E33" i="22"/>
  <c r="D12" i="22"/>
  <c r="D34" i="22" s="1"/>
  <c r="D33" i="22"/>
  <c r="C12" i="22"/>
  <c r="C33" i="22" s="1"/>
  <c r="D21" i="21"/>
  <c r="E21" i="21"/>
  <c r="C21" i="21"/>
  <c r="D19" i="21"/>
  <c r="E19" i="21"/>
  <c r="F19" i="21" s="1"/>
  <c r="C19" i="21"/>
  <c r="F17" i="21"/>
  <c r="E17" i="21"/>
  <c r="E15" i="21"/>
  <c r="F15" i="21" s="1"/>
  <c r="D45" i="20"/>
  <c r="E45" i="20"/>
  <c r="C45" i="20"/>
  <c r="D44" i="20"/>
  <c r="E44" i="20" s="1"/>
  <c r="C44" i="20"/>
  <c r="F44" i="20" s="1"/>
  <c r="D43" i="20"/>
  <c r="D46" i="20"/>
  <c r="C43" i="20"/>
  <c r="C46" i="20"/>
  <c r="D36" i="20"/>
  <c r="D40" i="20" s="1"/>
  <c r="C36" i="20"/>
  <c r="C40" i="20" s="1"/>
  <c r="E35" i="20"/>
  <c r="F35" i="20" s="1"/>
  <c r="E34" i="20"/>
  <c r="E33" i="20"/>
  <c r="F33" i="20" s="1"/>
  <c r="F30" i="20"/>
  <c r="E30" i="20"/>
  <c r="F29" i="20"/>
  <c r="E29" i="20"/>
  <c r="E28" i="20"/>
  <c r="F28" i="20" s="1"/>
  <c r="F27" i="20"/>
  <c r="E27" i="20"/>
  <c r="D25" i="20"/>
  <c r="D39" i="20" s="1"/>
  <c r="C25" i="20"/>
  <c r="C39" i="20"/>
  <c r="E24" i="20"/>
  <c r="F24" i="20" s="1"/>
  <c r="F23" i="20"/>
  <c r="E23" i="20"/>
  <c r="E22" i="20"/>
  <c r="F22" i="20" s="1"/>
  <c r="D19" i="20"/>
  <c r="D20" i="20"/>
  <c r="C19" i="20"/>
  <c r="C20" i="20"/>
  <c r="E20" i="20" s="1"/>
  <c r="F18" i="20"/>
  <c r="E18" i="20"/>
  <c r="D16" i="20"/>
  <c r="E16" i="20" s="1"/>
  <c r="C16" i="20"/>
  <c r="E15" i="20"/>
  <c r="F15" i="20" s="1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59" i="19"/>
  <c r="C60" i="19" s="1"/>
  <c r="C48" i="19"/>
  <c r="C36" i="19"/>
  <c r="C32" i="19"/>
  <c r="C33" i="19" s="1"/>
  <c r="C21" i="19"/>
  <c r="C37" i="19"/>
  <c r="E328" i="18"/>
  <c r="E325" i="18"/>
  <c r="D324" i="18"/>
  <c r="D326" i="18" s="1"/>
  <c r="C324" i="18"/>
  <c r="C326" i="18" s="1"/>
  <c r="E318" i="18"/>
  <c r="E315" i="18"/>
  <c r="D314" i="18"/>
  <c r="D316" i="18"/>
  <c r="C314" i="18"/>
  <c r="C316" i="18" s="1"/>
  <c r="C320" i="18" s="1"/>
  <c r="E308" i="18"/>
  <c r="E305" i="18"/>
  <c r="D301" i="18"/>
  <c r="E301" i="18" s="1"/>
  <c r="D303" i="18"/>
  <c r="E303" i="18" s="1"/>
  <c r="C301" i="18"/>
  <c r="D293" i="18"/>
  <c r="E293" i="18" s="1"/>
  <c r="C293" i="18"/>
  <c r="D292" i="18"/>
  <c r="C292" i="18"/>
  <c r="E292" i="18" s="1"/>
  <c r="D291" i="18"/>
  <c r="E291" i="18"/>
  <c r="C291" i="18"/>
  <c r="D290" i="18"/>
  <c r="C290" i="18"/>
  <c r="E290" i="18"/>
  <c r="D288" i="18"/>
  <c r="C288" i="18"/>
  <c r="E288" i="18"/>
  <c r="D287" i="18"/>
  <c r="E287" i="18" s="1"/>
  <c r="C287" i="18"/>
  <c r="D282" i="18"/>
  <c r="C282" i="18"/>
  <c r="E282" i="18"/>
  <c r="D281" i="18"/>
  <c r="E281" i="18" s="1"/>
  <c r="C281" i="18"/>
  <c r="D280" i="18"/>
  <c r="C280" i="18"/>
  <c r="E280" i="18"/>
  <c r="D279" i="18"/>
  <c r="C279" i="18"/>
  <c r="E279" i="18" s="1"/>
  <c r="D278" i="18"/>
  <c r="C278" i="18"/>
  <c r="D277" i="18"/>
  <c r="E277" i="18" s="1"/>
  <c r="C277" i="18"/>
  <c r="D276" i="18"/>
  <c r="C276" i="18"/>
  <c r="E270" i="18"/>
  <c r="D265" i="18"/>
  <c r="D302" i="18"/>
  <c r="C265" i="18"/>
  <c r="C302" i="18"/>
  <c r="D262" i="18"/>
  <c r="C262" i="18"/>
  <c r="D251" i="18"/>
  <c r="C251" i="18"/>
  <c r="D233" i="18"/>
  <c r="C233" i="18"/>
  <c r="D232" i="18"/>
  <c r="E232" i="18" s="1"/>
  <c r="C232" i="18"/>
  <c r="D231" i="18"/>
  <c r="C231" i="18"/>
  <c r="D230" i="18"/>
  <c r="C230" i="18"/>
  <c r="E230" i="18" s="1"/>
  <c r="D228" i="18"/>
  <c r="C228" i="18"/>
  <c r="D227" i="18"/>
  <c r="E227" i="18" s="1"/>
  <c r="C227" i="18"/>
  <c r="D221" i="18"/>
  <c r="C221" i="18"/>
  <c r="D220" i="18"/>
  <c r="C220" i="18"/>
  <c r="D219" i="18"/>
  <c r="D243" i="18" s="1"/>
  <c r="C219" i="18"/>
  <c r="C217" i="18" s="1"/>
  <c r="D218" i="18"/>
  <c r="C218" i="18"/>
  <c r="C242" i="18" s="1"/>
  <c r="D217" i="18"/>
  <c r="D216" i="18"/>
  <c r="D240" i="18" s="1"/>
  <c r="E240" i="18" s="1"/>
  <c r="C216" i="18"/>
  <c r="C240" i="18"/>
  <c r="D215" i="18"/>
  <c r="C215" i="18"/>
  <c r="D210" i="18"/>
  <c r="E209" i="18"/>
  <c r="E208" i="18"/>
  <c r="E207" i="18"/>
  <c r="E206" i="18"/>
  <c r="D205" i="18"/>
  <c r="D229" i="18" s="1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D189" i="18" s="1"/>
  <c r="C188" i="18"/>
  <c r="E186" i="18"/>
  <c r="E185" i="18"/>
  <c r="D179" i="18"/>
  <c r="C179" i="18"/>
  <c r="E179" i="18"/>
  <c r="D178" i="18"/>
  <c r="E178" i="18" s="1"/>
  <c r="C178" i="18"/>
  <c r="D177" i="18"/>
  <c r="C177" i="18"/>
  <c r="E177" i="18"/>
  <c r="D176" i="18"/>
  <c r="C176" i="18"/>
  <c r="E176" i="18" s="1"/>
  <c r="C175" i="18"/>
  <c r="D174" i="18"/>
  <c r="E174" i="18" s="1"/>
  <c r="C174" i="18"/>
  <c r="D173" i="18"/>
  <c r="C173" i="18"/>
  <c r="E173" i="18" s="1"/>
  <c r="D167" i="18"/>
  <c r="E167" i="18" s="1"/>
  <c r="C167" i="18"/>
  <c r="D166" i="18"/>
  <c r="C166" i="18"/>
  <c r="E166" i="18"/>
  <c r="D165" i="18"/>
  <c r="E165" i="18" s="1"/>
  <c r="C165" i="18"/>
  <c r="D164" i="18"/>
  <c r="E164" i="18" s="1"/>
  <c r="C164" i="18"/>
  <c r="D162" i="18"/>
  <c r="C162" i="18"/>
  <c r="E162" i="18"/>
  <c r="D161" i="18"/>
  <c r="C161" i="18"/>
  <c r="E155" i="18"/>
  <c r="E154" i="18"/>
  <c r="E153" i="18"/>
  <c r="E152" i="18"/>
  <c r="D151" i="18"/>
  <c r="C151" i="18"/>
  <c r="C163" i="18" s="1"/>
  <c r="E150" i="18"/>
  <c r="E149" i="18"/>
  <c r="E143" i="18"/>
  <c r="E142" i="18"/>
  <c r="E141" i="18"/>
  <c r="E140" i="18"/>
  <c r="D139" i="18"/>
  <c r="D163" i="18" s="1"/>
  <c r="C139" i="18"/>
  <c r="C144" i="18" s="1"/>
  <c r="E138" i="18"/>
  <c r="E137" i="18"/>
  <c r="D75" i="18"/>
  <c r="E75" i="18" s="1"/>
  <c r="C75" i="18"/>
  <c r="D74" i="18"/>
  <c r="C74" i="18"/>
  <c r="E74" i="18" s="1"/>
  <c r="D73" i="18"/>
  <c r="C73" i="18"/>
  <c r="E73" i="18"/>
  <c r="D72" i="18"/>
  <c r="E72" i="18" s="1"/>
  <c r="C72" i="18"/>
  <c r="D70" i="18"/>
  <c r="E70" i="18"/>
  <c r="C70" i="18"/>
  <c r="C76" i="18"/>
  <c r="C77" i="18" s="1"/>
  <c r="D69" i="18"/>
  <c r="C69" i="18"/>
  <c r="E64" i="18"/>
  <c r="E63" i="18"/>
  <c r="E62" i="18"/>
  <c r="E61" i="18"/>
  <c r="D60" i="18"/>
  <c r="C60" i="18"/>
  <c r="C71" i="18" s="1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/>
  <c r="D40" i="18"/>
  <c r="E40" i="18" s="1"/>
  <c r="C40" i="18"/>
  <c r="D39" i="18"/>
  <c r="C39" i="18"/>
  <c r="E39" i="18" s="1"/>
  <c r="D38" i="18"/>
  <c r="D43" i="18" s="1"/>
  <c r="C38" i="18"/>
  <c r="D37" i="18"/>
  <c r="C37" i="18"/>
  <c r="D36" i="18"/>
  <c r="E36" i="18" s="1"/>
  <c r="C36" i="18"/>
  <c r="D32" i="18"/>
  <c r="C32" i="18"/>
  <c r="C33" i="18" s="1"/>
  <c r="E31" i="18"/>
  <c r="E30" i="18"/>
  <c r="E29" i="18"/>
  <c r="E28" i="18"/>
  <c r="E27" i="18"/>
  <c r="E26" i="18"/>
  <c r="E25" i="18"/>
  <c r="D21" i="18"/>
  <c r="D22" i="18" s="1"/>
  <c r="C21" i="18"/>
  <c r="C283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E332" i="17"/>
  <c r="F332" i="17" s="1"/>
  <c r="E331" i="17"/>
  <c r="F331" i="17" s="1"/>
  <c r="F330" i="17"/>
  <c r="E330" i="17"/>
  <c r="E329" i="17"/>
  <c r="F329" i="17" s="1"/>
  <c r="F316" i="17"/>
  <c r="E316" i="17"/>
  <c r="F311" i="17"/>
  <c r="D311" i="17"/>
  <c r="E311" i="17"/>
  <c r="C311" i="17"/>
  <c r="E308" i="17"/>
  <c r="F308" i="17" s="1"/>
  <c r="D307" i="17"/>
  <c r="E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 s="1"/>
  <c r="E248" i="17"/>
  <c r="F248" i="17" s="1"/>
  <c r="F245" i="17"/>
  <c r="E245" i="17"/>
  <c r="E244" i="17"/>
  <c r="F244" i="17"/>
  <c r="E243" i="17"/>
  <c r="F243" i="17" s="1"/>
  <c r="D238" i="17"/>
  <c r="C238" i="17"/>
  <c r="D237" i="17"/>
  <c r="D239" i="17"/>
  <c r="E239" i="17" s="1"/>
  <c r="F239" i="17" s="1"/>
  <c r="C237" i="17"/>
  <c r="C239" i="17" s="1"/>
  <c r="E234" i="17"/>
  <c r="F234" i="17" s="1"/>
  <c r="E233" i="17"/>
  <c r="F233" i="17" s="1"/>
  <c r="D230" i="17"/>
  <c r="C230" i="17"/>
  <c r="D229" i="17"/>
  <c r="E229" i="17" s="1"/>
  <c r="F229" i="17" s="1"/>
  <c r="C229" i="17"/>
  <c r="E228" i="17"/>
  <c r="F228" i="17" s="1"/>
  <c r="D226" i="17"/>
  <c r="D227" i="17" s="1"/>
  <c r="C226" i="17"/>
  <c r="C227" i="17" s="1"/>
  <c r="E225" i="17"/>
  <c r="F225" i="17" s="1"/>
  <c r="E224" i="17"/>
  <c r="F224" i="17"/>
  <c r="D223" i="17"/>
  <c r="C223" i="17"/>
  <c r="E223" i="17"/>
  <c r="F223" i="17" s="1"/>
  <c r="E222" i="17"/>
  <c r="F222" i="17"/>
  <c r="E221" i="17"/>
  <c r="F221" i="17" s="1"/>
  <c r="D204" i="17"/>
  <c r="C204" i="17"/>
  <c r="C285" i="17"/>
  <c r="D203" i="17"/>
  <c r="C203" i="17"/>
  <c r="D198" i="17"/>
  <c r="C198" i="17"/>
  <c r="C290" i="17"/>
  <c r="D191" i="17"/>
  <c r="D280" i="17"/>
  <c r="C191" i="17"/>
  <c r="D189" i="17"/>
  <c r="D278" i="17" s="1"/>
  <c r="C189" i="17"/>
  <c r="D188" i="17"/>
  <c r="D277" i="17"/>
  <c r="C188" i="17"/>
  <c r="D180" i="17"/>
  <c r="C180" i="17"/>
  <c r="D179" i="17"/>
  <c r="C179" i="17"/>
  <c r="F179" i="17" s="1"/>
  <c r="D171" i="17"/>
  <c r="D172" i="17"/>
  <c r="C171" i="17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F164" i="17"/>
  <c r="D164" i="17"/>
  <c r="E164" i="17"/>
  <c r="C164" i="17"/>
  <c r="F163" i="17"/>
  <c r="E163" i="17"/>
  <c r="D158" i="17"/>
  <c r="D159" i="17"/>
  <c r="C158" i="17"/>
  <c r="F157" i="17"/>
  <c r="E157" i="17"/>
  <c r="F156" i="17"/>
  <c r="E156" i="17"/>
  <c r="D155" i="17"/>
  <c r="E155" i="17" s="1"/>
  <c r="C155" i="17"/>
  <c r="F155" i="17" s="1"/>
  <c r="F154" i="17"/>
  <c r="E154" i="17"/>
  <c r="F153" i="17"/>
  <c r="E153" i="17"/>
  <c r="D145" i="17"/>
  <c r="D146" i="17" s="1"/>
  <c r="E145" i="17"/>
  <c r="C145" i="17"/>
  <c r="D144" i="17"/>
  <c r="C144" i="17"/>
  <c r="C146" i="17"/>
  <c r="D136" i="17"/>
  <c r="C136" i="17"/>
  <c r="C137" i="17" s="1"/>
  <c r="D135" i="17"/>
  <c r="C135" i="17"/>
  <c r="E134" i="17"/>
  <c r="F134" i="17"/>
  <c r="E133" i="17"/>
  <c r="F133" i="17" s="1"/>
  <c r="D130" i="17"/>
  <c r="E130" i="17" s="1"/>
  <c r="C130" i="17"/>
  <c r="D129" i="17"/>
  <c r="E129" i="17" s="1"/>
  <c r="F129" i="17" s="1"/>
  <c r="C129" i="17"/>
  <c r="E128" i="17"/>
  <c r="F128" i="17" s="1"/>
  <c r="D123" i="17"/>
  <c r="C123" i="17"/>
  <c r="E122" i="17"/>
  <c r="F122" i="17" s="1"/>
  <c r="E121" i="17"/>
  <c r="F121" i="17"/>
  <c r="D120" i="17"/>
  <c r="C120" i="17"/>
  <c r="E119" i="17"/>
  <c r="F119" i="17"/>
  <c r="E118" i="17"/>
  <c r="F118" i="17"/>
  <c r="D110" i="17"/>
  <c r="C110" i="17"/>
  <c r="D109" i="17"/>
  <c r="C109" i="17"/>
  <c r="D101" i="17"/>
  <c r="D102" i="17"/>
  <c r="C101" i="17"/>
  <c r="C102" i="17"/>
  <c r="D100" i="17"/>
  <c r="E100" i="17" s="1"/>
  <c r="C100" i="17"/>
  <c r="E99" i="17"/>
  <c r="F99" i="17"/>
  <c r="E98" i="17"/>
  <c r="F98" i="17"/>
  <c r="D95" i="17"/>
  <c r="E95" i="17" s="1"/>
  <c r="C95" i="17"/>
  <c r="F95" i="17" s="1"/>
  <c r="D94" i="17"/>
  <c r="C94" i="17"/>
  <c r="E93" i="17"/>
  <c r="F93" i="17" s="1"/>
  <c r="D88" i="17"/>
  <c r="D89" i="17"/>
  <c r="C88" i="17"/>
  <c r="C89" i="17" s="1"/>
  <c r="E87" i="17"/>
  <c r="F87" i="17" s="1"/>
  <c r="E86" i="17"/>
  <c r="F86" i="17"/>
  <c r="D85" i="17"/>
  <c r="C85" i="17"/>
  <c r="E84" i="17"/>
  <c r="F84" i="17"/>
  <c r="E83" i="17"/>
  <c r="F83" i="17"/>
  <c r="D76" i="17"/>
  <c r="D77" i="17"/>
  <c r="C76" i="17"/>
  <c r="C77" i="17"/>
  <c r="E77" i="17" s="1"/>
  <c r="E74" i="17"/>
  <c r="F74" i="17" s="1"/>
  <c r="E73" i="17"/>
  <c r="F73" i="17"/>
  <c r="D67" i="17"/>
  <c r="C67" i="17"/>
  <c r="C68" i="17" s="1"/>
  <c r="D66" i="17"/>
  <c r="C66" i="17"/>
  <c r="D59" i="17"/>
  <c r="D60" i="17"/>
  <c r="E60" i="17" s="1"/>
  <c r="F60" i="17" s="1"/>
  <c r="C59" i="17"/>
  <c r="C60" i="17"/>
  <c r="D58" i="17"/>
  <c r="E58" i="17" s="1"/>
  <c r="C58" i="17"/>
  <c r="E57" i="17"/>
  <c r="F57" i="17"/>
  <c r="E56" i="17"/>
  <c r="F56" i="17"/>
  <c r="D53" i="17"/>
  <c r="C53" i="17"/>
  <c r="D52" i="17"/>
  <c r="C52" i="17"/>
  <c r="E52" i="17"/>
  <c r="E51" i="17"/>
  <c r="F51" i="17" s="1"/>
  <c r="D47" i="17"/>
  <c r="D48" i="17" s="1"/>
  <c r="C47" i="17"/>
  <c r="C48" i="17"/>
  <c r="E46" i="17"/>
  <c r="F46" i="17"/>
  <c r="E45" i="17"/>
  <c r="F45" i="17" s="1"/>
  <c r="D44" i="17"/>
  <c r="C44" i="17"/>
  <c r="E43" i="17"/>
  <c r="F43" i="17"/>
  <c r="E42" i="17"/>
  <c r="F42" i="17"/>
  <c r="D36" i="17"/>
  <c r="C36" i="17"/>
  <c r="D35" i="17"/>
  <c r="C35" i="17"/>
  <c r="D30" i="17"/>
  <c r="D31" i="17"/>
  <c r="C30" i="17"/>
  <c r="C31" i="17"/>
  <c r="E31" i="17" s="1"/>
  <c r="D29" i="17"/>
  <c r="C29" i="17"/>
  <c r="E28" i="17"/>
  <c r="F28" i="17" s="1"/>
  <c r="E27" i="17"/>
  <c r="F27" i="17"/>
  <c r="D24" i="17"/>
  <c r="C24" i="17"/>
  <c r="D23" i="17"/>
  <c r="C23" i="17"/>
  <c r="E22" i="17"/>
  <c r="F22" i="17" s="1"/>
  <c r="D20" i="17"/>
  <c r="C20" i="17"/>
  <c r="E19" i="17"/>
  <c r="F19" i="17"/>
  <c r="E18" i="17"/>
  <c r="F18" i="17" s="1"/>
  <c r="D17" i="17"/>
  <c r="E17" i="17" s="1"/>
  <c r="C17" i="17"/>
  <c r="E16" i="17"/>
  <c r="F16" i="17"/>
  <c r="E15" i="17"/>
  <c r="F15" i="17"/>
  <c r="D21" i="16"/>
  <c r="E21" i="16" s="1"/>
  <c r="F21" i="16" s="1"/>
  <c r="C21" i="16"/>
  <c r="E20" i="16"/>
  <c r="F20" i="16" s="1"/>
  <c r="D17" i="16"/>
  <c r="C17" i="16"/>
  <c r="F16" i="16"/>
  <c r="E16" i="16"/>
  <c r="D13" i="16"/>
  <c r="C13" i="16"/>
  <c r="E12" i="16"/>
  <c r="F12" i="16" s="1"/>
  <c r="D107" i="15"/>
  <c r="E107" i="15" s="1"/>
  <c r="C107" i="15"/>
  <c r="E106" i="15"/>
  <c r="F106" i="15" s="1"/>
  <c r="F105" i="15"/>
  <c r="E105" i="15"/>
  <c r="F104" i="15"/>
  <c r="E104" i="15"/>
  <c r="D100" i="15"/>
  <c r="C100" i="15"/>
  <c r="E100" i="15" s="1"/>
  <c r="E99" i="15"/>
  <c r="F99" i="15" s="1"/>
  <c r="F98" i="15"/>
  <c r="E98" i="15"/>
  <c r="E97" i="15"/>
  <c r="F97" i="15" s="1"/>
  <c r="E96" i="15"/>
  <c r="F96" i="15" s="1"/>
  <c r="F95" i="15"/>
  <c r="E95" i="15"/>
  <c r="D92" i="15"/>
  <c r="E92" i="15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 s="1"/>
  <c r="F74" i="15"/>
  <c r="E74" i="15"/>
  <c r="E75" i="15" s="1"/>
  <c r="E73" i="15"/>
  <c r="F73" i="15" s="1"/>
  <c r="D70" i="15"/>
  <c r="E70" i="15" s="1"/>
  <c r="C70" i="15"/>
  <c r="E69" i="15"/>
  <c r="F69" i="15" s="1"/>
  <c r="E68" i="15"/>
  <c r="F68" i="15" s="1"/>
  <c r="D65" i="15"/>
  <c r="E65" i="15"/>
  <c r="C65" i="15"/>
  <c r="F65" i="15" s="1"/>
  <c r="E64" i="15"/>
  <c r="F64" i="15" s="1"/>
  <c r="E63" i="15"/>
  <c r="F63" i="15" s="1"/>
  <c r="D60" i="15"/>
  <c r="C60" i="15"/>
  <c r="E59" i="15"/>
  <c r="E58" i="15"/>
  <c r="F58" i="15" s="1"/>
  <c r="D55" i="15"/>
  <c r="E55" i="15" s="1"/>
  <c r="F55" i="15"/>
  <c r="C55" i="15"/>
  <c r="E54" i="15"/>
  <c r="F54" i="15" s="1"/>
  <c r="F53" i="15"/>
  <c r="E53" i="15"/>
  <c r="D50" i="15"/>
  <c r="E50" i="15"/>
  <c r="C50" i="15"/>
  <c r="E49" i="15"/>
  <c r="F49" i="15" s="1"/>
  <c r="F48" i="15"/>
  <c r="E48" i="15"/>
  <c r="D45" i="15"/>
  <c r="E45" i="15"/>
  <c r="F45" i="15" s="1"/>
  <c r="C45" i="15"/>
  <c r="E44" i="15"/>
  <c r="F44" i="15" s="1"/>
  <c r="F43" i="15"/>
  <c r="E43" i="15"/>
  <c r="D37" i="15"/>
  <c r="E37" i="15"/>
  <c r="F37" i="15"/>
  <c r="C37" i="15"/>
  <c r="F36" i="15"/>
  <c r="E36" i="15"/>
  <c r="F35" i="15"/>
  <c r="E35" i="15"/>
  <c r="E34" i="15"/>
  <c r="F34" i="15" s="1"/>
  <c r="E33" i="15"/>
  <c r="F33" i="15" s="1"/>
  <c r="D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 s="1"/>
  <c r="E19" i="15"/>
  <c r="F19" i="15" s="1"/>
  <c r="D16" i="15"/>
  <c r="C16" i="15"/>
  <c r="E16" i="15" s="1"/>
  <c r="F16" i="15" s="1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E17" i="14"/>
  <c r="E31" i="14"/>
  <c r="D17" i="14"/>
  <c r="D33" i="14"/>
  <c r="D36" i="14"/>
  <c r="D38" i="14" s="1"/>
  <c r="D40" i="14"/>
  <c r="C17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 s="1"/>
  <c r="D77" i="13"/>
  <c r="C78" i="13"/>
  <c r="C80" i="13"/>
  <c r="C77" i="13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9" i="13"/>
  <c r="E61" i="13"/>
  <c r="E57" i="13" s="1"/>
  <c r="E58" i="13"/>
  <c r="D58" i="13"/>
  <c r="C58" i="13"/>
  <c r="E55" i="13"/>
  <c r="E50" i="13" s="1"/>
  <c r="D55" i="13"/>
  <c r="C55" i="13"/>
  <c r="E54" i="13"/>
  <c r="D54" i="13"/>
  <c r="C54" i="13"/>
  <c r="C50" i="13"/>
  <c r="D50" i="13"/>
  <c r="E48" i="13"/>
  <c r="E42" i="13" s="1"/>
  <c r="C48" i="13"/>
  <c r="C42" i="13"/>
  <c r="E46" i="13"/>
  <c r="D46" i="13"/>
  <c r="D59" i="13"/>
  <c r="D61" i="13"/>
  <c r="D57" i="13" s="1"/>
  <c r="C46" i="13"/>
  <c r="C59" i="13" s="1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E25" i="13"/>
  <c r="E27" i="13"/>
  <c r="E22" i="13" s="1"/>
  <c r="C15" i="13"/>
  <c r="C24" i="13" s="1"/>
  <c r="C20" i="13" s="1"/>
  <c r="E13" i="13"/>
  <c r="E15" i="13" s="1"/>
  <c r="E24" i="13" s="1"/>
  <c r="D13" i="13"/>
  <c r="D25" i="13" s="1"/>
  <c r="C13" i="13"/>
  <c r="C25" i="13" s="1"/>
  <c r="C27" i="13" s="1"/>
  <c r="D47" i="12"/>
  <c r="C47" i="12"/>
  <c r="F46" i="12"/>
  <c r="E46" i="12"/>
  <c r="F45" i="12"/>
  <c r="E45" i="12"/>
  <c r="D40" i="12"/>
  <c r="F40" i="12"/>
  <c r="C40" i="12"/>
  <c r="E40" i="12" s="1"/>
  <c r="F39" i="12"/>
  <c r="E39" i="12"/>
  <c r="F38" i="12"/>
  <c r="E38" i="12"/>
  <c r="E37" i="12"/>
  <c r="F37" i="12" s="1"/>
  <c r="D32" i="12"/>
  <c r="E32" i="12"/>
  <c r="F32" i="12" s="1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F24" i="12"/>
  <c r="E24" i="12"/>
  <c r="E23" i="12"/>
  <c r="F23" i="12" s="1"/>
  <c r="E19" i="12"/>
  <c r="F19" i="12" s="1"/>
  <c r="E18" i="12"/>
  <c r="F18" i="12" s="1"/>
  <c r="F16" i="12"/>
  <c r="E16" i="12"/>
  <c r="D15" i="12"/>
  <c r="D17" i="12"/>
  <c r="C15" i="12"/>
  <c r="C17" i="12"/>
  <c r="F14" i="12"/>
  <c r="E14" i="12"/>
  <c r="F13" i="12"/>
  <c r="E13" i="12"/>
  <c r="E12" i="12"/>
  <c r="F12" i="12" s="1"/>
  <c r="E11" i="12"/>
  <c r="F11" i="12" s="1"/>
  <c r="D73" i="11"/>
  <c r="E73" i="11"/>
  <c r="F73" i="11" s="1"/>
  <c r="C73" i="11"/>
  <c r="E72" i="11"/>
  <c r="F72" i="11" s="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 s="1"/>
  <c r="C61" i="11"/>
  <c r="C65" i="11"/>
  <c r="F60" i="11"/>
  <c r="E60" i="11"/>
  <c r="E59" i="11"/>
  <c r="F59" i="11" s="1"/>
  <c r="D56" i="11"/>
  <c r="C56" i="11"/>
  <c r="C75" i="11"/>
  <c r="E55" i="11"/>
  <c r="F55" i="11" s="1"/>
  <c r="F54" i="11"/>
  <c r="E54" i="11"/>
  <c r="F53" i="11"/>
  <c r="E53" i="11"/>
  <c r="F52" i="11"/>
  <c r="E52" i="11"/>
  <c r="E51" i="11"/>
  <c r="F51" i="11" s="1"/>
  <c r="A51" i="11"/>
  <c r="A52" i="11"/>
  <c r="A53" i="11" s="1"/>
  <c r="A54" i="11" s="1"/>
  <c r="A55" i="11" s="1"/>
  <c r="E50" i="11"/>
  <c r="F50" i="11" s="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E33" i="11"/>
  <c r="F33" i="11" s="1"/>
  <c r="E32" i="11"/>
  <c r="F32" i="11" s="1"/>
  <c r="F31" i="11"/>
  <c r="E31" i="11"/>
  <c r="D29" i="11"/>
  <c r="E29" i="11" s="1"/>
  <c r="C29" i="11"/>
  <c r="E28" i="11"/>
  <c r="F28" i="11" s="1"/>
  <c r="F27" i="11"/>
  <c r="E27" i="11"/>
  <c r="F26" i="11"/>
  <c r="E26" i="11"/>
  <c r="E25" i="11"/>
  <c r="F25" i="11" s="1"/>
  <c r="D22" i="11"/>
  <c r="C22" i="11"/>
  <c r="C43" i="11"/>
  <c r="F21" i="11"/>
  <c r="E21" i="11"/>
  <c r="E20" i="11"/>
  <c r="F20" i="11" s="1"/>
  <c r="E19" i="11"/>
  <c r="F19" i="11" s="1"/>
  <c r="F18" i="11"/>
  <c r="E18" i="11"/>
  <c r="F17" i="11"/>
  <c r="E17" i="11"/>
  <c r="E16" i="11"/>
  <c r="F16" i="11" s="1"/>
  <c r="E15" i="11"/>
  <c r="F15" i="11" s="1"/>
  <c r="F14" i="11"/>
  <c r="E14" i="11"/>
  <c r="F13" i="11"/>
  <c r="E13" i="11"/>
  <c r="D120" i="10"/>
  <c r="C120" i="10"/>
  <c r="D119" i="10"/>
  <c r="E119" i="10" s="1"/>
  <c r="F119" i="10"/>
  <c r="C119" i="10"/>
  <c r="D118" i="10"/>
  <c r="C118" i="10"/>
  <c r="D117" i="10"/>
  <c r="E117" i="10" s="1"/>
  <c r="F117" i="10" s="1"/>
  <c r="C117" i="10"/>
  <c r="D116" i="10"/>
  <c r="C116" i="10"/>
  <c r="D115" i="10"/>
  <c r="E115" i="10" s="1"/>
  <c r="F115" i="10" s="1"/>
  <c r="C115" i="10"/>
  <c r="D114" i="10"/>
  <c r="C114" i="10"/>
  <c r="D113" i="10"/>
  <c r="D122" i="10" s="1"/>
  <c r="E122" i="10" s="1"/>
  <c r="C113" i="10"/>
  <c r="C122" i="10"/>
  <c r="D112" i="10"/>
  <c r="D121" i="10" s="1"/>
  <c r="E121" i="10" s="1"/>
  <c r="F121" i="10" s="1"/>
  <c r="C112" i="10"/>
  <c r="C121" i="10"/>
  <c r="D108" i="10"/>
  <c r="E108" i="10" s="1"/>
  <c r="C108" i="10"/>
  <c r="F108" i="10" s="1"/>
  <c r="D107" i="10"/>
  <c r="E107" i="10"/>
  <c r="F107" i="10" s="1"/>
  <c r="C107" i="10"/>
  <c r="F106" i="10"/>
  <c r="E106" i="10"/>
  <c r="E105" i="10"/>
  <c r="F105" i="10" s="1"/>
  <c r="E104" i="10"/>
  <c r="F104" i="10" s="1"/>
  <c r="E103" i="10"/>
  <c r="F103" i="10" s="1"/>
  <c r="F102" i="10"/>
  <c r="E102" i="10"/>
  <c r="E101" i="10"/>
  <c r="F101" i="10" s="1"/>
  <c r="E100" i="10"/>
  <c r="F100" i="10" s="1"/>
  <c r="E99" i="10"/>
  <c r="F99" i="10" s="1"/>
  <c r="F98" i="10"/>
  <c r="E98" i="10"/>
  <c r="D96" i="10"/>
  <c r="C96" i="10"/>
  <c r="D95" i="10"/>
  <c r="E95" i="10"/>
  <c r="F95" i="10" s="1"/>
  <c r="C95" i="10"/>
  <c r="E94" i="10"/>
  <c r="F94" i="10" s="1"/>
  <c r="E93" i="10"/>
  <c r="F93" i="10" s="1"/>
  <c r="E92" i="10"/>
  <c r="F92" i="10" s="1"/>
  <c r="F91" i="10"/>
  <c r="E91" i="10"/>
  <c r="E90" i="10"/>
  <c r="F90" i="10" s="1"/>
  <c r="E89" i="10"/>
  <c r="F89" i="10" s="1"/>
  <c r="E88" i="10"/>
  <c r="F88" i="10" s="1"/>
  <c r="F87" i="10"/>
  <c r="E87" i="10"/>
  <c r="E86" i="10"/>
  <c r="F86" i="10" s="1"/>
  <c r="D84" i="10"/>
  <c r="E84" i="10" s="1"/>
  <c r="C84" i="10"/>
  <c r="F84" i="10" s="1"/>
  <c r="F83" i="10"/>
  <c r="D83" i="10"/>
  <c r="C83" i="10"/>
  <c r="E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D59" i="10"/>
  <c r="C59" i="10"/>
  <c r="F58" i="10"/>
  <c r="E58" i="10"/>
  <c r="E57" i="10"/>
  <c r="F57" i="10" s="1"/>
  <c r="E56" i="10"/>
  <c r="F56" i="10" s="1"/>
  <c r="F55" i="10"/>
  <c r="E55" i="10"/>
  <c r="F54" i="10"/>
  <c r="E54" i="10"/>
  <c r="E53" i="10"/>
  <c r="F53" i="10" s="1"/>
  <c r="E52" i="10"/>
  <c r="F52" i="10" s="1"/>
  <c r="F51" i="10"/>
  <c r="E51" i="10"/>
  <c r="F50" i="10"/>
  <c r="E50" i="10"/>
  <c r="D48" i="10"/>
  <c r="C48" i="10"/>
  <c r="F48" i="10" s="1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F36" i="10" s="1"/>
  <c r="C36" i="10"/>
  <c r="D35" i="10"/>
  <c r="E35" i="10" s="1"/>
  <c r="C35" i="10"/>
  <c r="E34" i="10"/>
  <c r="F34" i="10" s="1"/>
  <c r="E33" i="10"/>
  <c r="F33" i="10" s="1"/>
  <c r="F32" i="10"/>
  <c r="E32" i="10"/>
  <c r="E31" i="10"/>
  <c r="F31" i="10" s="1"/>
  <c r="E30" i="10"/>
  <c r="F30" i="10" s="1"/>
  <c r="F29" i="10"/>
  <c r="E29" i="10"/>
  <c r="F28" i="10"/>
  <c r="E28" i="10"/>
  <c r="E27" i="10"/>
  <c r="F27" i="10" s="1"/>
  <c r="E26" i="10"/>
  <c r="F26" i="10" s="1"/>
  <c r="F24" i="10"/>
  <c r="D24" i="10"/>
  <c r="E24" i="10" s="1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F206" i="9" s="1"/>
  <c r="D205" i="9"/>
  <c r="C205" i="9"/>
  <c r="D204" i="9"/>
  <c r="E204" i="9" s="1"/>
  <c r="C204" i="9"/>
  <c r="F204" i="9" s="1"/>
  <c r="D203" i="9"/>
  <c r="E203" i="9"/>
  <c r="F203" i="9" s="1"/>
  <c r="C203" i="9"/>
  <c r="D202" i="9"/>
  <c r="E202" i="9" s="1"/>
  <c r="C202" i="9"/>
  <c r="F202" i="9" s="1"/>
  <c r="D201" i="9"/>
  <c r="C201" i="9"/>
  <c r="D200" i="9"/>
  <c r="C200" i="9"/>
  <c r="D199" i="9"/>
  <c r="D208" i="9"/>
  <c r="C199" i="9"/>
  <c r="D198" i="9"/>
  <c r="C198" i="9"/>
  <c r="C207" i="9" s="1"/>
  <c r="D193" i="9"/>
  <c r="E193" i="9" s="1"/>
  <c r="F193" i="9" s="1"/>
  <c r="C193" i="9"/>
  <c r="D192" i="9"/>
  <c r="E192" i="9"/>
  <c r="F192" i="9" s="1"/>
  <c r="C192" i="9"/>
  <c r="E191" i="9"/>
  <c r="F191" i="9" s="1"/>
  <c r="F190" i="9"/>
  <c r="E190" i="9"/>
  <c r="E189" i="9"/>
  <c r="F189" i="9" s="1"/>
  <c r="F188" i="9"/>
  <c r="E188" i="9"/>
  <c r="E187" i="9"/>
  <c r="F187" i="9" s="1"/>
  <c r="F186" i="9"/>
  <c r="E186" i="9"/>
  <c r="E185" i="9"/>
  <c r="F185" i="9" s="1"/>
  <c r="F184" i="9"/>
  <c r="E184" i="9"/>
  <c r="F183" i="9"/>
  <c r="E183" i="9"/>
  <c r="D180" i="9"/>
  <c r="C180" i="9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 s="1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 s="1"/>
  <c r="C128" i="9"/>
  <c r="D127" i="9"/>
  <c r="F127" i="9"/>
  <c r="C127" i="9"/>
  <c r="E127" i="9" s="1"/>
  <c r="F126" i="9"/>
  <c r="E126" i="9"/>
  <c r="E125" i="9"/>
  <c r="F125" i="9" s="1"/>
  <c r="F124" i="9"/>
  <c r="E124" i="9"/>
  <c r="E123" i="9"/>
  <c r="F123" i="9" s="1"/>
  <c r="F122" i="9"/>
  <c r="E122" i="9"/>
  <c r="E121" i="9"/>
  <c r="F121" i="9" s="1"/>
  <c r="F120" i="9"/>
  <c r="E120" i="9"/>
  <c r="E119" i="9"/>
  <c r="F119" i="9" s="1"/>
  <c r="F118" i="9"/>
  <c r="E118" i="9"/>
  <c r="D115" i="9"/>
  <c r="C115" i="9"/>
  <c r="E115" i="9" s="1"/>
  <c r="F115" i="9" s="1"/>
  <c r="D114" i="9"/>
  <c r="E114" i="9"/>
  <c r="F114" i="9"/>
  <c r="C114" i="9"/>
  <c r="E113" i="9"/>
  <c r="F113" i="9" s="1"/>
  <c r="E112" i="9"/>
  <c r="F112" i="9" s="1"/>
  <c r="F111" i="9"/>
  <c r="E111" i="9"/>
  <c r="F110" i="9"/>
  <c r="E110" i="9"/>
  <c r="E109" i="9"/>
  <c r="F109" i="9" s="1"/>
  <c r="F108" i="9"/>
  <c r="E108" i="9"/>
  <c r="F107" i="9"/>
  <c r="E107" i="9"/>
  <c r="F106" i="9"/>
  <c r="E106" i="9"/>
  <c r="E105" i="9"/>
  <c r="F105" i="9" s="1"/>
  <c r="D102" i="9"/>
  <c r="C102" i="9"/>
  <c r="F102" i="9" s="1"/>
  <c r="F101" i="9"/>
  <c r="D101" i="9"/>
  <c r="C101" i="9"/>
  <c r="E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F74" i="9"/>
  <c r="E74" i="9"/>
  <c r="E73" i="9"/>
  <c r="F73" i="9" s="1"/>
  <c r="F72" i="9"/>
  <c r="E72" i="9"/>
  <c r="E71" i="9"/>
  <c r="F71" i="9" s="1"/>
  <c r="F70" i="9"/>
  <c r="E70" i="9"/>
  <c r="E69" i="9"/>
  <c r="F69" i="9" s="1"/>
  <c r="E68" i="9"/>
  <c r="F68" i="9" s="1"/>
  <c r="F67" i="9"/>
  <c r="E67" i="9"/>
  <c r="F66" i="9"/>
  <c r="E66" i="9"/>
  <c r="D63" i="9"/>
  <c r="E63" i="9" s="1"/>
  <c r="C63" i="9"/>
  <c r="F63" i="9" s="1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F50" i="9" s="1"/>
  <c r="C50" i="9"/>
  <c r="D49" i="9"/>
  <c r="C49" i="9"/>
  <c r="E48" i="9"/>
  <c r="F48" i="9" s="1"/>
  <c r="E47" i="9"/>
  <c r="F47" i="9" s="1"/>
  <c r="F46" i="9"/>
  <c r="E46" i="9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F37" i="9"/>
  <c r="D37" i="9"/>
  <c r="E37" i="9" s="1"/>
  <c r="C37" i="9"/>
  <c r="D36" i="9"/>
  <c r="E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F24" i="9" s="1"/>
  <c r="D23" i="9"/>
  <c r="E23" i="9"/>
  <c r="F23" i="9"/>
  <c r="C23" i="9"/>
  <c r="F22" i="9"/>
  <c r="E22" i="9"/>
  <c r="E21" i="9"/>
  <c r="F21" i="9" s="1"/>
  <c r="F20" i="9"/>
  <c r="E20" i="9"/>
  <c r="F19" i="9"/>
  <c r="E19" i="9"/>
  <c r="F18" i="9"/>
  <c r="E18" i="9"/>
  <c r="E17" i="9"/>
  <c r="F17" i="9" s="1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E166" i="8" s="1"/>
  <c r="D164" i="8"/>
  <c r="D160" i="8" s="1"/>
  <c r="C164" i="8"/>
  <c r="C160" i="8" s="1"/>
  <c r="C166" i="8" s="1"/>
  <c r="E162" i="8"/>
  <c r="D162" i="8"/>
  <c r="C162" i="8"/>
  <c r="E161" i="8"/>
  <c r="D161" i="8"/>
  <c r="C161" i="8"/>
  <c r="E147" i="8"/>
  <c r="D147" i="8"/>
  <c r="D143" i="8" s="1"/>
  <c r="C147" i="8"/>
  <c r="E145" i="8"/>
  <c r="E149" i="8" s="1"/>
  <c r="D145" i="8"/>
  <c r="C145" i="8"/>
  <c r="C149" i="8" s="1"/>
  <c r="E144" i="8"/>
  <c r="D144" i="8"/>
  <c r="C144" i="8"/>
  <c r="E143" i="8"/>
  <c r="C143" i="8"/>
  <c r="E126" i="8"/>
  <c r="D126" i="8"/>
  <c r="C126" i="8"/>
  <c r="E119" i="8"/>
  <c r="D119" i="8"/>
  <c r="C119" i="8"/>
  <c r="E108" i="8"/>
  <c r="D108" i="8"/>
  <c r="D109" i="8" s="1"/>
  <c r="C108" i="8"/>
  <c r="E107" i="8"/>
  <c r="E109" i="8"/>
  <c r="E106" i="8" s="1"/>
  <c r="D107" i="8"/>
  <c r="D106" i="8"/>
  <c r="C107" i="8"/>
  <c r="E104" i="8"/>
  <c r="E102" i="8"/>
  <c r="D102" i="8"/>
  <c r="D104" i="8"/>
  <c r="C102" i="8"/>
  <c r="C104" i="8" s="1"/>
  <c r="E100" i="8"/>
  <c r="D100" i="8"/>
  <c r="C100" i="8"/>
  <c r="E95" i="8"/>
  <c r="E94" i="8" s="1"/>
  <c r="D95" i="8"/>
  <c r="C95" i="8"/>
  <c r="C94" i="8"/>
  <c r="D94" i="8"/>
  <c r="E89" i="8"/>
  <c r="D89" i="8"/>
  <c r="C89" i="8"/>
  <c r="E87" i="8"/>
  <c r="D87" i="8"/>
  <c r="C87" i="8"/>
  <c r="E84" i="8"/>
  <c r="E79" i="8" s="1"/>
  <c r="D84" i="8"/>
  <c r="C84" i="8"/>
  <c r="E83" i="8"/>
  <c r="D83" i="8"/>
  <c r="C83" i="8"/>
  <c r="C79" i="8"/>
  <c r="D79" i="8"/>
  <c r="E77" i="8"/>
  <c r="E71" i="8" s="1"/>
  <c r="C77" i="8"/>
  <c r="E75" i="8"/>
  <c r="E88" i="8"/>
  <c r="E90" i="8"/>
  <c r="E86" i="8"/>
  <c r="D75" i="8"/>
  <c r="D88" i="8" s="1"/>
  <c r="D90" i="8"/>
  <c r="D86" i="8" s="1"/>
  <c r="C75" i="8"/>
  <c r="C88" i="8"/>
  <c r="C90" i="8"/>
  <c r="E74" i="8"/>
  <c r="D74" i="8"/>
  <c r="C74" i="8"/>
  <c r="E67" i="8"/>
  <c r="D67" i="8"/>
  <c r="C67" i="8"/>
  <c r="D53" i="8"/>
  <c r="D43" i="8"/>
  <c r="E38" i="8"/>
  <c r="E57" i="8" s="1"/>
  <c r="E62" i="8"/>
  <c r="D38" i="8"/>
  <c r="D57" i="8" s="1"/>
  <c r="D62" i="8" s="1"/>
  <c r="C38" i="8"/>
  <c r="C57" i="8"/>
  <c r="C62" i="8" s="1"/>
  <c r="E33" i="8"/>
  <c r="E34" i="8"/>
  <c r="D33" i="8"/>
  <c r="D34" i="8" s="1"/>
  <c r="E26" i="8"/>
  <c r="D26" i="8"/>
  <c r="C26" i="8"/>
  <c r="E25" i="8"/>
  <c r="E27" i="8" s="1"/>
  <c r="C25" i="8"/>
  <c r="C15" i="8"/>
  <c r="E13" i="8"/>
  <c r="E15" i="8" s="1"/>
  <c r="E24" i="8" s="1"/>
  <c r="D13" i="8"/>
  <c r="D25" i="8"/>
  <c r="D27" i="8" s="1"/>
  <c r="C13" i="8"/>
  <c r="E186" i="7"/>
  <c r="F186" i="7" s="1"/>
  <c r="D183" i="7"/>
  <c r="C183" i="7"/>
  <c r="C188" i="7" s="1"/>
  <c r="E182" i="7"/>
  <c r="F182" i="7" s="1"/>
  <c r="E181" i="7"/>
  <c r="F181" i="7" s="1"/>
  <c r="F180" i="7"/>
  <c r="E180" i="7"/>
  <c r="F179" i="7"/>
  <c r="E179" i="7"/>
  <c r="E178" i="7"/>
  <c r="F178" i="7" s="1"/>
  <c r="E177" i="7"/>
  <c r="F177" i="7" s="1"/>
  <c r="F176" i="7"/>
  <c r="E176" i="7"/>
  <c r="F175" i="7"/>
  <c r="E175" i="7"/>
  <c r="F174" i="7"/>
  <c r="E174" i="7"/>
  <c r="E173" i="7"/>
  <c r="F173" i="7" s="1"/>
  <c r="F172" i="7"/>
  <c r="E172" i="7"/>
  <c r="F171" i="7"/>
  <c r="E171" i="7"/>
  <c r="E170" i="7"/>
  <c r="F170" i="7" s="1"/>
  <c r="D167" i="7"/>
  <c r="E167" i="7" s="1"/>
  <c r="F167" i="7" s="1"/>
  <c r="C167" i="7"/>
  <c r="F166" i="7"/>
  <c r="E166" i="7"/>
  <c r="E165" i="7"/>
  <c r="F165" i="7" s="1"/>
  <c r="F164" i="7"/>
  <c r="E164" i="7"/>
  <c r="F163" i="7"/>
  <c r="E163" i="7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E144" i="7"/>
  <c r="F144" i="7" s="1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E136" i="7"/>
  <c r="F136" i="7" s="1"/>
  <c r="F135" i="7"/>
  <c r="E135" i="7"/>
  <c r="F134" i="7"/>
  <c r="E134" i="7"/>
  <c r="E133" i="7"/>
  <c r="F133" i="7" s="1"/>
  <c r="D130" i="7"/>
  <c r="E130" i="7"/>
  <c r="F130" i="7"/>
  <c r="C130" i="7"/>
  <c r="F129" i="7"/>
  <c r="E129" i="7"/>
  <c r="E128" i="7"/>
  <c r="F128" i="7" s="1"/>
  <c r="F127" i="7"/>
  <c r="E127" i="7"/>
  <c r="F126" i="7"/>
  <c r="E126" i="7"/>
  <c r="F125" i="7"/>
  <c r="E125" i="7"/>
  <c r="E124" i="7"/>
  <c r="F124" i="7" s="1"/>
  <c r="D121" i="7"/>
  <c r="E121" i="7" s="1"/>
  <c r="F121" i="7" s="1"/>
  <c r="C121" i="7"/>
  <c r="F120" i="7"/>
  <c r="E120" i="7"/>
  <c r="E119" i="7"/>
  <c r="F119" i="7" s="1"/>
  <c r="E118" i="7"/>
  <c r="F118" i="7" s="1"/>
  <c r="F117" i="7"/>
  <c r="E117" i="7"/>
  <c r="F116" i="7"/>
  <c r="E116" i="7"/>
  <c r="E115" i="7"/>
  <c r="F115" i="7" s="1"/>
  <c r="F114" i="7"/>
  <c r="E114" i="7"/>
  <c r="F113" i="7"/>
  <c r="E113" i="7"/>
  <c r="F112" i="7"/>
  <c r="E112" i="7"/>
  <c r="E111" i="7"/>
  <c r="F111" i="7" s="1"/>
  <c r="E110" i="7"/>
  <c r="F110" i="7" s="1"/>
  <c r="F109" i="7"/>
  <c r="E109" i="7"/>
  <c r="F108" i="7"/>
  <c r="E108" i="7"/>
  <c r="E107" i="7"/>
  <c r="F107" i="7" s="1"/>
  <c r="F106" i="7"/>
  <c r="E106" i="7"/>
  <c r="F105" i="7"/>
  <c r="E105" i="7"/>
  <c r="F104" i="7"/>
  <c r="E104" i="7"/>
  <c r="E103" i="7"/>
  <c r="F103" i="7" s="1"/>
  <c r="E93" i="7"/>
  <c r="F93" i="7" s="1"/>
  <c r="D90" i="7"/>
  <c r="C90" i="7"/>
  <c r="E89" i="7"/>
  <c r="F89" i="7" s="1"/>
  <c r="F88" i="7"/>
  <c r="E88" i="7"/>
  <c r="E87" i="7"/>
  <c r="F87" i="7" s="1"/>
  <c r="F86" i="7"/>
  <c r="E86" i="7"/>
  <c r="E85" i="7"/>
  <c r="F85" i="7" s="1"/>
  <c r="E84" i="7"/>
  <c r="F84" i="7" s="1"/>
  <c r="E83" i="7"/>
  <c r="F83" i="7" s="1"/>
  <c r="F82" i="7"/>
  <c r="E82" i="7"/>
  <c r="E81" i="7"/>
  <c r="F81" i="7" s="1"/>
  <c r="F80" i="7"/>
  <c r="E80" i="7"/>
  <c r="F79" i="7"/>
  <c r="E79" i="7"/>
  <c r="F78" i="7"/>
  <c r="E78" i="7"/>
  <c r="F77" i="7"/>
  <c r="E77" i="7"/>
  <c r="F76" i="7"/>
  <c r="E76" i="7"/>
  <c r="E75" i="7"/>
  <c r="F75" i="7" s="1"/>
  <c r="F74" i="7"/>
  <c r="E74" i="7"/>
  <c r="E73" i="7"/>
  <c r="F73" i="7" s="1"/>
  <c r="E72" i="7"/>
  <c r="F72" i="7" s="1"/>
  <c r="E71" i="7"/>
  <c r="F71" i="7" s="1"/>
  <c r="F70" i="7"/>
  <c r="E70" i="7"/>
  <c r="E69" i="7"/>
  <c r="F69" i="7" s="1"/>
  <c r="F68" i="7"/>
  <c r="E68" i="7"/>
  <c r="E67" i="7"/>
  <c r="F67" i="7" s="1"/>
  <c r="F66" i="7"/>
  <c r="E66" i="7"/>
  <c r="E65" i="7"/>
  <c r="F65" i="7" s="1"/>
  <c r="E64" i="7"/>
  <c r="F64" i="7" s="1"/>
  <c r="E63" i="7"/>
  <c r="F63" i="7" s="1"/>
  <c r="F62" i="7"/>
  <c r="E62" i="7"/>
  <c r="D59" i="7"/>
  <c r="E59" i="7"/>
  <c r="F59" i="7"/>
  <c r="C59" i="7"/>
  <c r="F58" i="7"/>
  <c r="E58" i="7"/>
  <c r="F57" i="7"/>
  <c r="E57" i="7"/>
  <c r="E56" i="7"/>
  <c r="F56" i="7" s="1"/>
  <c r="E55" i="7"/>
  <c r="F55" i="7" s="1"/>
  <c r="E54" i="7"/>
  <c r="F54" i="7" s="1"/>
  <c r="F53" i="7"/>
  <c r="E53" i="7"/>
  <c r="E50" i="7"/>
  <c r="F50" i="7" s="1"/>
  <c r="E47" i="7"/>
  <c r="F47" i="7" s="1"/>
  <c r="E44" i="7"/>
  <c r="F44" i="7" s="1"/>
  <c r="D41" i="7"/>
  <c r="E41" i="7" s="1"/>
  <c r="C41" i="7"/>
  <c r="F40" i="7"/>
  <c r="E40" i="7"/>
  <c r="E39" i="7"/>
  <c r="F39" i="7" s="1"/>
  <c r="F38" i="7"/>
  <c r="E38" i="7"/>
  <c r="D35" i="7"/>
  <c r="C35" i="7"/>
  <c r="E34" i="7"/>
  <c r="F34" i="7" s="1"/>
  <c r="F33" i="7"/>
  <c r="E33" i="7"/>
  <c r="D30" i="7"/>
  <c r="E30" i="7"/>
  <c r="F30" i="7"/>
  <c r="C30" i="7"/>
  <c r="E29" i="7"/>
  <c r="F29" i="7" s="1"/>
  <c r="F28" i="7"/>
  <c r="E28" i="7"/>
  <c r="E27" i="7"/>
  <c r="F27" i="7" s="1"/>
  <c r="D24" i="7"/>
  <c r="E24" i="7" s="1"/>
  <c r="C24" i="7"/>
  <c r="F23" i="7"/>
  <c r="E23" i="7"/>
  <c r="E22" i="7"/>
  <c r="F22" i="7" s="1"/>
  <c r="E21" i="7"/>
  <c r="F21" i="7" s="1"/>
  <c r="D18" i="7"/>
  <c r="E18" i="7"/>
  <c r="F18" i="7" s="1"/>
  <c r="C18" i="7"/>
  <c r="E17" i="7"/>
  <c r="F17" i="7" s="1"/>
  <c r="F16" i="7"/>
  <c r="E16" i="7"/>
  <c r="E15" i="7"/>
  <c r="F15" i="7" s="1"/>
  <c r="D179" i="6"/>
  <c r="E179" i="6" s="1"/>
  <c r="C179" i="6"/>
  <c r="F178" i="6"/>
  <c r="E178" i="6"/>
  <c r="F177" i="6"/>
  <c r="E177" i="6"/>
  <c r="F176" i="6"/>
  <c r="E176" i="6"/>
  <c r="E175" i="6"/>
  <c r="F175" i="6" s="1"/>
  <c r="E174" i="6"/>
  <c r="F174" i="6" s="1"/>
  <c r="F173" i="6"/>
  <c r="E173" i="6"/>
  <c r="F172" i="6"/>
  <c r="E172" i="6"/>
  <c r="E171" i="6"/>
  <c r="F171" i="6" s="1"/>
  <c r="E170" i="6"/>
  <c r="F170" i="6" s="1"/>
  <c r="F169" i="6"/>
  <c r="E169" i="6"/>
  <c r="F168" i="6"/>
  <c r="E168" i="6"/>
  <c r="D166" i="6"/>
  <c r="C166" i="6"/>
  <c r="E166" i="6" s="1"/>
  <c r="F165" i="6"/>
  <c r="E165" i="6"/>
  <c r="F164" i="6"/>
  <c r="E164" i="6"/>
  <c r="E163" i="6"/>
  <c r="F163" i="6" s="1"/>
  <c r="F162" i="6"/>
  <c r="E162" i="6"/>
  <c r="F161" i="6"/>
  <c r="E161" i="6"/>
  <c r="F160" i="6"/>
  <c r="E160" i="6"/>
  <c r="E159" i="6"/>
  <c r="F159" i="6" s="1"/>
  <c r="F158" i="6"/>
  <c r="E158" i="6"/>
  <c r="F157" i="6"/>
  <c r="E157" i="6"/>
  <c r="F156" i="6"/>
  <c r="E156" i="6"/>
  <c r="E155" i="6"/>
  <c r="F155" i="6" s="1"/>
  <c r="D153" i="6"/>
  <c r="E153" i="6"/>
  <c r="F153" i="6" s="1"/>
  <c r="C153" i="6"/>
  <c r="F152" i="6"/>
  <c r="E152" i="6"/>
  <c r="F151" i="6"/>
  <c r="E151" i="6"/>
  <c r="E150" i="6"/>
  <c r="F150" i="6" s="1"/>
  <c r="F149" i="6"/>
  <c r="E149" i="6"/>
  <c r="F148" i="6"/>
  <c r="E148" i="6"/>
  <c r="E147" i="6"/>
  <c r="F147" i="6" s="1"/>
  <c r="F146" i="6"/>
  <c r="E146" i="6"/>
  <c r="F145" i="6"/>
  <c r="E145" i="6"/>
  <c r="F144" i="6"/>
  <c r="E144" i="6"/>
  <c r="E143" i="6"/>
  <c r="F143" i="6" s="1"/>
  <c r="E142" i="6"/>
  <c r="F142" i="6" s="1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E132" i="6"/>
  <c r="F132" i="6" s="1"/>
  <c r="E131" i="6"/>
  <c r="F131" i="6" s="1"/>
  <c r="F130" i="6"/>
  <c r="E130" i="6"/>
  <c r="F129" i="6"/>
  <c r="E129" i="6"/>
  <c r="E128" i="6"/>
  <c r="F128" i="6" s="1"/>
  <c r="E127" i="6"/>
  <c r="F127" i="6" s="1"/>
  <c r="F126" i="6"/>
  <c r="E126" i="6"/>
  <c r="D124" i="6"/>
  <c r="E124" i="6" s="1"/>
  <c r="C124" i="6"/>
  <c r="F123" i="6"/>
  <c r="E123" i="6"/>
  <c r="F122" i="6"/>
  <c r="E122" i="6"/>
  <c r="F121" i="6"/>
  <c r="E121" i="6"/>
  <c r="E120" i="6"/>
  <c r="F120" i="6" s="1"/>
  <c r="E119" i="6"/>
  <c r="F119" i="6" s="1"/>
  <c r="F118" i="6"/>
  <c r="E118" i="6"/>
  <c r="F117" i="6"/>
  <c r="E117" i="6"/>
  <c r="E116" i="6"/>
  <c r="F116" i="6" s="1"/>
  <c r="F115" i="6"/>
  <c r="E115" i="6"/>
  <c r="F114" i="6"/>
  <c r="E114" i="6"/>
  <c r="F113" i="6"/>
  <c r="E113" i="6"/>
  <c r="D111" i="6"/>
  <c r="C111" i="6"/>
  <c r="F110" i="6"/>
  <c r="E110" i="6"/>
  <c r="F109" i="6"/>
  <c r="E109" i="6"/>
  <c r="E108" i="6"/>
  <c r="F108" i="6" s="1"/>
  <c r="F107" i="6"/>
  <c r="E107" i="6"/>
  <c r="F106" i="6"/>
  <c r="E106" i="6"/>
  <c r="F105" i="6"/>
  <c r="E105" i="6"/>
  <c r="E104" i="6"/>
  <c r="F104" i="6" s="1"/>
  <c r="E103" i="6"/>
  <c r="F103" i="6" s="1"/>
  <c r="F102" i="6"/>
  <c r="E102" i="6"/>
  <c r="F101" i="6"/>
  <c r="E101" i="6"/>
  <c r="E100" i="6"/>
  <c r="F100" i="6" s="1"/>
  <c r="F94" i="6"/>
  <c r="D94" i="6"/>
  <c r="E94" i="6"/>
  <c r="C94" i="6"/>
  <c r="F93" i="6"/>
  <c r="D93" i="6"/>
  <c r="E93" i="6" s="1"/>
  <c r="C93" i="6"/>
  <c r="D92" i="6"/>
  <c r="E92" i="6" s="1"/>
  <c r="F92" i="6" s="1"/>
  <c r="C92" i="6"/>
  <c r="D91" i="6"/>
  <c r="E91" i="6" s="1"/>
  <c r="C91" i="6"/>
  <c r="D90" i="6"/>
  <c r="E90" i="6"/>
  <c r="F90" i="6" s="1"/>
  <c r="C90" i="6"/>
  <c r="D89" i="6"/>
  <c r="E89" i="6" s="1"/>
  <c r="C89" i="6"/>
  <c r="F89" i="6" s="1"/>
  <c r="D88" i="6"/>
  <c r="E88" i="6"/>
  <c r="F88" i="6" s="1"/>
  <c r="C88" i="6"/>
  <c r="D87" i="6"/>
  <c r="E87" i="6" s="1"/>
  <c r="C87" i="6"/>
  <c r="D86" i="6"/>
  <c r="E86" i="6"/>
  <c r="F86" i="6"/>
  <c r="C86" i="6"/>
  <c r="D85" i="6"/>
  <c r="E85" i="6" s="1"/>
  <c r="C85" i="6"/>
  <c r="F85" i="6" s="1"/>
  <c r="D84" i="6"/>
  <c r="D95" i="6" s="1"/>
  <c r="C84" i="6"/>
  <c r="C95" i="6"/>
  <c r="D81" i="6"/>
  <c r="E81" i="6" s="1"/>
  <c r="C81" i="6"/>
  <c r="F80" i="6"/>
  <c r="E80" i="6"/>
  <c r="F79" i="6"/>
  <c r="E79" i="6"/>
  <c r="F78" i="6"/>
  <c r="E78" i="6"/>
  <c r="E77" i="6"/>
  <c r="F77" i="6" s="1"/>
  <c r="E76" i="6"/>
  <c r="F76" i="6" s="1"/>
  <c r="E75" i="6"/>
  <c r="F75" i="6" s="1"/>
  <c r="F74" i="6"/>
  <c r="E74" i="6"/>
  <c r="E73" i="6"/>
  <c r="F73" i="6" s="1"/>
  <c r="E72" i="6"/>
  <c r="F72" i="6" s="1"/>
  <c r="E71" i="6"/>
  <c r="F71" i="6" s="1"/>
  <c r="F70" i="6"/>
  <c r="E70" i="6"/>
  <c r="D68" i="6"/>
  <c r="C68" i="6"/>
  <c r="F67" i="6"/>
  <c r="E67" i="6"/>
  <c r="F66" i="6"/>
  <c r="E66" i="6"/>
  <c r="E65" i="6"/>
  <c r="F65" i="6" s="1"/>
  <c r="E64" i="6"/>
  <c r="F64" i="6" s="1"/>
  <c r="E63" i="6"/>
  <c r="F63" i="6" s="1"/>
  <c r="F62" i="6"/>
  <c r="E62" i="6"/>
  <c r="E61" i="6"/>
  <c r="F61" i="6" s="1"/>
  <c r="F60" i="6"/>
  <c r="E60" i="6"/>
  <c r="E59" i="6"/>
  <c r="F59" i="6" s="1"/>
  <c r="F58" i="6"/>
  <c r="E58" i="6"/>
  <c r="E57" i="6"/>
  <c r="F57" i="6" s="1"/>
  <c r="D51" i="6"/>
  <c r="E51" i="6" s="1"/>
  <c r="C51" i="6"/>
  <c r="F51" i="6" s="1"/>
  <c r="D50" i="6"/>
  <c r="C50" i="6"/>
  <c r="D49" i="6"/>
  <c r="E49" i="6" s="1"/>
  <c r="C49" i="6"/>
  <c r="D48" i="6"/>
  <c r="C48" i="6"/>
  <c r="D47" i="6"/>
  <c r="E47" i="6" s="1"/>
  <c r="C47" i="6"/>
  <c r="D46" i="6"/>
  <c r="E46" i="6" s="1"/>
  <c r="C46" i="6"/>
  <c r="D45" i="6"/>
  <c r="E45" i="6" s="1"/>
  <c r="C45" i="6"/>
  <c r="D44" i="6"/>
  <c r="E44" i="6" s="1"/>
  <c r="C44" i="6"/>
  <c r="D43" i="6"/>
  <c r="C43" i="6"/>
  <c r="D42" i="6"/>
  <c r="E42" i="6" s="1"/>
  <c r="C42" i="6"/>
  <c r="D41" i="6"/>
  <c r="C41" i="6"/>
  <c r="D38" i="6"/>
  <c r="F38" i="6"/>
  <c r="C38" i="6"/>
  <c r="E38" i="6" s="1"/>
  <c r="F37" i="6"/>
  <c r="E37" i="6"/>
  <c r="F36" i="6"/>
  <c r="E36" i="6"/>
  <c r="E35" i="6"/>
  <c r="F35" i="6" s="1"/>
  <c r="E34" i="6"/>
  <c r="F34" i="6" s="1"/>
  <c r="F33" i="6"/>
  <c r="E33" i="6"/>
  <c r="F32" i="6"/>
  <c r="E32" i="6"/>
  <c r="E31" i="6"/>
  <c r="F31" i="6" s="1"/>
  <c r="E30" i="6"/>
  <c r="F30" i="6" s="1"/>
  <c r="F29" i="6"/>
  <c r="E29" i="6"/>
  <c r="F28" i="6"/>
  <c r="E28" i="6"/>
  <c r="E27" i="6"/>
  <c r="F27" i="6" s="1"/>
  <c r="D25" i="6"/>
  <c r="E25" i="6" s="1"/>
  <c r="F25" i="6" s="1"/>
  <c r="C25" i="6"/>
  <c r="F24" i="6"/>
  <c r="E24" i="6"/>
  <c r="F23" i="6"/>
  <c r="E23" i="6"/>
  <c r="F22" i="6"/>
  <c r="E22" i="6"/>
  <c r="F21" i="6"/>
  <c r="E21" i="6"/>
  <c r="F20" i="6"/>
  <c r="E20" i="6"/>
  <c r="E19" i="6"/>
  <c r="F19" i="6" s="1"/>
  <c r="F18" i="6"/>
  <c r="E18" i="6"/>
  <c r="F17" i="6"/>
  <c r="E17" i="6"/>
  <c r="F16" i="6"/>
  <c r="E16" i="6"/>
  <c r="E15" i="6"/>
  <c r="F15" i="6" s="1"/>
  <c r="E14" i="6"/>
  <c r="F14" i="6" s="1"/>
  <c r="F51" i="5"/>
  <c r="E51" i="5"/>
  <c r="D48" i="5"/>
  <c r="C48" i="5"/>
  <c r="F48" i="5" s="1"/>
  <c r="F47" i="5"/>
  <c r="E47" i="5"/>
  <c r="F46" i="5"/>
  <c r="E46" i="5"/>
  <c r="D41" i="5"/>
  <c r="C41" i="5"/>
  <c r="E40" i="5"/>
  <c r="F40" i="5" s="1"/>
  <c r="F39" i="5"/>
  <c r="E39" i="5"/>
  <c r="F38" i="5"/>
  <c r="E38" i="5"/>
  <c r="D33" i="5"/>
  <c r="C33" i="5"/>
  <c r="E33" i="5" s="1"/>
  <c r="F32" i="5"/>
  <c r="E32" i="5"/>
  <c r="F31" i="5"/>
  <c r="E31" i="5"/>
  <c r="E30" i="5"/>
  <c r="F30" i="5" s="1"/>
  <c r="E29" i="5"/>
  <c r="F29" i="5" s="1"/>
  <c r="F28" i="5"/>
  <c r="E28" i="5"/>
  <c r="F27" i="5"/>
  <c r="E27" i="5"/>
  <c r="E26" i="5"/>
  <c r="F26" i="5" s="1"/>
  <c r="E25" i="5"/>
  <c r="F25" i="5" s="1"/>
  <c r="F24" i="5"/>
  <c r="E24" i="5"/>
  <c r="E20" i="5"/>
  <c r="F20" i="5" s="1"/>
  <c r="E19" i="5"/>
  <c r="F19" i="5" s="1"/>
  <c r="F17" i="5"/>
  <c r="E17" i="5"/>
  <c r="D16" i="5"/>
  <c r="C16" i="5"/>
  <c r="C18" i="5" s="1"/>
  <c r="C21" i="5" s="1"/>
  <c r="F15" i="5"/>
  <c r="E15" i="5"/>
  <c r="F14" i="5"/>
  <c r="E14" i="5"/>
  <c r="E13" i="5"/>
  <c r="F13" i="5" s="1"/>
  <c r="F12" i="5"/>
  <c r="E12" i="5"/>
  <c r="D73" i="4"/>
  <c r="C73" i="4"/>
  <c r="F72" i="4"/>
  <c r="E72" i="4"/>
  <c r="E71" i="4"/>
  <c r="F71" i="4" s="1"/>
  <c r="E70" i="4"/>
  <c r="F70" i="4" s="1"/>
  <c r="F67" i="4"/>
  <c r="E67" i="4"/>
  <c r="F64" i="4"/>
  <c r="E64" i="4"/>
  <c r="E63" i="4"/>
  <c r="F63" i="4" s="1"/>
  <c r="D61" i="4"/>
  <c r="D65" i="4"/>
  <c r="E65" i="4"/>
  <c r="C61" i="4"/>
  <c r="C65" i="4"/>
  <c r="F60" i="4"/>
  <c r="E60" i="4"/>
  <c r="F59" i="4"/>
  <c r="E59" i="4"/>
  <c r="D56" i="4"/>
  <c r="D75" i="4"/>
  <c r="C56" i="4"/>
  <c r="F55" i="4"/>
  <c r="E55" i="4"/>
  <c r="F54" i="4"/>
  <c r="E54" i="4"/>
  <c r="F53" i="4"/>
  <c r="E53" i="4"/>
  <c r="F52" i="4"/>
  <c r="E52" i="4"/>
  <c r="F51" i="4"/>
  <c r="E51" i="4"/>
  <c r="A53" i="4"/>
  <c r="A54" i="4"/>
  <c r="A55" i="4"/>
  <c r="E50" i="4"/>
  <c r="F50" i="4"/>
  <c r="A50" i="4"/>
  <c r="A51" i="4" s="1"/>
  <c r="A52" i="4" s="1"/>
  <c r="E49" i="4"/>
  <c r="F49" i="4" s="1"/>
  <c r="E40" i="4"/>
  <c r="F40" i="4" s="1"/>
  <c r="D38" i="4"/>
  <c r="D41" i="4" s="1"/>
  <c r="C38" i="4"/>
  <c r="C41" i="4" s="1"/>
  <c r="E37" i="4"/>
  <c r="F37" i="4" s="1"/>
  <c r="F36" i="4"/>
  <c r="E36" i="4"/>
  <c r="F33" i="4"/>
  <c r="E33" i="4"/>
  <c r="E32" i="4"/>
  <c r="F32" i="4" s="1"/>
  <c r="E31" i="4"/>
  <c r="F31" i="4" s="1"/>
  <c r="D29" i="4"/>
  <c r="E29" i="4" s="1"/>
  <c r="F29" i="4" s="1"/>
  <c r="C29" i="4"/>
  <c r="F28" i="4"/>
  <c r="E28" i="4"/>
  <c r="F27" i="4"/>
  <c r="E27" i="4"/>
  <c r="F26" i="4"/>
  <c r="E26" i="4"/>
  <c r="F25" i="4"/>
  <c r="E25" i="4"/>
  <c r="D22" i="4"/>
  <c r="C22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E14" i="4"/>
  <c r="F14" i="4" s="1"/>
  <c r="E13" i="4"/>
  <c r="F13" i="4" s="1"/>
  <c r="C109" i="22"/>
  <c r="C108" i="22"/>
  <c r="D22" i="22"/>
  <c r="C23" i="22"/>
  <c r="E23" i="22"/>
  <c r="C34" i="22"/>
  <c r="E34" i="22"/>
  <c r="D101" i="22"/>
  <c r="D103" i="22" s="1"/>
  <c r="E102" i="22"/>
  <c r="C22" i="22"/>
  <c r="E22" i="22"/>
  <c r="E35" i="22" s="1"/>
  <c r="D30" i="22"/>
  <c r="D36" i="22"/>
  <c r="D40" i="22"/>
  <c r="D46" i="22"/>
  <c r="F21" i="21"/>
  <c r="F20" i="20"/>
  <c r="C41" i="20"/>
  <c r="E19" i="20"/>
  <c r="F19" i="20" s="1"/>
  <c r="E43" i="20"/>
  <c r="F43" i="20" s="1"/>
  <c r="C38" i="19"/>
  <c r="C127" i="19" s="1"/>
  <c r="C129" i="19"/>
  <c r="C133" i="19" s="1"/>
  <c r="C22" i="19"/>
  <c r="C126" i="18"/>
  <c r="C124" i="18"/>
  <c r="C122" i="18"/>
  <c r="C128" i="18" s="1"/>
  <c r="C115" i="18"/>
  <c r="C113" i="18"/>
  <c r="C111" i="18"/>
  <c r="C109" i="18"/>
  <c r="C127" i="18"/>
  <c r="C125" i="18"/>
  <c r="C123" i="18"/>
  <c r="C121" i="18"/>
  <c r="C129" i="18"/>
  <c r="C114" i="18"/>
  <c r="C112" i="18"/>
  <c r="C110" i="18"/>
  <c r="C116" i="18" s="1"/>
  <c r="C117" i="18" s="1"/>
  <c r="E23" i="17"/>
  <c r="F23" i="17" s="1"/>
  <c r="E29" i="17"/>
  <c r="E36" i="17"/>
  <c r="E44" i="17"/>
  <c r="D192" i="17"/>
  <c r="D193" i="17" s="1"/>
  <c r="D181" i="17"/>
  <c r="E230" i="17"/>
  <c r="F230" i="17" s="1"/>
  <c r="E238" i="17"/>
  <c r="F238" i="17" s="1"/>
  <c r="D55" i="18"/>
  <c r="E54" i="18"/>
  <c r="D289" i="18"/>
  <c r="D71" i="18"/>
  <c r="D76" i="18" s="1"/>
  <c r="D259" i="18" s="1"/>
  <c r="D65" i="18"/>
  <c r="E60" i="18"/>
  <c r="E69" i="18"/>
  <c r="C22" i="18"/>
  <c r="C284" i="18"/>
  <c r="E21" i="18"/>
  <c r="D33" i="18"/>
  <c r="E32" i="18"/>
  <c r="D44" i="18"/>
  <c r="E294" i="17"/>
  <c r="F294" i="17" s="1"/>
  <c r="E295" i="17"/>
  <c r="E296" i="17"/>
  <c r="E297" i="17"/>
  <c r="E298" i="17"/>
  <c r="E299" i="17"/>
  <c r="F299" i="17" s="1"/>
  <c r="D283" i="18"/>
  <c r="E283" i="18"/>
  <c r="E139" i="18"/>
  <c r="D144" i="18"/>
  <c r="C145" i="18"/>
  <c r="C156" i="18"/>
  <c r="C157" i="18" s="1"/>
  <c r="D175" i="18"/>
  <c r="E175" i="18" s="1"/>
  <c r="C180" i="18"/>
  <c r="C234" i="18"/>
  <c r="E205" i="18"/>
  <c r="C211" i="18"/>
  <c r="C235" i="18" s="1"/>
  <c r="E216" i="18"/>
  <c r="C241" i="18"/>
  <c r="C222" i="18"/>
  <c r="C229" i="18"/>
  <c r="E231" i="18"/>
  <c r="C244" i="18"/>
  <c r="D245" i="18"/>
  <c r="E251" i="18"/>
  <c r="E302" i="18"/>
  <c r="C303" i="18"/>
  <c r="C306" i="18"/>
  <c r="C310" i="18"/>
  <c r="C261" i="18"/>
  <c r="C189" i="18"/>
  <c r="E189" i="18"/>
  <c r="E188" i="18"/>
  <c r="D260" i="18"/>
  <c r="E195" i="18"/>
  <c r="E210" i="18"/>
  <c r="E233" i="18"/>
  <c r="D239" i="18"/>
  <c r="D252" i="18"/>
  <c r="D320" i="18"/>
  <c r="E320" i="18" s="1"/>
  <c r="E316" i="18"/>
  <c r="D330" i="18"/>
  <c r="C223" i="18"/>
  <c r="E265" i="18"/>
  <c r="E314" i="18"/>
  <c r="E324" i="18"/>
  <c r="F31" i="17"/>
  <c r="D32" i="17"/>
  <c r="D160" i="17"/>
  <c r="D90" i="17"/>
  <c r="E48" i="17"/>
  <c r="F48" i="17" s="1"/>
  <c r="C61" i="17"/>
  <c r="D173" i="17"/>
  <c r="C32" i="17"/>
  <c r="D61" i="17"/>
  <c r="D104" i="17" s="1"/>
  <c r="D103" i="17"/>
  <c r="E102" i="17"/>
  <c r="F17" i="17"/>
  <c r="D21" i="17"/>
  <c r="F36" i="17"/>
  <c r="F44" i="17"/>
  <c r="F52" i="17"/>
  <c r="F58" i="17"/>
  <c r="E101" i="17"/>
  <c r="F101" i="17"/>
  <c r="E123" i="17"/>
  <c r="F123" i="17" s="1"/>
  <c r="C124" i="17"/>
  <c r="E144" i="17"/>
  <c r="F144" i="17"/>
  <c r="E171" i="17"/>
  <c r="E179" i="17"/>
  <c r="C278" i="17"/>
  <c r="E278" i="17" s="1"/>
  <c r="F278" i="17" s="1"/>
  <c r="C262" i="17"/>
  <c r="C255" i="17"/>
  <c r="C215" i="17"/>
  <c r="E189" i="17"/>
  <c r="F189" i="17"/>
  <c r="E20" i="17"/>
  <c r="F20" i="17"/>
  <c r="C21" i="17"/>
  <c r="E30" i="17"/>
  <c r="F30" i="17"/>
  <c r="E35" i="17"/>
  <c r="F35" i="17" s="1"/>
  <c r="C37" i="17"/>
  <c r="E47" i="17"/>
  <c r="F47" i="17"/>
  <c r="E59" i="17"/>
  <c r="F59" i="17" s="1"/>
  <c r="E76" i="17"/>
  <c r="F76" i="17"/>
  <c r="D124" i="17"/>
  <c r="E124" i="17"/>
  <c r="C277" i="17"/>
  <c r="C261" i="17"/>
  <c r="E188" i="17"/>
  <c r="F188" i="17"/>
  <c r="C190" i="17"/>
  <c r="C280" i="17"/>
  <c r="C264" i="17"/>
  <c r="C300" i="17" s="1"/>
  <c r="C200" i="17"/>
  <c r="E191" i="17"/>
  <c r="F191" i="17"/>
  <c r="D279" i="17"/>
  <c r="E279" i="17" s="1"/>
  <c r="D190" i="17"/>
  <c r="D290" i="17"/>
  <c r="E290" i="17"/>
  <c r="F290" i="17" s="1"/>
  <c r="D274" i="17"/>
  <c r="D199" i="17"/>
  <c r="D200" i="17"/>
  <c r="E200" i="17" s="1"/>
  <c r="D283" i="17"/>
  <c r="D284" i="17"/>
  <c r="D267" i="17"/>
  <c r="D285" i="17"/>
  <c r="D269" i="17"/>
  <c r="D205" i="17"/>
  <c r="D206" i="17"/>
  <c r="D214" i="17"/>
  <c r="D254" i="17" s="1"/>
  <c r="D215" i="17"/>
  <c r="E306" i="17"/>
  <c r="D261" i="17"/>
  <c r="E261" i="17" s="1"/>
  <c r="D262" i="17"/>
  <c r="D263" i="17" s="1"/>
  <c r="D264" i="17"/>
  <c r="E264" i="17" s="1"/>
  <c r="F264" i="17" s="1"/>
  <c r="E277" i="17"/>
  <c r="E280" i="17"/>
  <c r="F280" i="17" s="1"/>
  <c r="E198" i="17"/>
  <c r="F198" i="17" s="1"/>
  <c r="C199" i="17"/>
  <c r="F199" i="17" s="1"/>
  <c r="E204" i="17"/>
  <c r="F204" i="17" s="1"/>
  <c r="E226" i="17"/>
  <c r="F226" i="17" s="1"/>
  <c r="E237" i="17"/>
  <c r="F237" i="17"/>
  <c r="E250" i="17"/>
  <c r="F250" i="17" s="1"/>
  <c r="C269" i="17"/>
  <c r="C274" i="17"/>
  <c r="F295" i="17"/>
  <c r="F296" i="17"/>
  <c r="F297" i="17"/>
  <c r="F298" i="17"/>
  <c r="F107" i="15"/>
  <c r="I17" i="14"/>
  <c r="D31" i="14"/>
  <c r="F31" i="14"/>
  <c r="E33" i="14"/>
  <c r="E36" i="14" s="1"/>
  <c r="E38" i="14"/>
  <c r="E40" i="14" s="1"/>
  <c r="G33" i="14"/>
  <c r="E20" i="13"/>
  <c r="E21" i="13"/>
  <c r="C21" i="13"/>
  <c r="D15" i="13"/>
  <c r="D24" i="13" s="1"/>
  <c r="C17" i="13"/>
  <c r="C28" i="13" s="1"/>
  <c r="C22" i="13" s="1"/>
  <c r="C70" i="13"/>
  <c r="C72" i="13" s="1"/>
  <c r="C69" i="13" s="1"/>
  <c r="E17" i="13"/>
  <c r="E28" i="13" s="1"/>
  <c r="E70" i="13" s="1"/>
  <c r="E72" i="13" s="1"/>
  <c r="E69" i="13"/>
  <c r="D48" i="13"/>
  <c r="D42" i="13"/>
  <c r="D20" i="12"/>
  <c r="E15" i="12"/>
  <c r="F15" i="12"/>
  <c r="E41" i="11"/>
  <c r="F41" i="11" s="1"/>
  <c r="E22" i="11"/>
  <c r="F22" i="11"/>
  <c r="E38" i="11"/>
  <c r="F38" i="11" s="1"/>
  <c r="E56" i="11"/>
  <c r="F56" i="11"/>
  <c r="E61" i="11"/>
  <c r="F61" i="11" s="1"/>
  <c r="F122" i="10"/>
  <c r="E112" i="10"/>
  <c r="F112" i="10" s="1"/>
  <c r="E113" i="10"/>
  <c r="F113" i="10"/>
  <c r="E198" i="9"/>
  <c r="F198" i="9"/>
  <c r="E199" i="9"/>
  <c r="F199" i="9" s="1"/>
  <c r="C139" i="8"/>
  <c r="E157" i="8"/>
  <c r="E154" i="8"/>
  <c r="E20" i="8"/>
  <c r="E21" i="8"/>
  <c r="E140" i="8"/>
  <c r="E138" i="8"/>
  <c r="E136" i="8"/>
  <c r="E139" i="8"/>
  <c r="E137" i="8"/>
  <c r="E135" i="8"/>
  <c r="D15" i="8"/>
  <c r="D17" i="8" s="1"/>
  <c r="D28" i="8" s="1"/>
  <c r="D99" i="8" s="1"/>
  <c r="D101" i="8" s="1"/>
  <c r="D98" i="8" s="1"/>
  <c r="E17" i="8"/>
  <c r="E43" i="8"/>
  <c r="D49" i="8"/>
  <c r="C53" i="8"/>
  <c r="E53" i="8"/>
  <c r="D77" i="8"/>
  <c r="D71" i="8" s="1"/>
  <c r="E49" i="8"/>
  <c r="E90" i="7"/>
  <c r="F90" i="7" s="1"/>
  <c r="E183" i="7"/>
  <c r="F183" i="7" s="1"/>
  <c r="F179" i="6"/>
  <c r="E41" i="6"/>
  <c r="F41" i="6"/>
  <c r="E84" i="6"/>
  <c r="F84" i="6"/>
  <c r="E41" i="4"/>
  <c r="E56" i="4"/>
  <c r="E61" i="4"/>
  <c r="F61" i="4" s="1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36" i="22"/>
  <c r="E54" i="22"/>
  <c r="E46" i="22"/>
  <c r="E40" i="22"/>
  <c r="E36" i="22"/>
  <c r="E30" i="22"/>
  <c r="D110" i="22"/>
  <c r="D100" i="18"/>
  <c r="C168" i="18"/>
  <c r="E71" i="18"/>
  <c r="E22" i="18"/>
  <c r="D145" i="18"/>
  <c r="E144" i="18"/>
  <c r="D271" i="17"/>
  <c r="E262" i="17"/>
  <c r="D216" i="17"/>
  <c r="D286" i="17"/>
  <c r="E199" i="17"/>
  <c r="E274" i="17"/>
  <c r="F274" i="17"/>
  <c r="D194" i="17"/>
  <c r="E190" i="17"/>
  <c r="F190" i="17" s="1"/>
  <c r="D287" i="17"/>
  <c r="F277" i="17"/>
  <c r="C279" i="17"/>
  <c r="C49" i="17"/>
  <c r="C126" i="17"/>
  <c r="C127" i="17" s="1"/>
  <c r="C288" i="17"/>
  <c r="D266" i="17"/>
  <c r="D300" i="17"/>
  <c r="E300" i="17" s="1"/>
  <c r="F300" i="17" s="1"/>
  <c r="D265" i="17"/>
  <c r="D255" i="17"/>
  <c r="E255" i="17" s="1"/>
  <c r="D270" i="17"/>
  <c r="F261" i="17"/>
  <c r="F124" i="17"/>
  <c r="D282" i="17"/>
  <c r="C125" i="17"/>
  <c r="D125" i="17"/>
  <c r="E125" i="17" s="1"/>
  <c r="D105" i="17"/>
  <c r="G36" i="14"/>
  <c r="G38" i="14"/>
  <c r="G40" i="14"/>
  <c r="D17" i="13"/>
  <c r="D28" i="13" s="1"/>
  <c r="D70" i="13" s="1"/>
  <c r="D72" i="13" s="1"/>
  <c r="D34" i="12"/>
  <c r="E112" i="8"/>
  <c r="E111" i="8"/>
  <c r="E28" i="8"/>
  <c r="E99" i="8" s="1"/>
  <c r="E101" i="8" s="1"/>
  <c r="E56" i="22"/>
  <c r="E48" i="22"/>
  <c r="C55" i="22"/>
  <c r="C47" i="22"/>
  <c r="C37" i="22"/>
  <c r="C112" i="22"/>
  <c r="E145" i="18"/>
  <c r="E76" i="18"/>
  <c r="D106" i="17"/>
  <c r="C50" i="17"/>
  <c r="F279" i="17"/>
  <c r="D69" i="13"/>
  <c r="D42" i="12"/>
  <c r="E98" i="8"/>
  <c r="D49" i="12"/>
  <c r="D22" i="8"/>
  <c r="C157" i="8" l="1"/>
  <c r="C155" i="8"/>
  <c r="C152" i="8"/>
  <c r="C154" i="8"/>
  <c r="C153" i="8"/>
  <c r="C156" i="8"/>
  <c r="E22" i="4"/>
  <c r="F22" i="4" s="1"/>
  <c r="D43" i="4"/>
  <c r="F95" i="6"/>
  <c r="E89" i="17"/>
  <c r="C90" i="17"/>
  <c r="C283" i="17"/>
  <c r="C254" i="17"/>
  <c r="C267" i="17"/>
  <c r="E203" i="17"/>
  <c r="F203" i="17" s="1"/>
  <c r="D244" i="18"/>
  <c r="E244" i="18" s="1"/>
  <c r="E220" i="18"/>
  <c r="F269" i="17"/>
  <c r="E153" i="9"/>
  <c r="F153" i="9"/>
  <c r="E221" i="18"/>
  <c r="C245" i="18"/>
  <c r="E245" i="18" s="1"/>
  <c r="C253" i="18"/>
  <c r="E276" i="18"/>
  <c r="C330" i="18"/>
  <c r="E330" i="18" s="1"/>
  <c r="E326" i="18"/>
  <c r="C101" i="22"/>
  <c r="C103" i="22" s="1"/>
  <c r="C102" i="22"/>
  <c r="C206" i="17"/>
  <c r="E21" i="17"/>
  <c r="F21" i="17" s="1"/>
  <c r="D161" i="17"/>
  <c r="D91" i="17"/>
  <c r="D49" i="17"/>
  <c r="C62" i="17"/>
  <c r="E32" i="17"/>
  <c r="F32" i="17" s="1"/>
  <c r="D101" i="18"/>
  <c r="D85" i="18"/>
  <c r="D99" i="18"/>
  <c r="D83" i="18"/>
  <c r="D258" i="18"/>
  <c r="D97" i="18"/>
  <c r="D89" i="18"/>
  <c r="D84" i="18"/>
  <c r="D88" i="18"/>
  <c r="D98" i="18"/>
  <c r="F41" i="4"/>
  <c r="C43" i="4"/>
  <c r="D21" i="8"/>
  <c r="E120" i="17"/>
  <c r="F120" i="17"/>
  <c r="D126" i="17"/>
  <c r="C263" i="17"/>
  <c r="F262" i="17"/>
  <c r="D263" i="18"/>
  <c r="D111" i="17"/>
  <c r="E111" i="17" s="1"/>
  <c r="E109" i="17"/>
  <c r="F109" i="17" s="1"/>
  <c r="C181" i="17"/>
  <c r="F181" i="17" s="1"/>
  <c r="F180" i="17"/>
  <c r="E180" i="17"/>
  <c r="D86" i="18"/>
  <c r="E68" i="6"/>
  <c r="F68" i="6"/>
  <c r="C140" i="8"/>
  <c r="C138" i="8"/>
  <c r="C135" i="8"/>
  <c r="C136" i="8"/>
  <c r="C137" i="8"/>
  <c r="F17" i="12"/>
  <c r="C20" i="12"/>
  <c r="E94" i="17"/>
  <c r="F94" i="17" s="1"/>
  <c r="D95" i="18"/>
  <c r="E17" i="12"/>
  <c r="D39" i="22"/>
  <c r="D35" i="22"/>
  <c r="D29" i="22"/>
  <c r="D53" i="22"/>
  <c r="D45" i="22"/>
  <c r="F65" i="4"/>
  <c r="C24" i="8"/>
  <c r="C17" i="8"/>
  <c r="E96" i="10"/>
  <c r="F96" i="10"/>
  <c r="C31" i="14"/>
  <c r="I31" i="14" s="1"/>
  <c r="C33" i="14"/>
  <c r="D68" i="17"/>
  <c r="E68" i="17" s="1"/>
  <c r="F68" i="17" s="1"/>
  <c r="E66" i="17"/>
  <c r="F66" i="17" s="1"/>
  <c r="F201" i="9"/>
  <c r="E61" i="17"/>
  <c r="F61" i="17" s="1"/>
  <c r="E48" i="5"/>
  <c r="E201" i="9"/>
  <c r="C49" i="19"/>
  <c r="C64" i="19"/>
  <c r="C65" i="19" s="1"/>
  <c r="C114" i="19" s="1"/>
  <c r="C116" i="19" s="1"/>
  <c r="C119" i="19" s="1"/>
  <c r="C123" i="19" s="1"/>
  <c r="D24" i="8"/>
  <c r="D20" i="8" s="1"/>
  <c r="D195" i="17"/>
  <c r="C91" i="17"/>
  <c r="D222" i="18"/>
  <c r="F33" i="5"/>
  <c r="E95" i="6"/>
  <c r="F140" i="9"/>
  <c r="E140" i="9"/>
  <c r="D281" i="17"/>
  <c r="F125" i="17"/>
  <c r="D304" i="17"/>
  <c r="E155" i="8"/>
  <c r="E153" i="8"/>
  <c r="E156" i="8"/>
  <c r="E180" i="9"/>
  <c r="F180" i="9"/>
  <c r="F200" i="17"/>
  <c r="D175" i="17"/>
  <c r="D62" i="17"/>
  <c r="C272" i="17"/>
  <c r="D87" i="18"/>
  <c r="F38" i="4"/>
  <c r="E141" i="8"/>
  <c r="C205" i="17"/>
  <c r="E269" i="17"/>
  <c r="D272" i="17"/>
  <c r="F89" i="17"/>
  <c r="D306" i="18"/>
  <c r="E55" i="18"/>
  <c r="D284" i="18"/>
  <c r="E284" i="18" s="1"/>
  <c r="F24" i="7"/>
  <c r="D95" i="7"/>
  <c r="D188" i="7"/>
  <c r="E188" i="7" s="1"/>
  <c r="F188" i="7" s="1"/>
  <c r="F47" i="12"/>
  <c r="E47" i="12"/>
  <c r="F70" i="15"/>
  <c r="E239" i="18"/>
  <c r="E111" i="6"/>
  <c r="F111" i="6"/>
  <c r="E260" i="18"/>
  <c r="E43" i="6"/>
  <c r="F43" i="6" s="1"/>
  <c r="E215" i="17"/>
  <c r="F215" i="17" s="1"/>
  <c r="D66" i="18"/>
  <c r="D294" i="18"/>
  <c r="E254" i="17"/>
  <c r="C214" i="17"/>
  <c r="E53" i="22"/>
  <c r="E45" i="22"/>
  <c r="E39" i="22"/>
  <c r="E29" i="22"/>
  <c r="E35" i="7"/>
  <c r="F35" i="7" s="1"/>
  <c r="C138" i="17"/>
  <c r="C207" i="17"/>
  <c r="D196" i="17"/>
  <c r="E46" i="20"/>
  <c r="E33" i="18"/>
  <c r="D295" i="18"/>
  <c r="D112" i="8"/>
  <c r="D111" i="8" s="1"/>
  <c r="D77" i="18"/>
  <c r="D174" i="17"/>
  <c r="D96" i="18"/>
  <c r="E38" i="4"/>
  <c r="E152" i="8"/>
  <c r="E158" i="8" s="1"/>
  <c r="D288" i="17"/>
  <c r="E285" i="17"/>
  <c r="F285" i="17" s="1"/>
  <c r="C131" i="18"/>
  <c r="F46" i="6"/>
  <c r="E217" i="18"/>
  <c r="D241" i="18"/>
  <c r="E241" i="18" s="1"/>
  <c r="E262" i="18"/>
  <c r="E263" i="17"/>
  <c r="E73" i="4"/>
  <c r="F73" i="4" s="1"/>
  <c r="C35" i="5"/>
  <c r="E41" i="5"/>
  <c r="F41" i="5" s="1"/>
  <c r="E22" i="8"/>
  <c r="C49" i="8"/>
  <c r="C43" i="8"/>
  <c r="F88" i="9"/>
  <c r="E88" i="9"/>
  <c r="F29" i="17"/>
  <c r="D137" i="17"/>
  <c r="E136" i="17"/>
  <c r="F136" i="17" s="1"/>
  <c r="F307" i="17"/>
  <c r="C43" i="18"/>
  <c r="E37" i="18"/>
  <c r="E161" i="18"/>
  <c r="F102" i="17"/>
  <c r="F158" i="17"/>
  <c r="C159" i="17"/>
  <c r="C192" i="17"/>
  <c r="E158" i="17"/>
  <c r="D234" i="18"/>
  <c r="E234" i="18" s="1"/>
  <c r="D180" i="18"/>
  <c r="E180" i="18" s="1"/>
  <c r="D242" i="18"/>
  <c r="E242" i="18" s="1"/>
  <c r="E218" i="18"/>
  <c r="F46" i="20"/>
  <c r="D109" i="22"/>
  <c r="D111" i="22"/>
  <c r="D108" i="22"/>
  <c r="F255" i="17"/>
  <c r="C103" i="17"/>
  <c r="D211" i="18"/>
  <c r="C181" i="18"/>
  <c r="C169" i="18"/>
  <c r="C75" i="4"/>
  <c r="F56" i="4"/>
  <c r="E16" i="5"/>
  <c r="F16" i="5" s="1"/>
  <c r="D18" i="5"/>
  <c r="C109" i="8"/>
  <c r="C106" i="8" s="1"/>
  <c r="F75" i="9"/>
  <c r="E208" i="9"/>
  <c r="E59" i="10"/>
  <c r="F59" i="10"/>
  <c r="E13" i="16"/>
  <c r="F13" i="16" s="1"/>
  <c r="C239" i="18"/>
  <c r="E215" i="18"/>
  <c r="E101" i="22"/>
  <c r="E103" i="22" s="1"/>
  <c r="E77" i="22"/>
  <c r="F24" i="17"/>
  <c r="E88" i="17"/>
  <c r="F88" i="17"/>
  <c r="E228" i="18"/>
  <c r="D253" i="18"/>
  <c r="E38" i="22"/>
  <c r="E113" i="22"/>
  <c r="D268" i="17"/>
  <c r="E267" i="17"/>
  <c r="F37" i="17"/>
  <c r="E24" i="17"/>
  <c r="C30" i="22"/>
  <c r="C40" i="22"/>
  <c r="D52" i="6"/>
  <c r="F45" i="6"/>
  <c r="F49" i="6"/>
  <c r="F91" i="6"/>
  <c r="C86" i="8"/>
  <c r="D166" i="8"/>
  <c r="E102" i="9"/>
  <c r="F33" i="14"/>
  <c r="H17" i="14"/>
  <c r="E229" i="18"/>
  <c r="D41" i="20"/>
  <c r="E39" i="20"/>
  <c r="F42" i="6"/>
  <c r="E48" i="6"/>
  <c r="F48" i="6" s="1"/>
  <c r="F81" i="6"/>
  <c r="F124" i="6"/>
  <c r="F41" i="7"/>
  <c r="C95" i="7"/>
  <c r="C27" i="8"/>
  <c r="C71" i="8"/>
  <c r="E48" i="10"/>
  <c r="E60" i="15"/>
  <c r="F59" i="15"/>
  <c r="F100" i="17"/>
  <c r="C111" i="17"/>
  <c r="E110" i="17"/>
  <c r="F110" i="17" s="1"/>
  <c r="F40" i="20"/>
  <c r="F45" i="20"/>
  <c r="F47" i="6"/>
  <c r="F50" i="6"/>
  <c r="E50" i="6"/>
  <c r="C208" i="9"/>
  <c r="E205" i="9"/>
  <c r="F205" i="9"/>
  <c r="E65" i="11"/>
  <c r="F65" i="11" s="1"/>
  <c r="D75" i="11"/>
  <c r="E75" i="11" s="1"/>
  <c r="F75" i="11" s="1"/>
  <c r="F92" i="15"/>
  <c r="F171" i="17"/>
  <c r="C172" i="17"/>
  <c r="D261" i="18"/>
  <c r="E261" i="18" s="1"/>
  <c r="E25" i="20"/>
  <c r="F25" i="20" s="1"/>
  <c r="E181" i="17"/>
  <c r="C52" i="6"/>
  <c r="F44" i="6"/>
  <c r="F87" i="6"/>
  <c r="F166" i="6"/>
  <c r="E120" i="10"/>
  <c r="F120" i="10"/>
  <c r="E23" i="15"/>
  <c r="F23" i="15"/>
  <c r="E17" i="16"/>
  <c r="F17" i="16"/>
  <c r="E85" i="17"/>
  <c r="F85" i="17" s="1"/>
  <c r="C193" i="17"/>
  <c r="D149" i="8"/>
  <c r="F50" i="15"/>
  <c r="D37" i="17"/>
  <c r="E37" i="17" s="1"/>
  <c r="F145" i="17"/>
  <c r="E36" i="20"/>
  <c r="F34" i="20"/>
  <c r="E76" i="9"/>
  <c r="F76" i="9" s="1"/>
  <c r="E114" i="10"/>
  <c r="F114" i="10"/>
  <c r="C61" i="13"/>
  <c r="C57" i="13" s="1"/>
  <c r="F130" i="17"/>
  <c r="E146" i="17"/>
  <c r="F146" i="17" s="1"/>
  <c r="E227" i="17"/>
  <c r="F227" i="17" s="1"/>
  <c r="F16" i="20"/>
  <c r="E40" i="20"/>
  <c r="E23" i="10"/>
  <c r="E118" i="10"/>
  <c r="F118" i="10"/>
  <c r="D43" i="11"/>
  <c r="E43" i="11" s="1"/>
  <c r="F43" i="11" s="1"/>
  <c r="F29" i="11"/>
  <c r="E67" i="17"/>
  <c r="F67" i="17" s="1"/>
  <c r="E38" i="18"/>
  <c r="C243" i="18"/>
  <c r="E278" i="18"/>
  <c r="E49" i="9"/>
  <c r="F49" i="9" s="1"/>
  <c r="F200" i="9"/>
  <c r="F60" i="15"/>
  <c r="F135" i="17"/>
  <c r="F128" i="9"/>
  <c r="E200" i="9"/>
  <c r="D207" i="9"/>
  <c r="E207" i="9" s="1"/>
  <c r="F207" i="9" s="1"/>
  <c r="F35" i="10"/>
  <c r="F60" i="10"/>
  <c r="E116" i="10"/>
  <c r="F116" i="10"/>
  <c r="D27" i="13"/>
  <c r="E53" i="17"/>
  <c r="F53" i="17" s="1"/>
  <c r="E135" i="17"/>
  <c r="E163" i="18"/>
  <c r="D156" i="18"/>
  <c r="E151" i="18"/>
  <c r="E219" i="18"/>
  <c r="C289" i="18"/>
  <c r="E289" i="18" s="1"/>
  <c r="C65" i="18"/>
  <c r="E65" i="18" s="1"/>
  <c r="F36" i="20"/>
  <c r="E30" i="15"/>
  <c r="F100" i="15"/>
  <c r="C92" i="17" l="1"/>
  <c r="C286" i="17"/>
  <c r="E283" i="17"/>
  <c r="F283" i="17"/>
  <c r="C287" i="17"/>
  <c r="E306" i="18"/>
  <c r="D310" i="18"/>
  <c r="E310" i="18" s="1"/>
  <c r="F159" i="17"/>
  <c r="E159" i="17"/>
  <c r="C160" i="17"/>
  <c r="C161" i="17"/>
  <c r="D123" i="18"/>
  <c r="E123" i="18" s="1"/>
  <c r="D126" i="18"/>
  <c r="E126" i="18" s="1"/>
  <c r="D112" i="18"/>
  <c r="E112" i="18" s="1"/>
  <c r="D115" i="18"/>
  <c r="E115" i="18" s="1"/>
  <c r="D114" i="18"/>
  <c r="E114" i="18" s="1"/>
  <c r="D111" i="18"/>
  <c r="E111" i="18" s="1"/>
  <c r="D125" i="18"/>
  <c r="E125" i="18" s="1"/>
  <c r="D109" i="18"/>
  <c r="D110" i="18"/>
  <c r="D122" i="18"/>
  <c r="D121" i="18"/>
  <c r="D124" i="18"/>
  <c r="E124" i="18" s="1"/>
  <c r="D127" i="18"/>
  <c r="E127" i="18" s="1"/>
  <c r="D113" i="18"/>
  <c r="E113" i="18" s="1"/>
  <c r="E77" i="18"/>
  <c r="C139" i="17"/>
  <c r="C140" i="17"/>
  <c r="D157" i="18"/>
  <c r="E156" i="18"/>
  <c r="D168" i="18"/>
  <c r="E168" i="18" s="1"/>
  <c r="E109" i="22"/>
  <c r="E108" i="22"/>
  <c r="E111" i="22"/>
  <c r="D138" i="17"/>
  <c r="E137" i="17"/>
  <c r="F137" i="17" s="1"/>
  <c r="D207" i="17"/>
  <c r="C284" i="17"/>
  <c r="F263" i="17"/>
  <c r="C158" i="8"/>
  <c r="F208" i="9"/>
  <c r="F36" i="14"/>
  <c r="F38" i="14" s="1"/>
  <c r="F40" i="14" s="1"/>
  <c r="H33" i="14"/>
  <c r="H36" i="14" s="1"/>
  <c r="H38" i="14" s="1"/>
  <c r="H40" i="14" s="1"/>
  <c r="C43" i="5"/>
  <c r="D63" i="17"/>
  <c r="E63" i="17" s="1"/>
  <c r="E62" i="17"/>
  <c r="E126" i="17"/>
  <c r="F126" i="17" s="1"/>
  <c r="D127" i="17"/>
  <c r="E243" i="18"/>
  <c r="C252" i="18"/>
  <c r="C194" i="17"/>
  <c r="C266" i="17"/>
  <c r="E193" i="17"/>
  <c r="F193" i="17" s="1"/>
  <c r="C282" i="17"/>
  <c r="E172" i="17"/>
  <c r="F172" i="17"/>
  <c r="C173" i="17"/>
  <c r="D181" i="18"/>
  <c r="E181" i="18" s="1"/>
  <c r="D235" i="18"/>
  <c r="E235" i="18" s="1"/>
  <c r="E211" i="18"/>
  <c r="D102" i="18"/>
  <c r="E112" i="22"/>
  <c r="E55" i="22"/>
  <c r="E47" i="22"/>
  <c r="E37" i="22"/>
  <c r="E95" i="7"/>
  <c r="F95" i="7" s="1"/>
  <c r="E205" i="17"/>
  <c r="F205" i="17"/>
  <c r="E206" i="17"/>
  <c r="F206" i="17"/>
  <c r="E41" i="20"/>
  <c r="F41" i="20" s="1"/>
  <c r="F39" i="20"/>
  <c r="D112" i="22"/>
  <c r="D47" i="22"/>
  <c r="D55" i="22"/>
  <c r="D37" i="22"/>
  <c r="F62" i="17"/>
  <c r="C63" i="17"/>
  <c r="C21" i="8"/>
  <c r="C20" i="8"/>
  <c r="C22" i="8"/>
  <c r="F43" i="4"/>
  <c r="D50" i="17"/>
  <c r="E49" i="17"/>
  <c r="F49" i="17" s="1"/>
  <c r="D291" i="17"/>
  <c r="D289" i="17"/>
  <c r="E288" i="17"/>
  <c r="F288" i="17" s="1"/>
  <c r="D92" i="17"/>
  <c r="E91" i="17"/>
  <c r="F91" i="17" s="1"/>
  <c r="E272" i="17"/>
  <c r="F272" i="17" s="1"/>
  <c r="D273" i="17"/>
  <c r="E52" i="6"/>
  <c r="F52" i="6" s="1"/>
  <c r="E43" i="4"/>
  <c r="C113" i="22"/>
  <c r="C48" i="22"/>
  <c r="C56" i="22"/>
  <c r="C38" i="22"/>
  <c r="E253" i="18"/>
  <c r="D254" i="18"/>
  <c r="C104" i="17"/>
  <c r="E103" i="17"/>
  <c r="F103" i="17" s="1"/>
  <c r="H31" i="14"/>
  <c r="D176" i="17"/>
  <c r="C141" i="8"/>
  <c r="D90" i="18"/>
  <c r="C270" i="17"/>
  <c r="C268" i="17"/>
  <c r="C271" i="17"/>
  <c r="F267" i="17"/>
  <c r="C259" i="18"/>
  <c r="C44" i="18"/>
  <c r="C208" i="17"/>
  <c r="E192" i="17"/>
  <c r="F192" i="17" s="1"/>
  <c r="D264" i="18"/>
  <c r="E90" i="17"/>
  <c r="F90" i="17"/>
  <c r="C304" i="17"/>
  <c r="C216" i="17"/>
  <c r="E214" i="17"/>
  <c r="F214" i="17" s="1"/>
  <c r="C34" i="12"/>
  <c r="E20" i="12"/>
  <c r="F20" i="12" s="1"/>
  <c r="D91" i="18"/>
  <c r="F111" i="17"/>
  <c r="C28" i="8"/>
  <c r="C99" i="8" s="1"/>
  <c r="C101" i="8" s="1"/>
  <c r="C98" i="8" s="1"/>
  <c r="C112" i="8"/>
  <c r="C111" i="8" s="1"/>
  <c r="D162" i="17"/>
  <c r="E161" i="17"/>
  <c r="D136" i="8"/>
  <c r="D140" i="8"/>
  <c r="D139" i="8"/>
  <c r="D135" i="8"/>
  <c r="D138" i="8"/>
  <c r="D137" i="8"/>
  <c r="C294" i="18"/>
  <c r="E294" i="18" s="1"/>
  <c r="C246" i="18"/>
  <c r="C66" i="18"/>
  <c r="E66" i="18" s="1"/>
  <c r="D22" i="13"/>
  <c r="D21" i="13"/>
  <c r="D20" i="13"/>
  <c r="E43" i="18"/>
  <c r="D157" i="8"/>
  <c r="D155" i="8"/>
  <c r="D153" i="8"/>
  <c r="D154" i="8"/>
  <c r="D156" i="8"/>
  <c r="D152" i="8"/>
  <c r="D21" i="5"/>
  <c r="E18" i="5"/>
  <c r="F18" i="5" s="1"/>
  <c r="E75" i="4"/>
  <c r="F75" i="4" s="1"/>
  <c r="C105" i="17"/>
  <c r="D197" i="17"/>
  <c r="E110" i="22"/>
  <c r="D246" i="18"/>
  <c r="E222" i="18"/>
  <c r="D223" i="18"/>
  <c r="C36" i="14"/>
  <c r="C38" i="14" s="1"/>
  <c r="C40" i="14" s="1"/>
  <c r="I33" i="14"/>
  <c r="I36" i="14" s="1"/>
  <c r="I38" i="14" s="1"/>
  <c r="I40" i="14" s="1"/>
  <c r="F254" i="17"/>
  <c r="E160" i="17" l="1"/>
  <c r="F160" i="17" s="1"/>
  <c r="C273" i="17"/>
  <c r="E271" i="17"/>
  <c r="F271" i="17" s="1"/>
  <c r="C289" i="17"/>
  <c r="F287" i="17"/>
  <c r="C291" i="17"/>
  <c r="E287" i="17"/>
  <c r="F268" i="17"/>
  <c r="E223" i="18"/>
  <c r="D247" i="18"/>
  <c r="E247" i="18" s="1"/>
  <c r="E104" i="17"/>
  <c r="F104" i="17" s="1"/>
  <c r="C195" i="17"/>
  <c r="C196" i="17"/>
  <c r="E194" i="17"/>
  <c r="F194" i="17" s="1"/>
  <c r="E246" i="18"/>
  <c r="C209" i="17"/>
  <c r="C210" i="17"/>
  <c r="E254" i="18"/>
  <c r="E304" i="17"/>
  <c r="F304" i="17" s="1"/>
  <c r="C174" i="17"/>
  <c r="F173" i="17"/>
  <c r="C175" i="17"/>
  <c r="E173" i="17"/>
  <c r="C254" i="18"/>
  <c r="E252" i="18"/>
  <c r="C50" i="5"/>
  <c r="C141" i="17"/>
  <c r="D128" i="18"/>
  <c r="E128" i="18" s="1"/>
  <c r="E122" i="18"/>
  <c r="D105" i="18"/>
  <c r="E127" i="17"/>
  <c r="F127" i="17" s="1"/>
  <c r="E216" i="17"/>
  <c r="F216" i="17" s="1"/>
  <c r="C106" i="17"/>
  <c r="C324" i="17" s="1"/>
  <c r="E105" i="17"/>
  <c r="F105" i="17" s="1"/>
  <c r="D323" i="17"/>
  <c r="D183" i="17"/>
  <c r="E34" i="12"/>
  <c r="F34" i="12"/>
  <c r="C42" i="12"/>
  <c r="D208" i="17"/>
  <c r="E207" i="17"/>
  <c r="F207" i="17" s="1"/>
  <c r="D129" i="18"/>
  <c r="E129" i="18" s="1"/>
  <c r="E121" i="18"/>
  <c r="D35" i="5"/>
  <c r="E21" i="5"/>
  <c r="F21" i="5" s="1"/>
  <c r="D141" i="8"/>
  <c r="D266" i="18"/>
  <c r="C99" i="18"/>
  <c r="E99" i="18" s="1"/>
  <c r="C89" i="18"/>
  <c r="E89" i="18" s="1"/>
  <c r="C97" i="18"/>
  <c r="E97" i="18" s="1"/>
  <c r="C87" i="18"/>
  <c r="E87" i="18" s="1"/>
  <c r="C95" i="18"/>
  <c r="C85" i="18"/>
  <c r="E85" i="18" s="1"/>
  <c r="C258" i="18"/>
  <c r="C96" i="18"/>
  <c r="C100" i="18"/>
  <c r="E100" i="18" s="1"/>
  <c r="C98" i="18"/>
  <c r="E98" i="18" s="1"/>
  <c r="C101" i="18"/>
  <c r="E101" i="18" s="1"/>
  <c r="C83" i="18"/>
  <c r="C86" i="18"/>
  <c r="E86" i="18" s="1"/>
  <c r="C84" i="18"/>
  <c r="C88" i="18"/>
  <c r="E88" i="18" s="1"/>
  <c r="E44" i="18"/>
  <c r="E291" i="17"/>
  <c r="D305" i="17"/>
  <c r="E138" i="17"/>
  <c r="F138" i="17" s="1"/>
  <c r="D140" i="17"/>
  <c r="D139" i="17"/>
  <c r="E139" i="17" s="1"/>
  <c r="F139" i="17"/>
  <c r="E110" i="18"/>
  <c r="D116" i="18"/>
  <c r="E116" i="18" s="1"/>
  <c r="C295" i="18"/>
  <c r="E295" i="18" s="1"/>
  <c r="C247" i="18"/>
  <c r="F282" i="17"/>
  <c r="C281" i="17"/>
  <c r="E282" i="17"/>
  <c r="E50" i="17"/>
  <c r="F50" i="17" s="1"/>
  <c r="D70" i="17"/>
  <c r="E70" i="17" s="1"/>
  <c r="D113" i="17"/>
  <c r="E92" i="17"/>
  <c r="F92" i="17" s="1"/>
  <c r="D324" i="17"/>
  <c r="C265" i="17"/>
  <c r="E266" i="17"/>
  <c r="F266" i="17" s="1"/>
  <c r="E270" i="17"/>
  <c r="F270" i="17" s="1"/>
  <c r="E284" i="17"/>
  <c r="F284" i="17"/>
  <c r="E157" i="18"/>
  <c r="D169" i="18"/>
  <c r="E169" i="18" s="1"/>
  <c r="E286" i="17"/>
  <c r="F286" i="17" s="1"/>
  <c r="D158" i="8"/>
  <c r="C263" i="18"/>
  <c r="E263" i="18" s="1"/>
  <c r="E259" i="18"/>
  <c r="E273" i="17"/>
  <c r="E268" i="17"/>
  <c r="C70" i="17"/>
  <c r="F63" i="17"/>
  <c r="D103" i="18"/>
  <c r="D117" i="18"/>
  <c r="E109" i="18"/>
  <c r="F161" i="17"/>
  <c r="C162" i="17"/>
  <c r="E324" i="17" l="1"/>
  <c r="F324" i="17" s="1"/>
  <c r="C211" i="17"/>
  <c r="C148" i="17"/>
  <c r="C322" i="17"/>
  <c r="D309" i="17"/>
  <c r="E174" i="17"/>
  <c r="F174" i="17" s="1"/>
  <c r="F196" i="17"/>
  <c r="E196" i="17"/>
  <c r="C264" i="18"/>
  <c r="E258" i="18"/>
  <c r="C49" i="12"/>
  <c r="E42" i="12"/>
  <c r="F42" i="12" s="1"/>
  <c r="C90" i="18"/>
  <c r="E90" i="18" s="1"/>
  <c r="E84" i="18"/>
  <c r="E195" i="17"/>
  <c r="F195" i="17" s="1"/>
  <c r="C323" i="17"/>
  <c r="F323" i="17" s="1"/>
  <c r="C183" i="17"/>
  <c r="F183" i="17" s="1"/>
  <c r="F162" i="17"/>
  <c r="C197" i="17"/>
  <c r="E323" i="17"/>
  <c r="D131" i="18"/>
  <c r="E131" i="18" s="1"/>
  <c r="E117" i="18"/>
  <c r="E208" i="17"/>
  <c r="F208" i="17" s="1"/>
  <c r="D210" i="17"/>
  <c r="D209" i="17"/>
  <c r="E209" i="17" s="1"/>
  <c r="F209" i="17" s="1"/>
  <c r="F273" i="17"/>
  <c r="F70" i="17"/>
  <c r="E95" i="18"/>
  <c r="E162" i="17"/>
  <c r="C102" i="18"/>
  <c r="E102" i="18" s="1"/>
  <c r="E96" i="18"/>
  <c r="D267" i="18"/>
  <c r="E106" i="17"/>
  <c r="F106" i="17" s="1"/>
  <c r="E289" i="17"/>
  <c r="F289" i="17" s="1"/>
  <c r="C113" i="17"/>
  <c r="E113" i="17" s="1"/>
  <c r="E265" i="17"/>
  <c r="F265" i="17" s="1"/>
  <c r="E281" i="17"/>
  <c r="F281" i="17" s="1"/>
  <c r="D141" i="17"/>
  <c r="E140" i="17"/>
  <c r="F140" i="17" s="1"/>
  <c r="E83" i="18"/>
  <c r="D43" i="5"/>
  <c r="E35" i="5"/>
  <c r="F35" i="5" s="1"/>
  <c r="C176" i="17"/>
  <c r="E175" i="17"/>
  <c r="F175" i="17" s="1"/>
  <c r="F291" i="17"/>
  <c r="C305" i="17"/>
  <c r="C309" i="17" l="1"/>
  <c r="D211" i="17"/>
  <c r="E211" i="17" s="1"/>
  <c r="F211" i="17" s="1"/>
  <c r="E210" i="17"/>
  <c r="F210" i="17" s="1"/>
  <c r="E49" i="12"/>
  <c r="F49" i="12" s="1"/>
  <c r="E309" i="17"/>
  <c r="D310" i="17"/>
  <c r="F113" i="17"/>
  <c r="C266" i="18"/>
  <c r="E264" i="18"/>
  <c r="D268" i="18"/>
  <c r="D269" i="18"/>
  <c r="C103" i="18"/>
  <c r="E103" i="18" s="1"/>
  <c r="E305" i="17"/>
  <c r="F305" i="17" s="1"/>
  <c r="D50" i="5"/>
  <c r="E50" i="5" s="1"/>
  <c r="F50" i="5" s="1"/>
  <c r="E43" i="5"/>
  <c r="F43" i="5" s="1"/>
  <c r="E197" i="17"/>
  <c r="F197" i="17" s="1"/>
  <c r="C91" i="18"/>
  <c r="E141" i="17"/>
  <c r="F141" i="17" s="1"/>
  <c r="D322" i="17"/>
  <c r="D148" i="17"/>
  <c r="E148" i="17" s="1"/>
  <c r="F148" i="17" s="1"/>
  <c r="F176" i="17"/>
  <c r="E176" i="17"/>
  <c r="E183" i="17"/>
  <c r="C325" i="17"/>
  <c r="C105" i="18" l="1"/>
  <c r="E105" i="18" s="1"/>
  <c r="E91" i="18"/>
  <c r="D271" i="18"/>
  <c r="E266" i="18"/>
  <c r="C267" i="18"/>
  <c r="E322" i="17"/>
  <c r="F322" i="17" s="1"/>
  <c r="D325" i="17"/>
  <c r="E325" i="17" s="1"/>
  <c r="F325" i="17" s="1"/>
  <c r="F309" i="17"/>
  <c r="C310" i="17"/>
  <c r="E310" i="17"/>
  <c r="D312" i="17"/>
  <c r="C269" i="18" l="1"/>
  <c r="E269" i="18" s="1"/>
  <c r="C268" i="18"/>
  <c r="E267" i="18"/>
  <c r="D313" i="17"/>
  <c r="C312" i="17"/>
  <c r="F310" i="17"/>
  <c r="F312" i="17" l="1"/>
  <c r="C313" i="17"/>
  <c r="D315" i="17"/>
  <c r="E313" i="17"/>
  <c r="D314" i="17"/>
  <c r="D251" i="17"/>
  <c r="D256" i="17"/>
  <c r="E312" i="17"/>
  <c r="C271" i="18"/>
  <c r="E271" i="18" s="1"/>
  <c r="E268" i="18"/>
  <c r="D257" i="17" l="1"/>
  <c r="D318" i="17"/>
  <c r="E315" i="17"/>
  <c r="C251" i="17"/>
  <c r="C314" i="17"/>
  <c r="F313" i="17"/>
  <c r="C315" i="17"/>
  <c r="C256" i="17"/>
  <c r="E257" i="17" l="1"/>
  <c r="E251" i="17"/>
  <c r="F251" i="17" s="1"/>
  <c r="C318" i="17"/>
  <c r="E318" i="17"/>
  <c r="C257" i="17"/>
  <c r="F256" i="17"/>
  <c r="E314" i="17"/>
  <c r="F314" i="17" s="1"/>
  <c r="F315" i="17"/>
  <c r="E256" i="17"/>
  <c r="F257" i="17" l="1"/>
  <c r="F318" i="17"/>
</calcChain>
</file>

<file path=xl/sharedStrings.xml><?xml version="1.0" encoding="utf-8"?>
<sst xmlns="http://schemas.openxmlformats.org/spreadsheetml/2006/main" count="2333" uniqueCount="1008">
  <si>
    <t>SAINT FRANCIS HOSPITAL AND MEDICAL CENTER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</si>
  <si>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</si>
  <si>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</si>
  <si>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</si>
  <si>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</si>
  <si>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</si>
  <si>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</si>
  <si>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</si>
  <si>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</si>
  <si>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</si>
  <si>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</si>
  <si>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</si>
  <si>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</si>
  <si>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</si>
  <si>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</si>
  <si>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</si>
  <si>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</si>
  <si>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</si>
  <si>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</si>
  <si>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</si>
  <si>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</si>
  <si>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</si>
  <si>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</si>
  <si>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</si>
  <si>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</si>
  <si>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</si>
  <si>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</si>
  <si>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</si>
  <si>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</si>
  <si>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</si>
  <si>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</si>
  <si>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</si>
  <si>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</si>
  <si>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</si>
  <si>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</si>
  <si>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</si>
  <si>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</si>
  <si>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</si>
  <si>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</si>
  <si>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</si>
  <si>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</si>
  <si>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</si>
  <si>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</si>
  <si>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</si>
  <si>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</si>
  <si>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</si>
  <si>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</si>
  <si>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</si>
  <si>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</si>
  <si>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</si>
  <si>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</si>
  <si>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</si>
  <si>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</si>
  <si>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</si>
  <si>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</si>
  <si>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</si>
  <si>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</si>
  <si>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</si>
  <si>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</si>
  <si>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</si>
  <si>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</si>
  <si>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</si>
  <si>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</si>
  <si>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</si>
  <si>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</si>
  <si>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</si>
  <si>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</si>
  <si>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</si>
  <si>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</si>
  <si>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</si>
  <si>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</si>
  <si>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</si>
  <si>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</si>
  <si>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</si>
  <si>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</si>
  <si>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</si>
  <si>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</si>
  <si>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</si>
  <si>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</si>
  <si>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</si>
  <si>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</si>
  <si>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</si>
  <si>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</si>
  <si>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</si>
  <si>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</si>
  <si>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</si>
  <si>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</si>
  <si>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</si>
  <si>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</si>
  <si>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</si>
  <si>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</si>
  <si>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</si>
  <si>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</si>
  <si>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</si>
  <si>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</si>
  <si>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</si>
  <si>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</si>
  <si>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</si>
  <si>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</si>
  <si>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</si>
  <si>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</si>
  <si>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</si>
  <si>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</si>
  <si>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</si>
  <si>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</si>
  <si>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</si>
  <si>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</si>
  <si>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</si>
  <si>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</si>
  <si>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</si>
  <si>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</si>
  <si>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</si>
  <si>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</si>
  <si>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</si>
  <si>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</si>
  <si>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</si>
  <si>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</si>
  <si>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</si>
  <si>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</si>
  <si>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</si>
  <si>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</si>
  <si>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</si>
  <si>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</si>
  <si>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</si>
  <si>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</si>
  <si>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</si>
  <si>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</si>
  <si>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</si>
  <si>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</si>
  <si>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</si>
  <si>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</si>
  <si>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</si>
  <si>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</si>
  <si>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</si>
  <si>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</si>
  <si>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</si>
  <si>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</si>
  <si>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</si>
  <si>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</si>
  <si>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</si>
  <si>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</si>
  <si>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</si>
  <si>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</si>
  <si>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</si>
  <si>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</si>
  <si>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</si>
  <si>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</si>
  <si>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</si>
  <si>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</si>
  <si>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</si>
  <si>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</si>
  <si>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</si>
  <si>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</si>
  <si>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</si>
  <si>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</si>
  <si>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</si>
  <si>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</si>
  <si>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</si>
  <si>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</si>
  <si>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</si>
  <si>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</si>
  <si>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</si>
  <si>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</si>
  <si>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</si>
  <si>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</si>
  <si>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</si>
  <si>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</si>
  <si>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</si>
  <si>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</si>
  <si>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</si>
  <si>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</si>
  <si>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</si>
  <si>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</si>
  <si>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</si>
  <si>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</si>
  <si>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</si>
  <si>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</si>
  <si>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</si>
  <si>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</si>
  <si>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</si>
  <si>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</si>
  <si>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</si>
  <si>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</si>
  <si>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</si>
  <si>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</si>
  <si>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</si>
  <si>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</si>
  <si>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</si>
  <si>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</si>
  <si>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</si>
  <si>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</si>
  <si>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</si>
  <si>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</si>
  <si>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</si>
  <si>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</si>
  <si>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</si>
  <si>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</si>
  <si>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</si>
  <si>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</si>
  <si>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</si>
  <si>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</si>
  <si>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</si>
  <si>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</si>
  <si>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</si>
  <si>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</si>
  <si>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</si>
  <si>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</si>
  <si>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</si>
  <si>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</si>
  <si>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</si>
  <si>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</si>
  <si>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</si>
  <si>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</si>
  <si>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</si>
  <si>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</si>
  <si>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</si>
  <si>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</si>
  <si>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</si>
  <si>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</si>
  <si>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</si>
  <si>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</si>
  <si>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</si>
  <si>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</si>
  <si>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</si>
  <si>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</si>
  <si>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</si>
  <si>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</si>
  <si>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</si>
  <si>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</si>
  <si>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</si>
  <si>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</si>
  <si>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</si>
  <si>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</si>
  <si>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</si>
  <si>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</si>
  <si>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</si>
  <si>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</si>
  <si>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</si>
  <si>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</si>
  <si>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</si>
  <si>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</si>
  <si>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</si>
  <si>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</si>
  <si>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</si>
  <si>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</si>
  <si>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</si>
  <si>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</si>
  <si>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</si>
  <si>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</si>
  <si>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</si>
  <si>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</si>
  <si>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</si>
  <si>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</si>
  <si>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</si>
  <si>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</si>
  <si>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</si>
  <si>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</si>
  <si>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</si>
  <si>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</si>
  <si>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</si>
  <si>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</si>
  <si>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</si>
  <si>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</si>
  <si>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</si>
  <si>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</si>
  <si>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</si>
  <si>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</si>
  <si>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</si>
  <si>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</si>
  <si>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</si>
  <si>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</si>
  <si>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</si>
  <si>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</si>
  <si>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</si>
  <si>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</si>
  <si>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</si>
  <si>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</si>
  <si>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</si>
  <si>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</si>
  <si>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</si>
  <si>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</si>
  <si>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</si>
  <si>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</si>
  <si>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</si>
  <si>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</si>
  <si>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</si>
  <si>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</si>
  <si>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</si>
  <si>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</si>
  <si>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</si>
  <si>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</si>
  <si>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</si>
  <si>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</si>
  <si>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</si>
  <si>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</si>
  <si>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</si>
  <si>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</si>
  <si>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</si>
  <si>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</si>
  <si>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</si>
  <si>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</si>
  <si>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</si>
  <si>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</si>
  <si>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</si>
  <si>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</si>
  <si>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</si>
  <si>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</si>
  <si>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</si>
  <si>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</si>
  <si>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</si>
  <si>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</si>
  <si>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</si>
  <si>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</si>
  <si>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</si>
  <si>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</si>
  <si>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</si>
  <si>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</si>
  <si>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</si>
  <si>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</si>
  <si>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</si>
  <si>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</si>
  <si>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</si>
  <si>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</si>
  <si>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</si>
  <si>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</si>
  <si>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</si>
  <si>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</si>
  <si>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</si>
  <si>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</si>
  <si>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</si>
  <si>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</si>
  <si>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</si>
  <si>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</si>
  <si>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</si>
  <si>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</si>
  <si>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</si>
  <si>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</si>
  <si>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</si>
  <si>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</si>
  <si>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</si>
  <si>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</si>
  <si>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</si>
  <si>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</si>
  <si>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</si>
  <si>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</si>
  <si>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</si>
  <si>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</si>
  <si>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</si>
  <si>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</si>
  <si>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</si>
  <si>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</si>
  <si>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</si>
  <si>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</si>
  <si>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</si>
  <si>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</si>
  <si>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</si>
  <si>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</si>
  <si>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</si>
  <si>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</si>
  <si>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</si>
  <si>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</si>
  <si>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</si>
  <si>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</si>
  <si>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</si>
  <si>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</si>
  <si>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</si>
  <si>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</si>
  <si>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</si>
  <si>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</si>
  <si>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</si>
  <si>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</si>
  <si>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</si>
  <si>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</si>
  <si>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</si>
  <si>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</si>
  <si>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</si>
  <si>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</si>
  <si>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</si>
  <si>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</si>
  <si>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</si>
  <si>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</si>
  <si>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</si>
  <si>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</si>
  <si>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</si>
  <si>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</si>
  <si>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</si>
  <si>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</si>
  <si>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</si>
  <si>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</si>
  <si>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</si>
  <si>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</si>
  <si>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</si>
  <si>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</si>
  <si>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</si>
  <si>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</si>
  <si>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</si>
  <si>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</si>
  <si>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</si>
  <si>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</si>
  <si>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</si>
  <si>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</si>
  <si>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</si>
  <si>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</si>
  <si>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</si>
  <si>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</si>
  <si>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</si>
  <si>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</si>
  <si>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</si>
  <si>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</si>
  <si>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</si>
  <si>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</si>
  <si>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</si>
  <si>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</si>
  <si>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</si>
  <si>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</si>
  <si>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</si>
  <si>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</si>
  <si>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</si>
  <si>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</si>
  <si>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</si>
  <si>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</si>
  <si>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</si>
  <si>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</si>
  <si>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</si>
  <si>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</si>
  <si>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</si>
  <si>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</si>
  <si>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</si>
  <si>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</si>
  <si>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</si>
  <si>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</si>
  <si>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</si>
  <si>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</si>
  <si>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</si>
  <si>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</si>
  <si>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</si>
  <si>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</si>
  <si>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</si>
  <si>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</si>
  <si>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</si>
  <si>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</si>
  <si>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</si>
  <si>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</si>
  <si>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</si>
  <si>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</si>
  <si>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</si>
  <si>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</si>
  <si>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</si>
  <si>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</si>
  <si>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</si>
  <si>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</si>
  <si>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</si>
  <si>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</si>
  <si>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</si>
  <si>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</si>
  <si>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</si>
  <si>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</si>
  <si>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</si>
  <si>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</si>
  <si>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</si>
  <si>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</si>
  <si>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</si>
  <si>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</si>
  <si>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</si>
  <si>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</si>
  <si>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</si>
  <si>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</si>
  <si>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</si>
  <si>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</si>
  <si>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</si>
  <si>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</si>
  <si>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</si>
  <si>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</si>
  <si>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</si>
  <si>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</si>
  <si>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</si>
  <si>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</si>
  <si>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</si>
  <si>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</si>
  <si>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</si>
  <si>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</si>
  <si>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</si>
  <si>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</si>
  <si>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</si>
  <si>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</si>
  <si>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</si>
  <si>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</si>
  <si>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</si>
  <si>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</si>
  <si>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</si>
  <si>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</si>
  <si>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</si>
  <si>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</si>
  <si>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</si>
  <si>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</si>
  <si>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</si>
  <si>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</si>
  <si>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</si>
  <si>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</si>
  <si>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</si>
  <si>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SAINT FRANCIS CARE,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</si>
  <si>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</si>
  <si>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</si>
  <si>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</si>
  <si>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</si>
  <si>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</si>
  <si>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</si>
  <si>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</si>
  <si>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</si>
  <si>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</si>
  <si>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</si>
  <si>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</si>
  <si>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</si>
  <si>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</si>
  <si>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</si>
  <si>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</si>
  <si>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</si>
  <si>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</si>
  <si>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</si>
  <si>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</si>
  <si>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</si>
  <si>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</si>
  <si>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</si>
  <si>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</si>
  <si>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</si>
  <si>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</si>
  <si>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</si>
  <si>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</si>
  <si>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</si>
  <si>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</si>
  <si>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</si>
  <si>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</si>
  <si>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</si>
  <si>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</si>
  <si>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</si>
  <si>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</si>
  <si>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</si>
  <si>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</si>
  <si>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</si>
  <si>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</si>
  <si>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</si>
  <si>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</si>
  <si>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</si>
  <si>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</si>
  <si>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</si>
  <si>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</si>
  <si>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</si>
  <si>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</si>
  <si>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</si>
  <si>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</si>
  <si>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</si>
  <si>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</si>
  <si>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</si>
  <si>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</si>
  <si>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</si>
  <si>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</si>
  <si>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</si>
  <si>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</si>
  <si>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</si>
  <si>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</si>
  <si>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</si>
  <si>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</si>
  <si>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</si>
  <si>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</si>
  <si>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</si>
  <si>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</si>
  <si>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</si>
  <si>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</si>
  <si>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</si>
  <si>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</si>
  <si>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</si>
  <si>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</si>
  <si>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</si>
  <si>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</si>
  <si>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</si>
  <si>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</si>
  <si>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</si>
  <si>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</si>
  <si>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</si>
  <si>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</si>
  <si>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</si>
  <si>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</si>
  <si>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</si>
  <si>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</si>
  <si>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</si>
  <si>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</si>
  <si>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</si>
  <si>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</si>
  <si>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</si>
  <si>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</si>
  <si>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</si>
  <si>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</si>
  <si>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</si>
  <si>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</si>
  <si>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</si>
  <si>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</si>
  <si>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</si>
  <si>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</si>
  <si>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</si>
  <si>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</si>
  <si>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</si>
  <si>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</si>
  <si>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</si>
  <si>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</si>
  <si>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</si>
  <si>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</si>
  <si>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</si>
  <si>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</si>
  <si>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</si>
  <si>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</si>
  <si>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</si>
  <si>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</si>
  <si>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</si>
  <si>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</si>
  <si>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</si>
  <si>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</si>
  <si>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</si>
  <si>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</si>
  <si>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</si>
  <si>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</si>
  <si>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</si>
  <si>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Saint Francis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</si>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</sst>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73853000</v>
      </c>
      <c r="D13" s="22">
        <v>80260000</v>
      </c>
      <c r="E13" s="22">
        <f t="shared" ref="E13:E22" si="0">D13-C13</f>
        <v>6407000</v>
      </c>
      <c r="F13" s="23">
        <f t="shared" ref="F13:F22" si="1">IF(C13=0,0,E13/C13)</f>
        <v>8.675341556876498E-2</v>
      </c>
    </row>
    <row r="14" spans="1:8" ht="24" customHeight="1" x14ac:dyDescent="0.2">
      <c r="A14" s="20">
        <v>2</v>
      </c>
      <c r="B14" s="21" t="s">
        <v>17</v>
      </c>
      <c r="C14" s="22">
        <v>33203000</v>
      </c>
      <c r="D14" s="22">
        <v>30428000</v>
      </c>
      <c r="E14" s="22">
        <f t="shared" si="0"/>
        <v>-2775000</v>
      </c>
      <c r="F14" s="23">
        <f t="shared" si="1"/>
        <v>-8.3576785230250278E-2</v>
      </c>
    </row>
    <row r="15" spans="1:8" ht="24" customHeight="1" x14ac:dyDescent="0.2">
      <c r="A15" s="20">
        <v>3</v>
      </c>
      <c r="B15" s="21" t="s">
        <v>18</v>
      </c>
      <c r="C15" s="22">
        <v>60915000</v>
      </c>
      <c r="D15" s="22">
        <v>60969000</v>
      </c>
      <c r="E15" s="22">
        <f t="shared" si="0"/>
        <v>54000</v>
      </c>
      <c r="F15" s="23">
        <f t="shared" si="1"/>
        <v>8.8648116227530165E-4</v>
      </c>
    </row>
    <row r="16" spans="1:8" ht="24" customHeight="1" x14ac:dyDescent="0.2">
      <c r="A16" s="20">
        <v>4</v>
      </c>
      <c r="B16" s="21" t="s">
        <v>19</v>
      </c>
      <c r="C16" s="22">
        <v>5076000</v>
      </c>
      <c r="D16" s="22">
        <v>4883000</v>
      </c>
      <c r="E16" s="22">
        <f t="shared" si="0"/>
        <v>-193000</v>
      </c>
      <c r="F16" s="23">
        <f t="shared" si="1"/>
        <v>-3.8022064617809298E-2</v>
      </c>
    </row>
    <row r="17" spans="1:11" ht="24" customHeight="1" x14ac:dyDescent="0.2">
      <c r="A17" s="20">
        <v>5</v>
      </c>
      <c r="B17" s="21" t="s">
        <v>20</v>
      </c>
      <c r="C17" s="22">
        <v>-4222000</v>
      </c>
      <c r="D17" s="22">
        <v>-2789000</v>
      </c>
      <c r="E17" s="22">
        <f t="shared" si="0"/>
        <v>1433000</v>
      </c>
      <c r="F17" s="23">
        <f t="shared" si="1"/>
        <v>-0.33941260066319279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7080000</v>
      </c>
      <c r="D19" s="22">
        <v>7188000</v>
      </c>
      <c r="E19" s="22">
        <f t="shared" si="0"/>
        <v>108000</v>
      </c>
      <c r="F19" s="23">
        <f t="shared" si="1"/>
        <v>1.5254237288135594E-2</v>
      </c>
    </row>
    <row r="20" spans="1:11" ht="24" customHeight="1" x14ac:dyDescent="0.2">
      <c r="A20" s="20">
        <v>8</v>
      </c>
      <c r="B20" s="21" t="s">
        <v>23</v>
      </c>
      <c r="C20" s="22">
        <v>5605000</v>
      </c>
      <c r="D20" s="22">
        <v>5740000</v>
      </c>
      <c r="E20" s="22">
        <f t="shared" si="0"/>
        <v>135000</v>
      </c>
      <c r="F20" s="23">
        <f t="shared" si="1"/>
        <v>2.4085637823371989E-2</v>
      </c>
    </row>
    <row r="21" spans="1:11" ht="24" customHeight="1" x14ac:dyDescent="0.2">
      <c r="A21" s="20">
        <v>9</v>
      </c>
      <c r="B21" s="21" t="s">
        <v>24</v>
      </c>
      <c r="C21" s="22">
        <v>897000</v>
      </c>
      <c r="D21" s="22">
        <v>1245000</v>
      </c>
      <c r="E21" s="22">
        <f t="shared" si="0"/>
        <v>348000</v>
      </c>
      <c r="F21" s="23">
        <f t="shared" si="1"/>
        <v>0.38795986622073581</v>
      </c>
    </row>
    <row r="22" spans="1:11" ht="24" customHeight="1" x14ac:dyDescent="0.25">
      <c r="A22" s="24"/>
      <c r="B22" s="25" t="s">
        <v>25</v>
      </c>
      <c r="C22" s="26">
        <f>SUM(C13:C21)</f>
        <v>182407000</v>
      </c>
      <c r="D22" s="26">
        <f>SUM(D13:D21)</f>
        <v>187924000</v>
      </c>
      <c r="E22" s="26">
        <f t="shared" si="0"/>
        <v>5517000</v>
      </c>
      <c r="F22" s="27">
        <f t="shared" si="1"/>
        <v>3.0245549787014752E-2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48538000</v>
      </c>
      <c r="D25" s="22">
        <v>51164000</v>
      </c>
      <c r="E25" s="22">
        <f>D25-C25</f>
        <v>2626000</v>
      </c>
      <c r="F25" s="23">
        <f>IF(C25=0,0,E25/C25)</f>
        <v>5.4101940747455599E-2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19234000</v>
      </c>
      <c r="D26" s="22">
        <v>21396000</v>
      </c>
      <c r="E26" s="22">
        <f>D26-C26</f>
        <v>2162000</v>
      </c>
      <c r="F26" s="23">
        <f>IF(C26=0,0,E26/C26)</f>
        <v>0.11240511594052199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5203000</v>
      </c>
      <c r="D28" s="22">
        <v>4167000</v>
      </c>
      <c r="E28" s="22">
        <f>D28-C28</f>
        <v>-1036000</v>
      </c>
      <c r="F28" s="23">
        <f>IF(C28=0,0,E28/C28)</f>
        <v>-0.19911589467614838</v>
      </c>
    </row>
    <row r="29" spans="1:11" ht="24" customHeight="1" x14ac:dyDescent="0.25">
      <c r="A29" s="24"/>
      <c r="B29" s="25" t="s">
        <v>32</v>
      </c>
      <c r="C29" s="26">
        <f>SUM(C25:C28)</f>
        <v>72975000</v>
      </c>
      <c r="D29" s="26">
        <f>SUM(D25:D28)</f>
        <v>76727000</v>
      </c>
      <c r="E29" s="26">
        <f>D29-C29</f>
        <v>3752000</v>
      </c>
      <c r="F29" s="27">
        <f>IF(C29=0,0,E29/C29)</f>
        <v>5.1414868105515585E-2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12789000</v>
      </c>
      <c r="D31" s="22">
        <v>10952000</v>
      </c>
      <c r="E31" s="22">
        <f>D31-C31</f>
        <v>-1837000</v>
      </c>
      <c r="F31" s="23">
        <f>IF(C31=0,0,E31/C31)</f>
        <v>-0.14363906482133082</v>
      </c>
    </row>
    <row r="32" spans="1:11" ht="24" customHeight="1" x14ac:dyDescent="0.2">
      <c r="A32" s="20">
        <v>6</v>
      </c>
      <c r="B32" s="21" t="s">
        <v>34</v>
      </c>
      <c r="C32" s="22">
        <v>16939000</v>
      </c>
      <c r="D32" s="22">
        <v>16916000</v>
      </c>
      <c r="E32" s="22">
        <f>D32-C32</f>
        <v>-23000</v>
      </c>
      <c r="F32" s="23">
        <f>IF(C32=0,0,E32/C32)</f>
        <v>-1.3578133301847806E-3</v>
      </c>
    </row>
    <row r="33" spans="1:8" ht="24" customHeight="1" x14ac:dyDescent="0.2">
      <c r="A33" s="20">
        <v>7</v>
      </c>
      <c r="B33" s="21" t="s">
        <v>35</v>
      </c>
      <c r="C33" s="22">
        <v>2179000</v>
      </c>
      <c r="D33" s="22">
        <v>5143000</v>
      </c>
      <c r="E33" s="22">
        <f>D33-C33</f>
        <v>2964000</v>
      </c>
      <c r="F33" s="23">
        <f>IF(C33=0,0,E33/C33)</f>
        <v>1.3602569986232216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830736000</v>
      </c>
      <c r="D36" s="22">
        <v>769669000</v>
      </c>
      <c r="E36" s="22">
        <f>D36-C36</f>
        <v>-61067000</v>
      </c>
      <c r="F36" s="23">
        <f>IF(C36=0,0,E36/C36)</f>
        <v>-7.3509514454652258E-2</v>
      </c>
    </row>
    <row r="37" spans="1:8" ht="24" customHeight="1" x14ac:dyDescent="0.2">
      <c r="A37" s="20">
        <v>2</v>
      </c>
      <c r="B37" s="21" t="s">
        <v>39</v>
      </c>
      <c r="C37" s="22">
        <v>402898000</v>
      </c>
      <c r="D37" s="22">
        <v>356050000</v>
      </c>
      <c r="E37" s="22">
        <f>D37-C37</f>
        <v>-46848000</v>
      </c>
      <c r="F37" s="23">
        <f>IF(C37=0,0,E37/C37)</f>
        <v>-0.11627756901250441</v>
      </c>
    </row>
    <row r="38" spans="1:8" ht="24" customHeight="1" x14ac:dyDescent="0.25">
      <c r="A38" s="24"/>
      <c r="B38" s="25" t="s">
        <v>40</v>
      </c>
      <c r="C38" s="26">
        <f>C36-C37</f>
        <v>427838000</v>
      </c>
      <c r="D38" s="26">
        <f>D36-D37</f>
        <v>413619000</v>
      </c>
      <c r="E38" s="26">
        <f>D38-C38</f>
        <v>-14219000</v>
      </c>
      <c r="F38" s="27">
        <f>IF(C38=0,0,E38/C38)</f>
        <v>-3.3234542046288548E-2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15793000</v>
      </c>
      <c r="D40" s="22">
        <v>39905000</v>
      </c>
      <c r="E40" s="22">
        <f>D40-C40</f>
        <v>24112000</v>
      </c>
      <c r="F40" s="23">
        <f>IF(C40=0,0,E40/C40)</f>
        <v>1.5267523586399037</v>
      </c>
    </row>
    <row r="41" spans="1:8" ht="24" customHeight="1" x14ac:dyDescent="0.25">
      <c r="A41" s="24"/>
      <c r="B41" s="25" t="s">
        <v>42</v>
      </c>
      <c r="C41" s="26">
        <f>+C38+C40</f>
        <v>443631000</v>
      </c>
      <c r="D41" s="26">
        <f>+D38+D40</f>
        <v>453524000</v>
      </c>
      <c r="E41" s="26">
        <f>D41-C41</f>
        <v>9893000</v>
      </c>
      <c r="F41" s="27">
        <f>IF(C41=0,0,E41/C41)</f>
        <v>2.2300064693405106E-2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730920000</v>
      </c>
      <c r="D43" s="26">
        <f>D22+D29+D31+D32+D33+D41</f>
        <v>751186000</v>
      </c>
      <c r="E43" s="26">
        <f>D43-C43</f>
        <v>20266000</v>
      </c>
      <c r="F43" s="27">
        <f>IF(C43=0,0,E43/C43)</f>
        <v>2.7726700596508509E-2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32461000</v>
      </c>
      <c r="D49" s="22">
        <v>32109000</v>
      </c>
      <c r="E49" s="22">
        <f t="shared" ref="E49:E56" si="2">D49-C49</f>
        <v>-352000</v>
      </c>
      <c r="F49" s="23">
        <f t="shared" ref="F49:F56" si="3">IF(C49=0,0,E49/C49)</f>
        <v>-1.0843781768891902E-2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33033000</v>
      </c>
      <c r="D50" s="22">
        <v>32532000</v>
      </c>
      <c r="E50" s="22">
        <f t="shared" si="2"/>
        <v>-501000</v>
      </c>
      <c r="F50" s="23">
        <f t="shared" si="3"/>
        <v>-1.5166651530287893E-2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2602000</v>
      </c>
      <c r="D51" s="22">
        <v>12474000</v>
      </c>
      <c r="E51" s="22">
        <f t="shared" si="2"/>
        <v>9872000</v>
      </c>
      <c r="F51" s="23">
        <f t="shared" si="3"/>
        <v>3.7940046118370483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6950000</v>
      </c>
      <c r="D53" s="22">
        <v>8819000</v>
      </c>
      <c r="E53" s="22">
        <f t="shared" si="2"/>
        <v>1869000</v>
      </c>
      <c r="F53" s="23">
        <f t="shared" si="3"/>
        <v>0.2689208633093525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6559000</v>
      </c>
      <c r="D55" s="22">
        <v>6283000</v>
      </c>
      <c r="E55" s="22">
        <f t="shared" si="2"/>
        <v>-276000</v>
      </c>
      <c r="F55" s="23">
        <f t="shared" si="3"/>
        <v>-4.2079585302637598E-2</v>
      </c>
    </row>
    <row r="56" spans="1:6" ht="24" customHeight="1" x14ac:dyDescent="0.25">
      <c r="A56" s="24"/>
      <c r="B56" s="25" t="s">
        <v>54</v>
      </c>
      <c r="C56" s="26">
        <f>SUM(C49:C55)</f>
        <v>81605000</v>
      </c>
      <c r="D56" s="26">
        <f>SUM(D49:D55)</f>
        <v>92217000</v>
      </c>
      <c r="E56" s="26">
        <f t="shared" si="2"/>
        <v>10612000</v>
      </c>
      <c r="F56" s="27">
        <f t="shared" si="3"/>
        <v>0.13004105140616384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258965000</v>
      </c>
      <c r="D59" s="22">
        <v>258637000</v>
      </c>
      <c r="E59" s="22">
        <f>D59-C59</f>
        <v>-328000</v>
      </c>
      <c r="F59" s="23">
        <f>IF(C59=0,0,E59/C59)</f>
        <v>-1.2665804259262834E-3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258965000</v>
      </c>
      <c r="D61" s="26">
        <f>SUM(D59:D60)</f>
        <v>258637000</v>
      </c>
      <c r="E61" s="26">
        <f>D61-C61</f>
        <v>-328000</v>
      </c>
      <c r="F61" s="27">
        <f>IF(C61=0,0,E61/C61)</f>
        <v>-1.2665804259262834E-3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286980000</v>
      </c>
      <c r="D63" s="22">
        <v>191376000</v>
      </c>
      <c r="E63" s="22">
        <f>D63-C63</f>
        <v>-95604000</v>
      </c>
      <c r="F63" s="23">
        <f>IF(C63=0,0,E63/C63)</f>
        <v>-0.3331381977838177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545945000</v>
      </c>
      <c r="D65" s="26">
        <f>SUM(D61:D64)</f>
        <v>450013000</v>
      </c>
      <c r="E65" s="26">
        <f>D65-C65</f>
        <v>-95932000</v>
      </c>
      <c r="F65" s="27">
        <f>IF(C65=0,0,E65/C65)</f>
        <v>-0.17571733416369781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5944000</v>
      </c>
      <c r="D70" s="22">
        <v>127892000</v>
      </c>
      <c r="E70" s="22">
        <f>D70-C70</f>
        <v>121948000</v>
      </c>
      <c r="F70" s="23">
        <f>IF(C70=0,0,E70/C70)</f>
        <v>20.51615074024226</v>
      </c>
    </row>
    <row r="71" spans="1:6" ht="24" customHeight="1" x14ac:dyDescent="0.2">
      <c r="A71" s="20">
        <v>2</v>
      </c>
      <c r="B71" s="21" t="s">
        <v>65</v>
      </c>
      <c r="C71" s="22">
        <v>44602000</v>
      </c>
      <c r="D71" s="22">
        <v>25614000</v>
      </c>
      <c r="E71" s="22">
        <f>D71-C71</f>
        <v>-18988000</v>
      </c>
      <c r="F71" s="23">
        <f>IF(C71=0,0,E71/C71)</f>
        <v>-0.42572081969418413</v>
      </c>
    </row>
    <row r="72" spans="1:6" ht="24" customHeight="1" x14ac:dyDescent="0.2">
      <c r="A72" s="20">
        <v>3</v>
      </c>
      <c r="B72" s="21" t="s">
        <v>66</v>
      </c>
      <c r="C72" s="22">
        <v>52824000</v>
      </c>
      <c r="D72" s="22">
        <v>55450000</v>
      </c>
      <c r="E72" s="22">
        <f>D72-C72</f>
        <v>2626000</v>
      </c>
      <c r="F72" s="23">
        <f>IF(C72=0,0,E72/C72)</f>
        <v>4.971225200666364E-2</v>
      </c>
    </row>
    <row r="73" spans="1:6" ht="24" customHeight="1" x14ac:dyDescent="0.25">
      <c r="A73" s="20"/>
      <c r="B73" s="25" t="s">
        <v>67</v>
      </c>
      <c r="C73" s="26">
        <f>SUM(C70:C72)</f>
        <v>103370000</v>
      </c>
      <c r="D73" s="26">
        <f>SUM(D70:D72)</f>
        <v>208956000</v>
      </c>
      <c r="E73" s="26">
        <f>D73-C73</f>
        <v>105586000</v>
      </c>
      <c r="F73" s="27">
        <f>IF(C73=0,0,E73/C73)</f>
        <v>1.0214375544161749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730920000</v>
      </c>
      <c r="D75" s="26">
        <f>D56+D65+D67+D73</f>
        <v>751186000</v>
      </c>
      <c r="E75" s="26">
        <f>D75-C75</f>
        <v>20266000</v>
      </c>
      <c r="F75" s="27">
        <f>IF(C75=0,0,E75/C75)</f>
        <v>2.7726700596508509E-2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689606986</v>
      </c>
      <c r="D11" s="76">
        <v>734727000</v>
      </c>
      <c r="E11" s="76">
        <v>734852000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61535703</v>
      </c>
      <c r="D12" s="185">
        <v>55322000</v>
      </c>
      <c r="E12" s="185">
        <v>49283000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751142689</v>
      </c>
      <c r="D13" s="76">
        <f>+D11+D12</f>
        <v>790049000</v>
      </c>
      <c r="E13" s="76">
        <f>+E11+E12</f>
        <v>784135000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745805088</v>
      </c>
      <c r="D14" s="185">
        <v>774695000</v>
      </c>
      <c r="E14" s="185">
        <v>775909000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5337601</v>
      </c>
      <c r="D15" s="76">
        <f>+D13-D14</f>
        <v>15354000</v>
      </c>
      <c r="E15" s="76">
        <f>+E13-E14</f>
        <v>8226000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-12704310</v>
      </c>
      <c r="D16" s="185">
        <v>-10790000</v>
      </c>
      <c r="E16" s="185">
        <v>24517000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-7366709</v>
      </c>
      <c r="D17" s="76">
        <f>D15+D16</f>
        <v>4564000</v>
      </c>
      <c r="E17" s="76">
        <f>E15+E16</f>
        <v>32743000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7.2282280441981197E-3</v>
      </c>
      <c r="D20" s="189">
        <f>IF(+D27=0,0,+D24/+D27)</f>
        <v>1.9703333551489299E-2</v>
      </c>
      <c r="E20" s="189">
        <f>IF(+E27=0,0,+E24/+E27)</f>
        <v>1.0172484579275139E-2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-1.7204292682084444E-2</v>
      </c>
      <c r="D21" s="189">
        <f>IF(+D27=0,0,+D26/+D27)</f>
        <v>-1.3846487496454965E-2</v>
      </c>
      <c r="E21" s="189">
        <f>IF(+E27=0,0,+E26/+E27)</f>
        <v>3.0318356969376195E-2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-9.9760646378863251E-3</v>
      </c>
      <c r="D22" s="189">
        <f>IF(+D27=0,0,+D28/+D27)</f>
        <v>5.8568460550343336E-3</v>
      </c>
      <c r="E22" s="189">
        <f>IF(+E27=0,0,+E28/+E27)</f>
        <v>4.0490841548651332E-2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5337601</v>
      </c>
      <c r="D24" s="76">
        <f>+D15</f>
        <v>15354000</v>
      </c>
      <c r="E24" s="76">
        <f>+E15</f>
        <v>8226000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751142689</v>
      </c>
      <c r="D25" s="76">
        <f>+D13</f>
        <v>790049000</v>
      </c>
      <c r="E25" s="76">
        <f>+E13</f>
        <v>784135000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-12704310</v>
      </c>
      <c r="D26" s="76">
        <f>+D16</f>
        <v>-10790000</v>
      </c>
      <c r="E26" s="76">
        <f>+E16</f>
        <v>24517000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738438379</v>
      </c>
      <c r="D27" s="76">
        <f>SUM(D25:D26)</f>
        <v>779259000</v>
      </c>
      <c r="E27" s="76">
        <f>SUM(E25:E26)</f>
        <v>808652000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-7366709</v>
      </c>
      <c r="D28" s="76">
        <f>+D17</f>
        <v>4564000</v>
      </c>
      <c r="E28" s="76">
        <f>+E17</f>
        <v>32743000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96614000</v>
      </c>
      <c r="D31" s="76">
        <v>45665000</v>
      </c>
      <c r="E31" s="76">
        <v>178467000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184022801</v>
      </c>
      <c r="D32" s="76">
        <v>144158000</v>
      </c>
      <c r="E32" s="76">
        <v>260573000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-44666324</v>
      </c>
      <c r="D33" s="76">
        <f>+D32-C32</f>
        <v>-39864801</v>
      </c>
      <c r="E33" s="76">
        <f>+E32-D32</f>
        <v>116415000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0.80459999999999998</v>
      </c>
      <c r="D34" s="193">
        <f>IF(C32=0,0,+D33/C32)</f>
        <v>-0.21662968275328012</v>
      </c>
      <c r="E34" s="193">
        <f>IF(D32=0,0,+E33/D32)</f>
        <v>0.80755143661815509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2.4445041732284403</v>
      </c>
      <c r="D38" s="338">
        <f>IF(+D40=0,0,+D39/+D40)</f>
        <v>2.334109705307621</v>
      </c>
      <c r="E38" s="338">
        <f>IF(+E40=0,0,+E39/+E40)</f>
        <v>2.1886598303942093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229458019</v>
      </c>
      <c r="D39" s="341">
        <v>236506000</v>
      </c>
      <c r="E39" s="341">
        <v>246732000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93866896</v>
      </c>
      <c r="D40" s="341">
        <v>101326000</v>
      </c>
      <c r="E40" s="341">
        <v>112732000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65.601029176441912</v>
      </c>
      <c r="D42" s="343">
        <f>IF((D48/365)=0,0,+D45/(D48/365))</f>
        <v>70.736526102459052</v>
      </c>
      <c r="E42" s="343">
        <f>IF((E48/365)=0,0,+E45/(E48/365))</f>
        <v>73.184579856488853</v>
      </c>
    </row>
    <row r="43" spans="1:14" ht="24" customHeight="1" x14ac:dyDescent="0.2">
      <c r="A43" s="339">
        <v>5</v>
      </c>
      <c r="B43" s="344" t="s">
        <v>16</v>
      </c>
      <c r="C43" s="345">
        <v>114677927</v>
      </c>
      <c r="D43" s="345">
        <v>89328000</v>
      </c>
      <c r="E43" s="345">
        <v>97524000</v>
      </c>
    </row>
    <row r="44" spans="1:14" ht="24" customHeight="1" x14ac:dyDescent="0.2">
      <c r="A44" s="339">
        <v>6</v>
      </c>
      <c r="B44" s="346" t="s">
        <v>17</v>
      </c>
      <c r="C44" s="345">
        <v>13844098</v>
      </c>
      <c r="D44" s="345">
        <v>53728000</v>
      </c>
      <c r="E44" s="345">
        <v>50685000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128522025</v>
      </c>
      <c r="D45" s="341">
        <f>+D43+D44</f>
        <v>143056000</v>
      </c>
      <c r="E45" s="341">
        <f>+E43+E44</f>
        <v>148209000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745805088</v>
      </c>
      <c r="D46" s="341">
        <f>+D14</f>
        <v>774695000</v>
      </c>
      <c r="E46" s="341">
        <f>+E14</f>
        <v>775909000</v>
      </c>
    </row>
    <row r="47" spans="1:14" ht="24" customHeight="1" x14ac:dyDescent="0.2">
      <c r="A47" s="339">
        <v>9</v>
      </c>
      <c r="B47" s="340" t="s">
        <v>356</v>
      </c>
      <c r="C47" s="341">
        <v>30716625</v>
      </c>
      <c r="D47" s="341">
        <v>36527000</v>
      </c>
      <c r="E47" s="341">
        <v>36733000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715088463</v>
      </c>
      <c r="D48" s="341">
        <f>+D46-D47</f>
        <v>738168000</v>
      </c>
      <c r="E48" s="341">
        <f>+E46-E47</f>
        <v>739176000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33.289312566505814</v>
      </c>
      <c r="D50" s="350">
        <f>IF((D55/365)=0,0,+D54/(D55/365))</f>
        <v>33.214425221885136</v>
      </c>
      <c r="E50" s="350">
        <f>IF((E55/365)=0,0,+E54/(E55/365))</f>
        <v>29.245616804472192</v>
      </c>
    </row>
    <row r="51" spans="1:5" ht="24" customHeight="1" x14ac:dyDescent="0.2">
      <c r="A51" s="339">
        <v>12</v>
      </c>
      <c r="B51" s="344" t="s">
        <v>359</v>
      </c>
      <c r="C51" s="351">
        <v>68381575</v>
      </c>
      <c r="D51" s="351">
        <v>69853000</v>
      </c>
      <c r="E51" s="351">
        <v>72901000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5486938</v>
      </c>
      <c r="D53" s="341">
        <v>2994000</v>
      </c>
      <c r="E53" s="341">
        <v>14021000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62894637</v>
      </c>
      <c r="D54" s="352">
        <f>+D51+D52-D53</f>
        <v>66859000</v>
      </c>
      <c r="E54" s="352">
        <f>+E51+E52-E53</f>
        <v>58880000</v>
      </c>
    </row>
    <row r="55" spans="1:5" ht="24" customHeight="1" x14ac:dyDescent="0.2">
      <c r="A55" s="339">
        <v>16</v>
      </c>
      <c r="B55" s="340" t="s">
        <v>75</v>
      </c>
      <c r="C55" s="341">
        <f>+C11</f>
        <v>689606986</v>
      </c>
      <c r="D55" s="341">
        <f>+D11</f>
        <v>734727000</v>
      </c>
      <c r="E55" s="341">
        <f>+E11</f>
        <v>734852000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47.912137886078575</v>
      </c>
      <c r="D57" s="355">
        <f>IF((D61/365)=0,0,+D58/(D61/365))</f>
        <v>50.102402163193197</v>
      </c>
      <c r="E57" s="355">
        <f>IF((E61/365)=0,0,+E58/(E61/365))</f>
        <v>55.666282455058067</v>
      </c>
    </row>
    <row r="58" spans="1:5" ht="24" customHeight="1" x14ac:dyDescent="0.2">
      <c r="A58" s="339">
        <v>18</v>
      </c>
      <c r="B58" s="340" t="s">
        <v>54</v>
      </c>
      <c r="C58" s="353">
        <f>+C40</f>
        <v>93866896</v>
      </c>
      <c r="D58" s="353">
        <f>+D40</f>
        <v>101326000</v>
      </c>
      <c r="E58" s="353">
        <f>+E40</f>
        <v>112732000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745805088</v>
      </c>
      <c r="D59" s="353">
        <f t="shared" si="0"/>
        <v>774695000</v>
      </c>
      <c r="E59" s="353">
        <f t="shared" si="0"/>
        <v>775909000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30716625</v>
      </c>
      <c r="D60" s="356">
        <f t="shared" si="0"/>
        <v>36527000</v>
      </c>
      <c r="E60" s="356">
        <f t="shared" si="0"/>
        <v>36733000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715088463</v>
      </c>
      <c r="D61" s="353">
        <f>+D59-D60</f>
        <v>738168000</v>
      </c>
      <c r="E61" s="353">
        <f>+E59-E60</f>
        <v>739176000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21.856648906669729</v>
      </c>
      <c r="D65" s="357">
        <f>IF(D67=0,0,(D66/D67)*100)</f>
        <v>17.510309434878991</v>
      </c>
      <c r="E65" s="357">
        <f>IF(E67=0,0,(E66/E67)*100)</f>
        <v>30.456461798660289</v>
      </c>
    </row>
    <row r="66" spans="1:5" ht="24" customHeight="1" x14ac:dyDescent="0.2">
      <c r="A66" s="339">
        <v>2</v>
      </c>
      <c r="B66" s="340" t="s">
        <v>67</v>
      </c>
      <c r="C66" s="353">
        <f>+C32</f>
        <v>184022801</v>
      </c>
      <c r="D66" s="353">
        <f>+D32</f>
        <v>144158000</v>
      </c>
      <c r="E66" s="353">
        <f>+E32</f>
        <v>260573000</v>
      </c>
    </row>
    <row r="67" spans="1:5" ht="24" customHeight="1" x14ac:dyDescent="0.2">
      <c r="A67" s="339">
        <v>3</v>
      </c>
      <c r="B67" s="340" t="s">
        <v>43</v>
      </c>
      <c r="C67" s="353">
        <v>841953411</v>
      </c>
      <c r="D67" s="353">
        <v>823275000</v>
      </c>
      <c r="E67" s="353">
        <v>855559000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6.4884179128373427</v>
      </c>
      <c r="D69" s="357">
        <f>IF(D75=0,0,(D72/D75)*100)</f>
        <v>11.404947667302263</v>
      </c>
      <c r="E69" s="357">
        <f>IF(E75=0,0,(E72/E75)*100)</f>
        <v>18.708077410877053</v>
      </c>
    </row>
    <row r="70" spans="1:5" ht="24" customHeight="1" x14ac:dyDescent="0.2">
      <c r="A70" s="339">
        <v>5</v>
      </c>
      <c r="B70" s="340" t="s">
        <v>366</v>
      </c>
      <c r="C70" s="353">
        <f>+C28</f>
        <v>-7366709</v>
      </c>
      <c r="D70" s="353">
        <f>+D28</f>
        <v>4564000</v>
      </c>
      <c r="E70" s="353">
        <f>+E28</f>
        <v>32743000</v>
      </c>
    </row>
    <row r="71" spans="1:5" ht="24" customHeight="1" x14ac:dyDescent="0.2">
      <c r="A71" s="339">
        <v>6</v>
      </c>
      <c r="B71" s="340" t="s">
        <v>356</v>
      </c>
      <c r="C71" s="356">
        <f>+C47</f>
        <v>30716625</v>
      </c>
      <c r="D71" s="356">
        <f>+D47</f>
        <v>36527000</v>
      </c>
      <c r="E71" s="356">
        <f>+E47</f>
        <v>36733000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23349916</v>
      </c>
      <c r="D72" s="353">
        <f>+D70+D71</f>
        <v>41091000</v>
      </c>
      <c r="E72" s="353">
        <f>+E70+E71</f>
        <v>69476000</v>
      </c>
    </row>
    <row r="73" spans="1:5" ht="24" customHeight="1" x14ac:dyDescent="0.2">
      <c r="A73" s="339">
        <v>8</v>
      </c>
      <c r="B73" s="340" t="s">
        <v>54</v>
      </c>
      <c r="C73" s="341">
        <f>+C40</f>
        <v>93866896</v>
      </c>
      <c r="D73" s="341">
        <f>+D40</f>
        <v>101326000</v>
      </c>
      <c r="E73" s="341">
        <f>+E40</f>
        <v>112732000</v>
      </c>
    </row>
    <row r="74" spans="1:5" ht="24" customHeight="1" x14ac:dyDescent="0.2">
      <c r="A74" s="339">
        <v>9</v>
      </c>
      <c r="B74" s="340" t="s">
        <v>58</v>
      </c>
      <c r="C74" s="353">
        <v>266003820</v>
      </c>
      <c r="D74" s="353">
        <v>258965000</v>
      </c>
      <c r="E74" s="353">
        <v>258637000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359870716</v>
      </c>
      <c r="D75" s="341">
        <f>+D73+D74</f>
        <v>360291000</v>
      </c>
      <c r="E75" s="341">
        <f>+E73+E74</f>
        <v>371369000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59.108463274664814</v>
      </c>
      <c r="D77" s="359">
        <f>IF(D80=0,0,(D78/D80)*100)</f>
        <v>64.239698553543207</v>
      </c>
      <c r="E77" s="359">
        <f>IF(E80=0,0,(E78/E80)*100)</f>
        <v>49.813562912886887</v>
      </c>
    </row>
    <row r="78" spans="1:5" ht="24" customHeight="1" x14ac:dyDescent="0.2">
      <c r="A78" s="339">
        <v>12</v>
      </c>
      <c r="B78" s="340" t="s">
        <v>58</v>
      </c>
      <c r="C78" s="341">
        <f>+C74</f>
        <v>266003820</v>
      </c>
      <c r="D78" s="341">
        <f>+D74</f>
        <v>258965000</v>
      </c>
      <c r="E78" s="341">
        <f>+E74</f>
        <v>258637000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184022801</v>
      </c>
      <c r="D79" s="341">
        <f>+D32</f>
        <v>144158000</v>
      </c>
      <c r="E79" s="341">
        <f>+E32</f>
        <v>260573000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450026621</v>
      </c>
      <c r="D80" s="341">
        <f>+D78+D79</f>
        <v>403123000</v>
      </c>
      <c r="E80" s="341">
        <f>+E78+E79</f>
        <v>519210000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111716</v>
      </c>
      <c r="D11" s="376">
        <v>24318</v>
      </c>
      <c r="E11" s="376">
        <v>22571</v>
      </c>
      <c r="F11" s="377">
        <v>394</v>
      </c>
      <c r="G11" s="377">
        <v>394</v>
      </c>
      <c r="H11" s="378">
        <f>IF(F11=0,0,$C11/(F11*365))</f>
        <v>0.77683054029622423</v>
      </c>
      <c r="I11" s="378">
        <f>IF(G11=0,0,$C11/(G11*365))</f>
        <v>0.77683054029622423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11077</v>
      </c>
      <c r="D13" s="376">
        <v>341</v>
      </c>
      <c r="E13" s="376">
        <v>0</v>
      </c>
      <c r="F13" s="377">
        <v>42</v>
      </c>
      <c r="G13" s="377">
        <v>42</v>
      </c>
      <c r="H13" s="378">
        <f>IF(F13=0,0,$C13/(F13*365))</f>
        <v>0.72257012393998699</v>
      </c>
      <c r="I13" s="378">
        <f>IF(G13=0,0,$C13/(G13*365))</f>
        <v>0.72257012393998699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4575</v>
      </c>
      <c r="D15" s="376">
        <v>427</v>
      </c>
      <c r="E15" s="376">
        <v>426</v>
      </c>
      <c r="F15" s="377">
        <v>20</v>
      </c>
      <c r="G15" s="377">
        <v>20</v>
      </c>
      <c r="H15" s="378">
        <f t="shared" ref="H15:I17" si="0">IF(F15=0,0,$C15/(F15*365))</f>
        <v>0.62671232876712324</v>
      </c>
      <c r="I15" s="378">
        <f t="shared" si="0"/>
        <v>0.62671232876712324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10424</v>
      </c>
      <c r="D16" s="376">
        <v>1637</v>
      </c>
      <c r="E16" s="376">
        <v>1625</v>
      </c>
      <c r="F16" s="377">
        <v>55</v>
      </c>
      <c r="G16" s="377">
        <v>55</v>
      </c>
      <c r="H16" s="378">
        <f t="shared" si="0"/>
        <v>0.51925280199252799</v>
      </c>
      <c r="I16" s="378">
        <f t="shared" si="0"/>
        <v>0.51925280199252799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14999</v>
      </c>
      <c r="D17" s="381">
        <f>SUM(D15:D16)</f>
        <v>2064</v>
      </c>
      <c r="E17" s="381">
        <f>SUM(E15:E16)</f>
        <v>2051</v>
      </c>
      <c r="F17" s="381">
        <f>SUM(F15:F16)</f>
        <v>75</v>
      </c>
      <c r="G17" s="381">
        <f>SUM(G15:G16)</f>
        <v>75</v>
      </c>
      <c r="H17" s="382">
        <f t="shared" si="0"/>
        <v>0.54790867579908675</v>
      </c>
      <c r="I17" s="382">
        <f t="shared" si="0"/>
        <v>0.54790867579908675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9478</v>
      </c>
      <c r="D21" s="376">
        <v>3035</v>
      </c>
      <c r="E21" s="376">
        <v>3042</v>
      </c>
      <c r="F21" s="377">
        <v>30</v>
      </c>
      <c r="G21" s="377">
        <v>30</v>
      </c>
      <c r="H21" s="378">
        <f>IF(F21=0,0,$C21/(F21*365))</f>
        <v>0.86557077625570777</v>
      </c>
      <c r="I21" s="378">
        <f>IF(G21=0,0,$C21/(G21*365))</f>
        <v>0.86557077625570777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6479</v>
      </c>
      <c r="D23" s="376">
        <v>2681</v>
      </c>
      <c r="E23" s="376">
        <v>2623</v>
      </c>
      <c r="F23" s="377">
        <v>26</v>
      </c>
      <c r="G23" s="377">
        <v>26</v>
      </c>
      <c r="H23" s="378">
        <f>IF(F23=0,0,$C23/(F23*365))</f>
        <v>0.68271865121180186</v>
      </c>
      <c r="I23" s="378">
        <f>IF(G23=0,0,$C23/(G23*365))</f>
        <v>0.68271865121180186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5626</v>
      </c>
      <c r="D25" s="376">
        <v>268</v>
      </c>
      <c r="E25" s="376">
        <v>0</v>
      </c>
      <c r="F25" s="377">
        <v>28</v>
      </c>
      <c r="G25" s="377">
        <v>28</v>
      </c>
      <c r="H25" s="378">
        <f>IF(F25=0,0,$C25/(F25*365))</f>
        <v>0.55048923679060668</v>
      </c>
      <c r="I25" s="378">
        <f>IF(G25=0,0,$C25/(G25*365))</f>
        <v>0.55048923679060668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152896</v>
      </c>
      <c r="D31" s="384">
        <f>SUM(D10:D29)-D13-D17-D23</f>
        <v>29685</v>
      </c>
      <c r="E31" s="384">
        <f>SUM(E10:E29)-E17-E23</f>
        <v>27664</v>
      </c>
      <c r="F31" s="384">
        <f>SUM(F10:F29)-F17-F23</f>
        <v>569</v>
      </c>
      <c r="G31" s="384">
        <f>SUM(G10:G29)-G17-G23</f>
        <v>569</v>
      </c>
      <c r="H31" s="385">
        <f>IF(F31=0,0,$C31/(F31*365))</f>
        <v>0.73619182897176016</v>
      </c>
      <c r="I31" s="385">
        <f>IF(G31=0,0,$C31/(G31*365))</f>
        <v>0.73619182897176016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159375</v>
      </c>
      <c r="D33" s="384">
        <f>SUM(D10:D29)-D13-D17</f>
        <v>32366</v>
      </c>
      <c r="E33" s="384">
        <f>SUM(E10:E29)-E17</f>
        <v>30287</v>
      </c>
      <c r="F33" s="384">
        <f>SUM(F10:F29)-F17</f>
        <v>595</v>
      </c>
      <c r="G33" s="384">
        <f>SUM(G10:G29)-G17</f>
        <v>595</v>
      </c>
      <c r="H33" s="385">
        <f>IF(F33=0,0,$C33/(F33*365))</f>
        <v>0.73385518590998045</v>
      </c>
      <c r="I33" s="385">
        <f>IF(G33=0,0,$C33/(G33*365))</f>
        <v>0.73385518590998045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159375</v>
      </c>
      <c r="D36" s="384">
        <f t="shared" si="1"/>
        <v>32366</v>
      </c>
      <c r="E36" s="384">
        <f t="shared" si="1"/>
        <v>30287</v>
      </c>
      <c r="F36" s="384">
        <f t="shared" si="1"/>
        <v>595</v>
      </c>
      <c r="G36" s="384">
        <f t="shared" si="1"/>
        <v>595</v>
      </c>
      <c r="H36" s="387">
        <f t="shared" si="1"/>
        <v>0.73385518590998045</v>
      </c>
      <c r="I36" s="387">
        <f t="shared" si="1"/>
        <v>0.73385518590998045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157534</v>
      </c>
      <c r="D37" s="384">
        <v>32111</v>
      </c>
      <c r="E37" s="384">
        <v>30007</v>
      </c>
      <c r="F37" s="386">
        <v>595</v>
      </c>
      <c r="G37" s="386">
        <v>595</v>
      </c>
      <c r="H37" s="385">
        <f>IF(F37=0,0,$C37/(F37*365))</f>
        <v>0.7253781512605042</v>
      </c>
      <c r="I37" s="385">
        <f>IF(G37=0,0,$C37/(G37*365))</f>
        <v>0.7253781512605042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1841</v>
      </c>
      <c r="D38" s="384">
        <f t="shared" si="2"/>
        <v>255</v>
      </c>
      <c r="E38" s="384">
        <f t="shared" si="2"/>
        <v>280</v>
      </c>
      <c r="F38" s="384">
        <f t="shared" si="2"/>
        <v>0</v>
      </c>
      <c r="G38" s="384">
        <f t="shared" si="2"/>
        <v>0</v>
      </c>
      <c r="H38" s="387">
        <f t="shared" si="2"/>
        <v>8.477034649476245E-3</v>
      </c>
      <c r="I38" s="387">
        <f t="shared" si="2"/>
        <v>8.477034649476245E-3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1.1686366117790446E-2</v>
      </c>
      <c r="D40" s="389">
        <f t="shared" si="3"/>
        <v>7.9412039488025912E-3</v>
      </c>
      <c r="E40" s="389">
        <f t="shared" si="3"/>
        <v>9.3311560635851633E-3</v>
      </c>
      <c r="F40" s="389">
        <f t="shared" si="3"/>
        <v>0</v>
      </c>
      <c r="G40" s="389">
        <f t="shared" si="3"/>
        <v>0</v>
      </c>
      <c r="H40" s="389">
        <f t="shared" si="3"/>
        <v>1.1686366117790467E-2</v>
      </c>
      <c r="I40" s="389">
        <f t="shared" si="3"/>
        <v>1.1686366117790467E-2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682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17631</v>
      </c>
      <c r="D12" s="409">
        <v>18641</v>
      </c>
      <c r="E12" s="409">
        <f>+D12-C12</f>
        <v>1010</v>
      </c>
      <c r="F12" s="410">
        <f>IF(C12=0,0,+E12/C12)</f>
        <v>5.7285463104758662E-2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9952</v>
      </c>
      <c r="D13" s="409">
        <v>9804</v>
      </c>
      <c r="E13" s="409">
        <f>+D13-C13</f>
        <v>-148</v>
      </c>
      <c r="F13" s="410">
        <f>IF(C13=0,0,+E13/C13)</f>
        <v>-1.4871382636655949E-2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13006</v>
      </c>
      <c r="D14" s="409">
        <v>12946</v>
      </c>
      <c r="E14" s="409">
        <f>+D14-C14</f>
        <v>-60</v>
      </c>
      <c r="F14" s="410">
        <f>IF(C14=0,0,+E14/C14)</f>
        <v>-4.6132554205751191E-3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40589</v>
      </c>
      <c r="D16" s="401">
        <f>SUM(D12:D15)</f>
        <v>41391</v>
      </c>
      <c r="E16" s="401">
        <f>+D16-C16</f>
        <v>802</v>
      </c>
      <c r="F16" s="402">
        <f>IF(C16=0,0,+E16/C16)</f>
        <v>1.9759048017935894E-2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4475</v>
      </c>
      <c r="D19" s="409">
        <v>4892</v>
      </c>
      <c r="E19" s="409">
        <f>+D19-C19</f>
        <v>417</v>
      </c>
      <c r="F19" s="410">
        <f>IF(C19=0,0,+E19/C19)</f>
        <v>9.3184357541899437E-2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9825</v>
      </c>
      <c r="D20" s="409">
        <v>8877</v>
      </c>
      <c r="E20" s="409">
        <f>+D20-C20</f>
        <v>-948</v>
      </c>
      <c r="F20" s="410">
        <f>IF(C20=0,0,+E20/C20)</f>
        <v>-9.648854961832061E-2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512</v>
      </c>
      <c r="D21" s="409">
        <v>594</v>
      </c>
      <c r="E21" s="409">
        <f>+D21-C21</f>
        <v>82</v>
      </c>
      <c r="F21" s="410">
        <f>IF(C21=0,0,+E21/C21)</f>
        <v>0.16015625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14812</v>
      </c>
      <c r="D23" s="401">
        <f>SUM(D19:D22)</f>
        <v>14363</v>
      </c>
      <c r="E23" s="401">
        <f>+D23-C23</f>
        <v>-449</v>
      </c>
      <c r="F23" s="402">
        <f>IF(C23=0,0,+E23/C23)</f>
        <v>-3.0313259519308668E-2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17</v>
      </c>
      <c r="D33" s="409">
        <v>28</v>
      </c>
      <c r="E33" s="409">
        <f>+D33-C33</f>
        <v>11</v>
      </c>
      <c r="F33" s="410">
        <f>IF(C33=0,0,+E33/C33)</f>
        <v>0.6470588235294118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1204</v>
      </c>
      <c r="D34" s="409">
        <v>1280</v>
      </c>
      <c r="E34" s="409">
        <f>+D34-C34</f>
        <v>76</v>
      </c>
      <c r="F34" s="410">
        <f>IF(C34=0,0,+E34/C34)</f>
        <v>6.3122923588039864E-2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1221</v>
      </c>
      <c r="D37" s="401">
        <f>SUM(D33:D36)</f>
        <v>1308</v>
      </c>
      <c r="E37" s="401">
        <f>+D37-C37</f>
        <v>87</v>
      </c>
      <c r="F37" s="402">
        <f>IF(C37=0,0,+E37/C37)</f>
        <v>7.125307125307126E-2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884</v>
      </c>
      <c r="D43" s="409">
        <v>788</v>
      </c>
      <c r="E43" s="409">
        <f>+D43-C43</f>
        <v>-96</v>
      </c>
      <c r="F43" s="410">
        <f>IF(C43=0,0,+E43/C43)</f>
        <v>-0.10859728506787331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16304</v>
      </c>
      <c r="D44" s="409">
        <v>16630</v>
      </c>
      <c r="E44" s="409">
        <f>+D44-C44</f>
        <v>326</v>
      </c>
      <c r="F44" s="410">
        <f>IF(C44=0,0,+E44/C44)</f>
        <v>1.9995093228655544E-2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17188</v>
      </c>
      <c r="D45" s="401">
        <f>SUM(D43:D44)</f>
        <v>17418</v>
      </c>
      <c r="E45" s="401">
        <f>+D45-C45</f>
        <v>230</v>
      </c>
      <c r="F45" s="402">
        <f>IF(C45=0,0,+E45/C45)</f>
        <v>1.3381428903886432E-2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1615</v>
      </c>
      <c r="D48" s="409">
        <v>1363</v>
      </c>
      <c r="E48" s="409">
        <f>+D48-C48</f>
        <v>-252</v>
      </c>
      <c r="F48" s="410">
        <f>IF(C48=0,0,+E48/C48)</f>
        <v>-0.15603715170278637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1481</v>
      </c>
      <c r="D49" s="409">
        <v>1514</v>
      </c>
      <c r="E49" s="409">
        <f>+D49-C49</f>
        <v>33</v>
      </c>
      <c r="F49" s="410">
        <f>IF(C49=0,0,+E49/C49)</f>
        <v>2.2282241728561782E-2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3096</v>
      </c>
      <c r="D50" s="401">
        <f>SUM(D48:D49)</f>
        <v>2877</v>
      </c>
      <c r="E50" s="401">
        <f>+D50-C50</f>
        <v>-219</v>
      </c>
      <c r="F50" s="402">
        <f>IF(C50=0,0,+E50/C50)</f>
        <v>-7.0736434108527133E-2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413</v>
      </c>
      <c r="D53" s="409">
        <v>398</v>
      </c>
      <c r="E53" s="409">
        <f>+D53-C53</f>
        <v>-15</v>
      </c>
      <c r="F53" s="410">
        <f>IF(C53=0,0,+E53/C53)</f>
        <v>-3.6319612590799029E-2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541</v>
      </c>
      <c r="D54" s="409">
        <v>544</v>
      </c>
      <c r="E54" s="409">
        <f>+D54-C54</f>
        <v>3</v>
      </c>
      <c r="F54" s="410">
        <f>IF(C54=0,0,+E54/C54)</f>
        <v>5.5452865064695009E-3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954</v>
      </c>
      <c r="D55" s="401">
        <f>SUM(D53:D54)</f>
        <v>942</v>
      </c>
      <c r="E55" s="401">
        <f>+D55-C55</f>
        <v>-12</v>
      </c>
      <c r="F55" s="402">
        <f>IF(C55=0,0,+E55/C55)</f>
        <v>-1.2578616352201259E-2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398</v>
      </c>
      <c r="D58" s="409">
        <v>345</v>
      </c>
      <c r="E58" s="409">
        <f>+D58-C58</f>
        <v>-53</v>
      </c>
      <c r="F58" s="410">
        <f>IF(C58=0,0,+E58/C58)</f>
        <v>-0.13316582914572864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440</v>
      </c>
      <c r="D59" s="409">
        <v>455</v>
      </c>
      <c r="E59" s="409">
        <f>+D59-C59</f>
        <v>15</v>
      </c>
      <c r="F59" s="410">
        <f>IF(C59=0,0,+E59/C59)</f>
        <v>3.4090909090909088E-2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838</v>
      </c>
      <c r="D60" s="401">
        <f>SUM(D58:D59)</f>
        <v>800</v>
      </c>
      <c r="E60" s="401">
        <f>SUM(E58:E59)</f>
        <v>-38</v>
      </c>
      <c r="F60" s="402">
        <f>IF(C60=0,0,+E60/C60)</f>
        <v>-4.5346062052505964E-2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9833</v>
      </c>
      <c r="D63" s="409">
        <v>10447</v>
      </c>
      <c r="E63" s="409">
        <f>+D63-C63</f>
        <v>614</v>
      </c>
      <c r="F63" s="410">
        <f>IF(C63=0,0,+E63/C63)</f>
        <v>6.2442794671005795E-2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18665</v>
      </c>
      <c r="D64" s="409">
        <v>17663</v>
      </c>
      <c r="E64" s="409">
        <f>+D64-C64</f>
        <v>-1002</v>
      </c>
      <c r="F64" s="410">
        <f>IF(C64=0,0,+E64/C64)</f>
        <v>-5.3683364586123758E-2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28498</v>
      </c>
      <c r="D65" s="401">
        <f>SUM(D63:D64)</f>
        <v>28110</v>
      </c>
      <c r="E65" s="401">
        <f>+D65-C65</f>
        <v>-388</v>
      </c>
      <c r="F65" s="402">
        <f>IF(C65=0,0,+E65/C65)</f>
        <v>-1.3614990525650923E-2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1542</v>
      </c>
      <c r="D68" s="409">
        <v>1630</v>
      </c>
      <c r="E68" s="409">
        <f>+D68-C68</f>
        <v>88</v>
      </c>
      <c r="F68" s="410">
        <f>IF(C68=0,0,+E68/C68)</f>
        <v>5.7068741893644616E-2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7528</v>
      </c>
      <c r="D69" s="409">
        <v>6841</v>
      </c>
      <c r="E69" s="409">
        <f>+D69-C69</f>
        <v>-687</v>
      </c>
      <c r="F69" s="412">
        <f>IF(C69=0,0,+E69/C69)</f>
        <v>-9.1259298618490969E-2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9070</v>
      </c>
      <c r="D70" s="401">
        <f>SUM(D68:D69)</f>
        <v>8471</v>
      </c>
      <c r="E70" s="401">
        <f>+D70-C70</f>
        <v>-599</v>
      </c>
      <c r="F70" s="402">
        <f>IF(C70=0,0,+E70/C70)</f>
        <v>-6.6041896361631755E-2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16654</v>
      </c>
      <c r="D73" s="376">
        <v>17868</v>
      </c>
      <c r="E73" s="409">
        <f>+D73-C73</f>
        <v>1214</v>
      </c>
      <c r="F73" s="410">
        <f>IF(C73=0,0,+E73/C73)</f>
        <v>7.2895400504383326E-2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62547</v>
      </c>
      <c r="D74" s="376">
        <v>63204</v>
      </c>
      <c r="E74" s="409">
        <f>+D74-C74</f>
        <v>657</v>
      </c>
      <c r="F74" s="410">
        <f>IF(C74=0,0,+E74/C74)</f>
        <v>1.0504100916111085E-2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79201</v>
      </c>
      <c r="D75" s="401">
        <f>SUM(D73:D74)</f>
        <v>81072</v>
      </c>
      <c r="E75" s="401">
        <f>SUM(E73:E74)</f>
        <v>1871</v>
      </c>
      <c r="F75" s="402">
        <f>IF(C75=0,0,+E75/C75)</f>
        <v>2.3623439097991188E-2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20390</v>
      </c>
      <c r="D82" s="376">
        <v>0</v>
      </c>
      <c r="E82" s="409">
        <f t="shared" si="0"/>
        <v>-20390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17434</v>
      </c>
      <c r="E83" s="409">
        <f t="shared" si="0"/>
        <v>17434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20895</v>
      </c>
      <c r="E85" s="409">
        <f t="shared" si="0"/>
        <v>20895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42</v>
      </c>
      <c r="E86" s="409">
        <f t="shared" si="0"/>
        <v>42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43663</v>
      </c>
      <c r="D87" s="376">
        <v>0</v>
      </c>
      <c r="E87" s="409">
        <f t="shared" si="0"/>
        <v>-43663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977</v>
      </c>
      <c r="E88" s="409">
        <f t="shared" si="0"/>
        <v>977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2130</v>
      </c>
      <c r="E89" s="409">
        <f t="shared" si="0"/>
        <v>2130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3</v>
      </c>
      <c r="E90" s="409">
        <f t="shared" si="0"/>
        <v>3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16806</v>
      </c>
      <c r="E91" s="409">
        <f t="shared" si="0"/>
        <v>16806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64053</v>
      </c>
      <c r="D92" s="381">
        <f>SUM(D79:D91)</f>
        <v>58287</v>
      </c>
      <c r="E92" s="401">
        <f t="shared" si="0"/>
        <v>-5766</v>
      </c>
      <c r="F92" s="402">
        <f t="shared" si="1"/>
        <v>-9.0019202847641797E-2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946</v>
      </c>
      <c r="D95" s="414">
        <v>837</v>
      </c>
      <c r="E95" s="415">
        <f t="shared" ref="E95:E100" si="2">+D95-C95</f>
        <v>-109</v>
      </c>
      <c r="F95" s="412">
        <f t="shared" ref="F95:F100" si="3">IF(C95=0,0,+E95/C95)</f>
        <v>-0.11522198731501057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562</v>
      </c>
      <c r="D96" s="414">
        <v>548</v>
      </c>
      <c r="E96" s="409">
        <f t="shared" si="2"/>
        <v>-14</v>
      </c>
      <c r="F96" s="410">
        <f t="shared" si="3"/>
        <v>-2.491103202846975E-2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3621</v>
      </c>
      <c r="D97" s="414">
        <v>3779</v>
      </c>
      <c r="E97" s="409">
        <f t="shared" si="2"/>
        <v>158</v>
      </c>
      <c r="F97" s="410">
        <f t="shared" si="3"/>
        <v>4.3634355150510909E-2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1542</v>
      </c>
      <c r="D98" s="414">
        <v>1496</v>
      </c>
      <c r="E98" s="409">
        <f t="shared" si="2"/>
        <v>-46</v>
      </c>
      <c r="F98" s="410">
        <f t="shared" si="3"/>
        <v>-2.9831387808041506E-2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153035</v>
      </c>
      <c r="D99" s="414">
        <v>157070</v>
      </c>
      <c r="E99" s="409">
        <f t="shared" si="2"/>
        <v>4035</v>
      </c>
      <c r="F99" s="410">
        <f t="shared" si="3"/>
        <v>2.6366517463325384E-2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159706</v>
      </c>
      <c r="D100" s="381">
        <f>SUM(D95:D99)</f>
        <v>163730</v>
      </c>
      <c r="E100" s="401">
        <f t="shared" si="2"/>
        <v>4024</v>
      </c>
      <c r="F100" s="402">
        <f t="shared" si="3"/>
        <v>2.5196298197938713E-2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1330.2</v>
      </c>
      <c r="D104" s="416">
        <v>1396</v>
      </c>
      <c r="E104" s="417">
        <f>+D104-C104</f>
        <v>65.799999999999955</v>
      </c>
      <c r="F104" s="410">
        <f>IF(C104=0,0,+E104/C104)</f>
        <v>4.9466245677341716E-2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38.5</v>
      </c>
      <c r="D105" s="416">
        <v>40.5</v>
      </c>
      <c r="E105" s="417">
        <f>+D105-C105</f>
        <v>2</v>
      </c>
      <c r="F105" s="410">
        <f>IF(C105=0,0,+E105/C105)</f>
        <v>5.1948051948051951E-2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2325.8000000000002</v>
      </c>
      <c r="D106" s="416">
        <v>2380.1</v>
      </c>
      <c r="E106" s="417">
        <f>+D106-C106</f>
        <v>54.299999999999727</v>
      </c>
      <c r="F106" s="410">
        <f>IF(C106=0,0,+E106/C106)</f>
        <v>2.3346805400292252E-2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3694.5</v>
      </c>
      <c r="D107" s="418">
        <f>SUM(D104:D106)</f>
        <v>3816.6</v>
      </c>
      <c r="E107" s="418">
        <f>+D107-C107</f>
        <v>122.09999999999991</v>
      </c>
      <c r="F107" s="402">
        <f>IF(C107=0,0,+E107/C107)</f>
        <v>3.304912708079575E-2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18665</v>
      </c>
      <c r="D12" s="409">
        <v>17663</v>
      </c>
      <c r="E12" s="409">
        <f>+D12-C12</f>
        <v>-1002</v>
      </c>
      <c r="F12" s="410">
        <f>IF(C12=0,0,+E12/C12)</f>
        <v>-5.3683364586123758E-2</v>
      </c>
    </row>
    <row r="13" spans="1:6" ht="15.75" customHeight="1" x14ac:dyDescent="0.25">
      <c r="A13" s="374"/>
      <c r="B13" s="399" t="s">
        <v>622</v>
      </c>
      <c r="C13" s="401">
        <f>SUM(C11:C12)</f>
        <v>18665</v>
      </c>
      <c r="D13" s="401">
        <f>SUM(D11:D12)</f>
        <v>17663</v>
      </c>
      <c r="E13" s="401">
        <f>+D13-C13</f>
        <v>-1002</v>
      </c>
      <c r="F13" s="402">
        <f>IF(C13=0,0,+E13/C13)</f>
        <v>-5.3683364586123758E-2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7528</v>
      </c>
      <c r="D16" s="409">
        <v>6841</v>
      </c>
      <c r="E16" s="409">
        <f>+D16-C16</f>
        <v>-687</v>
      </c>
      <c r="F16" s="410">
        <f>IF(C16=0,0,+E16/C16)</f>
        <v>-9.1259298618490969E-2</v>
      </c>
    </row>
    <row r="17" spans="1:6" ht="15.75" customHeight="1" x14ac:dyDescent="0.25">
      <c r="A17" s="374"/>
      <c r="B17" s="399" t="s">
        <v>623</v>
      </c>
      <c r="C17" s="401">
        <f>SUM(C15:C16)</f>
        <v>7528</v>
      </c>
      <c r="D17" s="401">
        <f>SUM(D15:D16)</f>
        <v>6841</v>
      </c>
      <c r="E17" s="401">
        <f>+D17-C17</f>
        <v>-687</v>
      </c>
      <c r="F17" s="402">
        <f>IF(C17=0,0,+E17/C17)</f>
        <v>-9.1259298618490969E-2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62547</v>
      </c>
      <c r="D20" s="409">
        <v>63204</v>
      </c>
      <c r="E20" s="409">
        <f>+D20-C20</f>
        <v>657</v>
      </c>
      <c r="F20" s="410">
        <f>IF(C20=0,0,+E20/C20)</f>
        <v>1.0504100916111085E-2</v>
      </c>
    </row>
    <row r="21" spans="1:6" ht="15.75" customHeight="1" x14ac:dyDescent="0.25">
      <c r="A21" s="374"/>
      <c r="B21" s="399" t="s">
        <v>625</v>
      </c>
      <c r="C21" s="401">
        <f>SUM(C19:C20)</f>
        <v>62547</v>
      </c>
      <c r="D21" s="401">
        <f>SUM(D19:D20)</f>
        <v>63204</v>
      </c>
      <c r="E21" s="401">
        <f>+D21-C21</f>
        <v>657</v>
      </c>
      <c r="F21" s="402">
        <f>IF(C21=0,0,+E21/C21)</f>
        <v>1.0504100916111085E-2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520277093</v>
      </c>
      <c r="D15" s="448">
        <v>580447200</v>
      </c>
      <c r="E15" s="448">
        <f t="shared" ref="E15:E24" si="0">D15-C15</f>
        <v>60170107</v>
      </c>
      <c r="F15" s="449">
        <f t="shared" ref="F15:F24" si="1">IF(C15=0,0,E15/C15)</f>
        <v>0.11565011761915107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211197587</v>
      </c>
      <c r="D16" s="448">
        <v>203609796</v>
      </c>
      <c r="E16" s="448">
        <f t="shared" si="0"/>
        <v>-7587791</v>
      </c>
      <c r="F16" s="449">
        <f t="shared" si="1"/>
        <v>-3.5927451197631341E-2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0.40593289583864112</v>
      </c>
      <c r="D17" s="453">
        <f>IF(LN_IA1=0,0,LN_IA2/LN_IA1)</f>
        <v>0.35078090823764851</v>
      </c>
      <c r="E17" s="454">
        <f t="shared" si="0"/>
        <v>-5.5151987600992602E-2</v>
      </c>
      <c r="F17" s="449">
        <f t="shared" si="1"/>
        <v>-0.13586478988614806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13861</v>
      </c>
      <c r="D18" s="456">
        <v>14271</v>
      </c>
      <c r="E18" s="456">
        <f t="shared" si="0"/>
        <v>410</v>
      </c>
      <c r="F18" s="449">
        <f t="shared" si="1"/>
        <v>2.957939542601544E-2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1.7150000000000001</v>
      </c>
      <c r="D19" s="459">
        <v>1.6898</v>
      </c>
      <c r="E19" s="460">
        <f t="shared" si="0"/>
        <v>-2.5200000000000111E-2</v>
      </c>
      <c r="F19" s="449">
        <f t="shared" si="1"/>
        <v>-1.4693877551020472E-2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23771.615000000002</v>
      </c>
      <c r="D20" s="463">
        <f>LN_IA4*LN_IA5</f>
        <v>24115.1358</v>
      </c>
      <c r="E20" s="463">
        <f t="shared" si="0"/>
        <v>343.52079999999842</v>
      </c>
      <c r="F20" s="449">
        <f t="shared" si="1"/>
        <v>1.445088186057188E-2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8884.4441995211509</v>
      </c>
      <c r="D21" s="465">
        <f>IF(LN_IA6=0,0,LN_IA2/LN_IA6)</f>
        <v>8443.2365502167322</v>
      </c>
      <c r="E21" s="465">
        <f t="shared" si="0"/>
        <v>-441.20764930441874</v>
      </c>
      <c r="F21" s="449">
        <f t="shared" si="1"/>
        <v>-4.9660692261222002E-2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76592</v>
      </c>
      <c r="D22" s="456">
        <v>78202</v>
      </c>
      <c r="E22" s="456">
        <f t="shared" si="0"/>
        <v>1610</v>
      </c>
      <c r="F22" s="449">
        <f t="shared" si="1"/>
        <v>2.1020472111969918E-2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2757.4366382912053</v>
      </c>
      <c r="D23" s="465">
        <f>IF(LN_IA8=0,0,LN_IA2/LN_IA8)</f>
        <v>2603.6392419631211</v>
      </c>
      <c r="E23" s="465">
        <f t="shared" si="0"/>
        <v>-153.79739632808423</v>
      </c>
      <c r="F23" s="449">
        <f t="shared" si="1"/>
        <v>-5.5775496050343737E-2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5.5257196450472552</v>
      </c>
      <c r="D24" s="466">
        <f>IF(LN_IA4=0,0,LN_IA8/LN_IA4)</f>
        <v>5.4797841777030341</v>
      </c>
      <c r="E24" s="466">
        <f t="shared" si="0"/>
        <v>-4.5935467344221159E-2</v>
      </c>
      <c r="F24" s="449">
        <f t="shared" si="1"/>
        <v>-8.3130289437310621E-3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248704949</v>
      </c>
      <c r="D27" s="448">
        <v>271008656</v>
      </c>
      <c r="E27" s="448">
        <f t="shared" ref="E27:E32" si="2">D27-C27</f>
        <v>22303707</v>
      </c>
      <c r="F27" s="449">
        <f t="shared" ref="F27:F32" si="3">IF(C27=0,0,E27/C27)</f>
        <v>8.9679385511544446E-2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53783812</v>
      </c>
      <c r="D28" s="448">
        <v>56665166</v>
      </c>
      <c r="E28" s="448">
        <f t="shared" si="2"/>
        <v>2881354</v>
      </c>
      <c r="F28" s="449">
        <f t="shared" si="3"/>
        <v>5.3572885462265116E-2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0.21625549558324231</v>
      </c>
      <c r="D29" s="453">
        <f>IF(LN_IA11=0,0,LN_IA12/LN_IA11)</f>
        <v>0.20908987497432555</v>
      </c>
      <c r="E29" s="454">
        <f t="shared" si="2"/>
        <v>-7.1656206089167618E-3</v>
      </c>
      <c r="F29" s="449">
        <f t="shared" si="3"/>
        <v>-3.3134975782192461E-2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0.47802402286429319</v>
      </c>
      <c r="D30" s="453">
        <f>IF(LN_IA1=0,0,LN_IA11/LN_IA1)</f>
        <v>0.46689631029316708</v>
      </c>
      <c r="E30" s="454">
        <f t="shared" si="2"/>
        <v>-1.1127712571126103E-2</v>
      </c>
      <c r="F30" s="449">
        <f t="shared" si="3"/>
        <v>-2.3278563500740972E-2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6625.8909809219676</v>
      </c>
      <c r="D31" s="463">
        <f>LN_IA14*LN_IA4</f>
        <v>6663.077244193787</v>
      </c>
      <c r="E31" s="463">
        <f t="shared" si="2"/>
        <v>37.186263271819371</v>
      </c>
      <c r="F31" s="449">
        <f t="shared" si="3"/>
        <v>5.6122660905364068E-3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8117.2195792023413</v>
      </c>
      <c r="D32" s="465">
        <f>IF(LN_IA15=0,0,LN_IA12/LN_IA15)</f>
        <v>8504.3537577743209</v>
      </c>
      <c r="E32" s="465">
        <f t="shared" si="2"/>
        <v>387.13417857197965</v>
      </c>
      <c r="F32" s="449">
        <f t="shared" si="3"/>
        <v>4.7692953824223436E-2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768982042</v>
      </c>
      <c r="D35" s="448">
        <f>LN_IA1+LN_IA11</f>
        <v>851455856</v>
      </c>
      <c r="E35" s="448">
        <f>D35-C35</f>
        <v>82473814</v>
      </c>
      <c r="F35" s="449">
        <f>IF(C35=0,0,E35/C35)</f>
        <v>0.10725063720018575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264981399</v>
      </c>
      <c r="D36" s="448">
        <f>LN_IA2+LN_IA12</f>
        <v>260274962</v>
      </c>
      <c r="E36" s="448">
        <f>D36-C36</f>
        <v>-4706437</v>
      </c>
      <c r="F36" s="449">
        <f>IF(C36=0,0,E36/C36)</f>
        <v>-1.7761386337914232E-2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504000643</v>
      </c>
      <c r="D37" s="448">
        <f>LN_IA17-LN_IA18</f>
        <v>591180894</v>
      </c>
      <c r="E37" s="448">
        <f>D37-C37</f>
        <v>87180251</v>
      </c>
      <c r="F37" s="449">
        <f>IF(C37=0,0,E37/C37)</f>
        <v>0.17297646780978412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274882321</v>
      </c>
      <c r="D42" s="448">
        <v>297747099</v>
      </c>
      <c r="E42" s="448">
        <f t="shared" ref="E42:E53" si="4">D42-C42</f>
        <v>22864778</v>
      </c>
      <c r="F42" s="449">
        <f t="shared" ref="F42:F53" si="5">IF(C42=0,0,E42/C42)</f>
        <v>8.3180242064385068E-2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156765911</v>
      </c>
      <c r="D43" s="448">
        <v>161294879</v>
      </c>
      <c r="E43" s="448">
        <f t="shared" si="4"/>
        <v>4528968</v>
      </c>
      <c r="F43" s="449">
        <f t="shared" si="5"/>
        <v>2.8890005302236912E-2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0.57030190384633717</v>
      </c>
      <c r="D44" s="453">
        <f>IF(LN_IB1=0,0,LN_IB2/LN_IB1)</f>
        <v>0.5417177179617122</v>
      </c>
      <c r="E44" s="454">
        <f t="shared" si="4"/>
        <v>-2.8584185884624969E-2</v>
      </c>
      <c r="F44" s="449">
        <f t="shared" si="5"/>
        <v>-5.0121147574367426E-2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10289</v>
      </c>
      <c r="D45" s="456">
        <v>10159</v>
      </c>
      <c r="E45" s="456">
        <f t="shared" si="4"/>
        <v>-130</v>
      </c>
      <c r="F45" s="449">
        <f t="shared" si="5"/>
        <v>-1.2634852755369812E-2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1.4084000000000001</v>
      </c>
      <c r="D46" s="459">
        <v>1.4196</v>
      </c>
      <c r="E46" s="460">
        <f t="shared" si="4"/>
        <v>1.1199999999999877E-2</v>
      </c>
      <c r="F46" s="449">
        <f t="shared" si="5"/>
        <v>7.9522862823060755E-3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14491.027600000001</v>
      </c>
      <c r="D47" s="463">
        <f>LN_IB4*LN_IB5</f>
        <v>14421.716399999999</v>
      </c>
      <c r="E47" s="463">
        <f t="shared" si="4"/>
        <v>-69.311200000001918</v>
      </c>
      <c r="F47" s="449">
        <f t="shared" si="5"/>
        <v>-4.7830424393092673E-3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10818.136251427744</v>
      </c>
      <c r="D48" s="465">
        <f>IF(LN_IB6=0,0,LN_IB2/LN_IB6)</f>
        <v>11184.166608629193</v>
      </c>
      <c r="E48" s="465">
        <f t="shared" si="4"/>
        <v>366.03035720144908</v>
      </c>
      <c r="F48" s="449">
        <f t="shared" si="5"/>
        <v>3.3834881415284589E-2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-1933.6920519065934</v>
      </c>
      <c r="D49" s="465">
        <f>LN_IA7-LN_IB7</f>
        <v>-2740.9300584124612</v>
      </c>
      <c r="E49" s="465">
        <f t="shared" si="4"/>
        <v>-807.23800650586782</v>
      </c>
      <c r="F49" s="449">
        <f t="shared" si="5"/>
        <v>0.41745944278456459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-28021184.894079082</v>
      </c>
      <c r="D50" s="479">
        <f>LN_IB8*LN_IB6</f>
        <v>-39528915.97465995</v>
      </c>
      <c r="E50" s="479">
        <f t="shared" si="4"/>
        <v>-11507731.080580868</v>
      </c>
      <c r="F50" s="449">
        <f t="shared" si="5"/>
        <v>0.4106796741137263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41350</v>
      </c>
      <c r="D51" s="456">
        <v>40742</v>
      </c>
      <c r="E51" s="456">
        <f t="shared" si="4"/>
        <v>-608</v>
      </c>
      <c r="F51" s="449">
        <f t="shared" si="5"/>
        <v>-1.4703748488512696E-2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3791.1949455864569</v>
      </c>
      <c r="D52" s="465">
        <f>IF(LN_IB10=0,0,LN_IB2/LN_IB10)</f>
        <v>3958.9337538657896</v>
      </c>
      <c r="E52" s="465">
        <f t="shared" si="4"/>
        <v>167.73880827933272</v>
      </c>
      <c r="F52" s="449">
        <f t="shared" si="5"/>
        <v>4.4244311011916414E-2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4.0188550879580136</v>
      </c>
      <c r="D53" s="466">
        <f>IF(LN_IB4=0,0,LN_IB10/LN_IB4)</f>
        <v>4.0104340978442758</v>
      </c>
      <c r="E53" s="466">
        <f t="shared" si="4"/>
        <v>-8.4209901137377585E-3</v>
      </c>
      <c r="F53" s="449">
        <f t="shared" si="5"/>
        <v>-2.0953704299939008E-3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336896879</v>
      </c>
      <c r="D56" s="448">
        <v>353160662</v>
      </c>
      <c r="E56" s="448">
        <f t="shared" ref="E56:E63" si="6">D56-C56</f>
        <v>16263783</v>
      </c>
      <c r="F56" s="449">
        <f t="shared" ref="F56:F63" si="7">IF(C56=0,0,E56/C56)</f>
        <v>4.8275255764539157E-2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123997843</v>
      </c>
      <c r="D57" s="448">
        <v>141586007</v>
      </c>
      <c r="E57" s="448">
        <f t="shared" si="6"/>
        <v>17588164</v>
      </c>
      <c r="F57" s="449">
        <f t="shared" si="7"/>
        <v>0.14184249963122342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0.36805874654600168</v>
      </c>
      <c r="D58" s="453">
        <f>IF(LN_IB13=0,0,LN_IB14/LN_IB13)</f>
        <v>0.40091103634866332</v>
      </c>
      <c r="E58" s="454">
        <f t="shared" si="6"/>
        <v>3.2852289802661638E-2</v>
      </c>
      <c r="F58" s="449">
        <f t="shared" si="7"/>
        <v>8.9258277682461237E-2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1.2256040249310904</v>
      </c>
      <c r="D59" s="453">
        <f>IF(LN_IB1=0,0,LN_IB13/LN_IB1)</f>
        <v>1.1861094975773383</v>
      </c>
      <c r="E59" s="454">
        <f t="shared" si="6"/>
        <v>-3.949452735375214E-2</v>
      </c>
      <c r="F59" s="449">
        <f t="shared" si="7"/>
        <v>-3.2224541165302323E-2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12610.239812515989</v>
      </c>
      <c r="D60" s="463">
        <f>LN_IB16*LN_IB4</f>
        <v>12049.686385888181</v>
      </c>
      <c r="E60" s="463">
        <f t="shared" si="6"/>
        <v>-560.55342662780822</v>
      </c>
      <c r="F60" s="449">
        <f t="shared" si="7"/>
        <v>-4.4452241587939069E-2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9833.1074462936813</v>
      </c>
      <c r="D61" s="465">
        <f>IF(LN_IB17=0,0,LN_IB14/LN_IB17)</f>
        <v>11750.181910611089</v>
      </c>
      <c r="E61" s="465">
        <f t="shared" si="6"/>
        <v>1917.0744643174075</v>
      </c>
      <c r="F61" s="449">
        <f t="shared" si="7"/>
        <v>0.19496120374846468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-1715.88786709134</v>
      </c>
      <c r="D62" s="465">
        <f>LN_IA16-LN_IB18</f>
        <v>-3245.8281528367679</v>
      </c>
      <c r="E62" s="465">
        <f t="shared" si="6"/>
        <v>-1529.9402857454279</v>
      </c>
      <c r="F62" s="449">
        <f t="shared" si="7"/>
        <v>0.89163185723719918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-21637757.49540836</v>
      </c>
      <c r="D63" s="448">
        <f>LN_IB19*LN_IB17</f>
        <v>-39111211.304169782</v>
      </c>
      <c r="E63" s="448">
        <f t="shared" si="6"/>
        <v>-17473453.808761422</v>
      </c>
      <c r="F63" s="449">
        <f t="shared" si="7"/>
        <v>0.80754458092384929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611779200</v>
      </c>
      <c r="D66" s="448">
        <f>LN_IB1+LN_IB13</f>
        <v>650907761</v>
      </c>
      <c r="E66" s="448">
        <f>D66-C66</f>
        <v>39128561</v>
      </c>
      <c r="F66" s="449">
        <f>IF(C66=0,0,E66/C66)</f>
        <v>6.3958632460861697E-2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280763754</v>
      </c>
      <c r="D67" s="448">
        <f>LN_IB2+LN_IB14</f>
        <v>302880886</v>
      </c>
      <c r="E67" s="448">
        <f>D67-C67</f>
        <v>22117132</v>
      </c>
      <c r="F67" s="449">
        <f>IF(C67=0,0,E67/C67)</f>
        <v>7.8774883455932129E-2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331015446</v>
      </c>
      <c r="D68" s="448">
        <f>LN_IB21-LN_IB22</f>
        <v>348026875</v>
      </c>
      <c r="E68" s="448">
        <f>D68-C68</f>
        <v>17011429</v>
      </c>
      <c r="F68" s="449">
        <f>IF(C68=0,0,E68/C68)</f>
        <v>5.1391647143861678E-2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-49658942.389487445</v>
      </c>
      <c r="D70" s="441">
        <f>LN_IB9+LN_IB20</f>
        <v>-78640127.278829724</v>
      </c>
      <c r="E70" s="448">
        <f>D70-C70</f>
        <v>-28981184.889342278</v>
      </c>
      <c r="F70" s="449">
        <f>IF(C70=0,0,E70/C70)</f>
        <v>0.58360455327533223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508737690</v>
      </c>
      <c r="D73" s="488">
        <v>545975025</v>
      </c>
      <c r="E73" s="488">
        <f>D73-C73</f>
        <v>37237335</v>
      </c>
      <c r="F73" s="489">
        <f>IF(C73=0,0,E73/C73)</f>
        <v>7.3195549950309358E-2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236696156</v>
      </c>
      <c r="D74" s="488">
        <v>258276116</v>
      </c>
      <c r="E74" s="488">
        <f>D74-C74</f>
        <v>21579960</v>
      </c>
      <c r="F74" s="489">
        <f>IF(C74=0,0,E74/C74)</f>
        <v>9.1171569343103318E-2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272041534</v>
      </c>
      <c r="D76" s="441">
        <f>LN_IB32-LN_IB33</f>
        <v>287698909</v>
      </c>
      <c r="E76" s="488">
        <f>D76-C76</f>
        <v>15657375</v>
      </c>
      <c r="F76" s="489">
        <f>IF(E76=0,0,E76/C76)</f>
        <v>5.7555090098852332E-2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0.53473831278354866</v>
      </c>
      <c r="D77" s="453">
        <f>IF(LN_IB32=0,0,LN_IB34/LN_IB32)</f>
        <v>0.52694518215370745</v>
      </c>
      <c r="E77" s="493">
        <f>D77-C77</f>
        <v>-7.7931306298412162E-3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6293659</v>
      </c>
      <c r="D83" s="448">
        <v>6566137</v>
      </c>
      <c r="E83" s="448">
        <f t="shared" ref="E83:E95" si="8">D83-C83</f>
        <v>272478</v>
      </c>
      <c r="F83" s="449">
        <f t="shared" ref="F83:F95" si="9">IF(C83=0,0,E83/C83)</f>
        <v>4.3294051997415178E-2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232591</v>
      </c>
      <c r="D84" s="448">
        <v>272142</v>
      </c>
      <c r="E84" s="448">
        <f t="shared" si="8"/>
        <v>39551</v>
      </c>
      <c r="F84" s="449">
        <f t="shared" si="9"/>
        <v>0.17004527260298119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3.6956403262394737E-2</v>
      </c>
      <c r="D85" s="453">
        <f>IF(LN_IC1=0,0,LN_IC2/LN_IC1)</f>
        <v>4.1446287215755627E-2</v>
      </c>
      <c r="E85" s="454">
        <f t="shared" si="8"/>
        <v>4.4898839533608903E-3</v>
      </c>
      <c r="F85" s="449">
        <f t="shared" si="9"/>
        <v>0.12149136704354574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253</v>
      </c>
      <c r="D86" s="456">
        <v>281</v>
      </c>
      <c r="E86" s="456">
        <f t="shared" si="8"/>
        <v>28</v>
      </c>
      <c r="F86" s="449">
        <f t="shared" si="9"/>
        <v>0.11067193675889328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1.2406999999999999</v>
      </c>
      <c r="D87" s="459">
        <v>1.2102999999999999</v>
      </c>
      <c r="E87" s="460">
        <f t="shared" si="8"/>
        <v>-3.0399999999999983E-2</v>
      </c>
      <c r="F87" s="449">
        <f t="shared" si="9"/>
        <v>-2.4502297090352208E-2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313.89709999999997</v>
      </c>
      <c r="D88" s="463">
        <f>LN_IC4*LN_IC5</f>
        <v>340.09429999999998</v>
      </c>
      <c r="E88" s="463">
        <f t="shared" si="8"/>
        <v>26.197200000000009</v>
      </c>
      <c r="F88" s="449">
        <f t="shared" si="9"/>
        <v>8.345792299451002E-2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740.97849263341402</v>
      </c>
      <c r="D89" s="465">
        <f>IF(LN_IC6=0,0,LN_IC2/LN_IC6)</f>
        <v>800.19571042502037</v>
      </c>
      <c r="E89" s="465">
        <f t="shared" si="8"/>
        <v>59.217217791606345</v>
      </c>
      <c r="F89" s="449">
        <f t="shared" si="9"/>
        <v>7.9917593263942432E-2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10077.15775879433</v>
      </c>
      <c r="D90" s="465">
        <f>LN_IB7-LN_IC7</f>
        <v>10383.970898204174</v>
      </c>
      <c r="E90" s="465">
        <f t="shared" si="8"/>
        <v>306.81313940984364</v>
      </c>
      <c r="F90" s="449">
        <f t="shared" si="9"/>
        <v>3.0446396370255095E-2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8143.4657068877368</v>
      </c>
      <c r="D91" s="465">
        <f>LN_IA7-LN_IC7</f>
        <v>7643.0408397917117</v>
      </c>
      <c r="E91" s="465">
        <f t="shared" si="8"/>
        <v>-500.42486709602508</v>
      </c>
      <c r="F91" s="449">
        <f t="shared" si="9"/>
        <v>-6.1451092828053062E-2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2556210.2693415103</v>
      </c>
      <c r="D92" s="441">
        <f>LN_IC9*LN_IC6</f>
        <v>2599354.624280374</v>
      </c>
      <c r="E92" s="441">
        <f t="shared" si="8"/>
        <v>43144.354938863777</v>
      </c>
      <c r="F92" s="449">
        <f t="shared" si="9"/>
        <v>1.6878249593284801E-2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799</v>
      </c>
      <c r="D93" s="456">
        <v>931</v>
      </c>
      <c r="E93" s="456">
        <f t="shared" si="8"/>
        <v>132</v>
      </c>
      <c r="F93" s="449">
        <f t="shared" si="9"/>
        <v>0.16520650813516896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291.10262828535667</v>
      </c>
      <c r="D94" s="499">
        <f>IF(LN_IC11=0,0,LN_IC2/LN_IC11)</f>
        <v>292.31149301825991</v>
      </c>
      <c r="E94" s="499">
        <f t="shared" si="8"/>
        <v>1.2088647329032369</v>
      </c>
      <c r="F94" s="449">
        <f t="shared" si="9"/>
        <v>4.1527097849430386E-3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3.1581027667984189</v>
      </c>
      <c r="D95" s="466">
        <f>IF(LN_IC4=0,0,LN_IC11/LN_IC4)</f>
        <v>3.3131672597864767</v>
      </c>
      <c r="E95" s="466">
        <f t="shared" si="8"/>
        <v>0.1550644929880578</v>
      </c>
      <c r="F95" s="449">
        <f t="shared" si="9"/>
        <v>4.9100521559422558E-2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26942117</v>
      </c>
      <c r="D98" s="448">
        <v>28175261</v>
      </c>
      <c r="E98" s="448">
        <f t="shared" ref="E98:E106" si="10">D98-C98</f>
        <v>1233144</v>
      </c>
      <c r="F98" s="449">
        <f t="shared" ref="F98:F106" si="11">IF(C98=0,0,E98/C98)</f>
        <v>4.5770122667049509E-2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743821</v>
      </c>
      <c r="D99" s="448">
        <v>670219</v>
      </c>
      <c r="E99" s="448">
        <f t="shared" si="10"/>
        <v>-73602</v>
      </c>
      <c r="F99" s="449">
        <f t="shared" si="11"/>
        <v>-9.8951226168661546E-2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2.7608112606741335E-2</v>
      </c>
      <c r="D100" s="453">
        <f>IF(LN_IC14=0,0,LN_IC15/LN_IC14)</f>
        <v>2.3787499253334336E-2</v>
      </c>
      <c r="E100" s="454">
        <f t="shared" si="10"/>
        <v>-3.8206133534069986E-3</v>
      </c>
      <c r="F100" s="449">
        <f t="shared" si="11"/>
        <v>-0.13838734316354837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4.2808352025427494</v>
      </c>
      <c r="D101" s="453">
        <f>IF(LN_IC1=0,0,LN_IC14/LN_IC1)</f>
        <v>4.2909949944693508</v>
      </c>
      <c r="E101" s="454">
        <f t="shared" si="10"/>
        <v>1.0159791926601436E-2</v>
      </c>
      <c r="F101" s="449">
        <f t="shared" si="11"/>
        <v>2.3733200288968558E-3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1083.0513062433156</v>
      </c>
      <c r="D102" s="463">
        <f>LN_IC17*LN_IC4</f>
        <v>1205.7695934458875</v>
      </c>
      <c r="E102" s="463">
        <f t="shared" si="10"/>
        <v>122.7182872025719</v>
      </c>
      <c r="F102" s="449">
        <f t="shared" si="11"/>
        <v>0.11330791671193674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686.78279201751411</v>
      </c>
      <c r="D103" s="465">
        <f>IF(LN_IC18=0,0,LN_IC15/LN_IC18)</f>
        <v>555.84334158288596</v>
      </c>
      <c r="E103" s="465">
        <f t="shared" si="10"/>
        <v>-130.93945043462816</v>
      </c>
      <c r="F103" s="449">
        <f t="shared" si="11"/>
        <v>-0.19065627729252857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9146.3246542761663</v>
      </c>
      <c r="D104" s="465">
        <f>LN_IB18-LN_IC19</f>
        <v>11194.338569028203</v>
      </c>
      <c r="E104" s="465">
        <f t="shared" si="10"/>
        <v>2048.0139147520367</v>
      </c>
      <c r="F104" s="449">
        <f t="shared" si="11"/>
        <v>0.22391659952662321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7430.4367871848272</v>
      </c>
      <c r="D105" s="465">
        <f>LN_IA16-LN_IC19</f>
        <v>7948.5104161914351</v>
      </c>
      <c r="E105" s="465">
        <f t="shared" si="10"/>
        <v>518.07362900660792</v>
      </c>
      <c r="F105" s="449">
        <f t="shared" si="11"/>
        <v>6.9723172923040325E-2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8047544.268318912</v>
      </c>
      <c r="D106" s="448">
        <f>LN_IC21*LN_IC18</f>
        <v>9584072.173031548</v>
      </c>
      <c r="E106" s="448">
        <f t="shared" si="10"/>
        <v>1536527.904712636</v>
      </c>
      <c r="F106" s="449">
        <f t="shared" si="11"/>
        <v>0.19093127710543284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33235776</v>
      </c>
      <c r="D109" s="448">
        <f>LN_IC1+LN_IC14</f>
        <v>34741398</v>
      </c>
      <c r="E109" s="448">
        <f>D109-C109</f>
        <v>1505622</v>
      </c>
      <c r="F109" s="449">
        <f>IF(C109=0,0,E109/C109)</f>
        <v>4.5301244057006522E-2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976412</v>
      </c>
      <c r="D110" s="448">
        <f>LN_IC2+LN_IC15</f>
        <v>942361</v>
      </c>
      <c r="E110" s="448">
        <f>D110-C110</f>
        <v>-34051</v>
      </c>
      <c r="F110" s="449">
        <f>IF(C110=0,0,E110/C110)</f>
        <v>-3.4873598440002783E-2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32259364</v>
      </c>
      <c r="D111" s="448">
        <f>LN_IC23-LN_IC24</f>
        <v>33799037</v>
      </c>
      <c r="E111" s="448">
        <f>D111-C111</f>
        <v>1539673</v>
      </c>
      <c r="F111" s="449">
        <f>IF(C111=0,0,E111/C111)</f>
        <v>4.772794032765184E-2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10603754.537660422</v>
      </c>
      <c r="D113" s="448">
        <f>LN_IC10+LN_IC22</f>
        <v>12183426.797311923</v>
      </c>
      <c r="E113" s="448">
        <f>D113-C113</f>
        <v>1579672.2596515007</v>
      </c>
      <c r="F113" s="449">
        <f>IF(C113=0,0,E113/C113)</f>
        <v>0.1489729184168794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194608438</v>
      </c>
      <c r="D118" s="448">
        <v>221760677</v>
      </c>
      <c r="E118" s="448">
        <f t="shared" ref="E118:E130" si="12">D118-C118</f>
        <v>27152239</v>
      </c>
      <c r="F118" s="449">
        <f t="shared" ref="F118:F130" si="13">IF(C118=0,0,E118/C118)</f>
        <v>0.13952241371979976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55071571</v>
      </c>
      <c r="D119" s="448">
        <v>52943114</v>
      </c>
      <c r="E119" s="448">
        <f t="shared" si="12"/>
        <v>-2128457</v>
      </c>
      <c r="F119" s="449">
        <f t="shared" si="13"/>
        <v>-3.864892468747623E-2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0.28298655272080236</v>
      </c>
      <c r="D120" s="453">
        <f>IF(LN_ID1=0,0,LN_1D2/LN_ID1)</f>
        <v>0.23873986459736501</v>
      </c>
      <c r="E120" s="454">
        <f t="shared" si="12"/>
        <v>-4.424668812343735E-2</v>
      </c>
      <c r="F120" s="449">
        <f t="shared" si="13"/>
        <v>-0.15635615084187982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7872</v>
      </c>
      <c r="D121" s="456">
        <v>7857</v>
      </c>
      <c r="E121" s="456">
        <f t="shared" si="12"/>
        <v>-15</v>
      </c>
      <c r="F121" s="449">
        <f t="shared" si="13"/>
        <v>-1.9054878048780487E-3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1.1131</v>
      </c>
      <c r="D122" s="459">
        <v>1.1608000000000001</v>
      </c>
      <c r="E122" s="460">
        <f t="shared" si="12"/>
        <v>4.7700000000000076E-2</v>
      </c>
      <c r="F122" s="449">
        <f t="shared" si="13"/>
        <v>4.2853292606234911E-2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8762.3232000000007</v>
      </c>
      <c r="D123" s="463">
        <f>LN_ID4*LN_ID5</f>
        <v>9120.4056</v>
      </c>
      <c r="E123" s="463">
        <f t="shared" si="12"/>
        <v>358.08239999999932</v>
      </c>
      <c r="F123" s="449">
        <f t="shared" si="13"/>
        <v>4.086614837489666E-2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6285.0421906372949</v>
      </c>
      <c r="D124" s="465">
        <f>IF(LN_ID6=0,0,LN_1D2/LN_ID6)</f>
        <v>5804.9078431336429</v>
      </c>
      <c r="E124" s="465">
        <f t="shared" si="12"/>
        <v>-480.13434750365195</v>
      </c>
      <c r="F124" s="449">
        <f t="shared" si="13"/>
        <v>-7.6393178110864352E-2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4533.0940607904495</v>
      </c>
      <c r="D125" s="465">
        <f>LN_IB7-LN_ID7</f>
        <v>5379.2587654955505</v>
      </c>
      <c r="E125" s="465">
        <f t="shared" si="12"/>
        <v>846.16470470510103</v>
      </c>
      <c r="F125" s="449">
        <f t="shared" si="13"/>
        <v>0.18666383122823457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2599.4020088838561</v>
      </c>
      <c r="D126" s="465">
        <f>LN_IA7-LN_ID7</f>
        <v>2638.3287070830893</v>
      </c>
      <c r="E126" s="465">
        <f t="shared" si="12"/>
        <v>38.926698199233215</v>
      </c>
      <c r="F126" s="449">
        <f t="shared" si="13"/>
        <v>1.4975251256325584E-2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22776800.52856962</v>
      </c>
      <c r="D127" s="479">
        <f>LN_ID9*LN_ID6</f>
        <v>24062627.914721366</v>
      </c>
      <c r="E127" s="479">
        <f t="shared" si="12"/>
        <v>1285827.3861517459</v>
      </c>
      <c r="F127" s="449">
        <f t="shared" si="13"/>
        <v>5.6453380471014544E-2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39244</v>
      </c>
      <c r="D128" s="456">
        <v>40108</v>
      </c>
      <c r="E128" s="456">
        <f t="shared" si="12"/>
        <v>864</v>
      </c>
      <c r="F128" s="449">
        <f t="shared" si="13"/>
        <v>2.2016104372642953E-2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1403.3118693303436</v>
      </c>
      <c r="D129" s="465">
        <f>IF(LN_ID11=0,0,LN_1D2/LN_ID11)</f>
        <v>1320.0138127056946</v>
      </c>
      <c r="E129" s="465">
        <f t="shared" si="12"/>
        <v>-83.298056624649007</v>
      </c>
      <c r="F129" s="449">
        <f t="shared" si="13"/>
        <v>-5.9358192890079806E-2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4.9852642276422765</v>
      </c>
      <c r="D130" s="466">
        <f>IF(LN_ID4=0,0,LN_ID11/LN_ID4)</f>
        <v>5.104747359042892</v>
      </c>
      <c r="E130" s="466">
        <f t="shared" si="12"/>
        <v>0.11948313140061551</v>
      </c>
      <c r="F130" s="449">
        <f t="shared" si="13"/>
        <v>2.3967261502029488E-2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177473240</v>
      </c>
      <c r="D133" s="448">
        <v>202212572</v>
      </c>
      <c r="E133" s="448">
        <f t="shared" ref="E133:E141" si="14">D133-C133</f>
        <v>24739332</v>
      </c>
      <c r="F133" s="449">
        <f t="shared" ref="F133:F141" si="15">IF(C133=0,0,E133/C133)</f>
        <v>0.13939753396061288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38955881</v>
      </c>
      <c r="D134" s="448">
        <v>40967256</v>
      </c>
      <c r="E134" s="448">
        <f t="shared" si="14"/>
        <v>2011375</v>
      </c>
      <c r="F134" s="449">
        <f t="shared" si="15"/>
        <v>5.1632127123501584E-2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0.21950284448517421</v>
      </c>
      <c r="D135" s="453">
        <f>IF(LN_ID14=0,0,LN_ID15/LN_ID14)</f>
        <v>0.20259499987963162</v>
      </c>
      <c r="E135" s="454">
        <f t="shared" si="14"/>
        <v>-1.6907844605542593E-2</v>
      </c>
      <c r="F135" s="449">
        <f t="shared" si="15"/>
        <v>-7.7027906609586527E-2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0.91195038521402649</v>
      </c>
      <c r="D136" s="453">
        <f>IF(LN_ID1=0,0,LN_ID14/LN_ID1)</f>
        <v>0.91185044497316359</v>
      </c>
      <c r="E136" s="454">
        <f t="shared" si="14"/>
        <v>-9.994024086290576E-5</v>
      </c>
      <c r="F136" s="449">
        <f t="shared" si="15"/>
        <v>-1.095895593480677E-4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7178.8734324048164</v>
      </c>
      <c r="D137" s="463">
        <f>LN_ID17*LN_ID4</f>
        <v>7164.4089461541462</v>
      </c>
      <c r="E137" s="463">
        <f t="shared" si="14"/>
        <v>-14.464486250670234</v>
      </c>
      <c r="F137" s="449">
        <f t="shared" si="15"/>
        <v>-2.0148685426572351E-3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5426.4615982998821</v>
      </c>
      <c r="D138" s="465">
        <f>IF(LN_ID18=0,0,LN_ID15/LN_ID18)</f>
        <v>5718.1626995191582</v>
      </c>
      <c r="E138" s="465">
        <f t="shared" si="14"/>
        <v>291.7011012192761</v>
      </c>
      <c r="F138" s="449">
        <f t="shared" si="15"/>
        <v>5.3755305540292862E-2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4406.6458479937992</v>
      </c>
      <c r="D139" s="465">
        <f>LN_IB18-LN_ID19</f>
        <v>6032.0192110919306</v>
      </c>
      <c r="E139" s="465">
        <f t="shared" si="14"/>
        <v>1625.3733630981314</v>
      </c>
      <c r="F139" s="449">
        <f t="shared" si="15"/>
        <v>0.36884592480653067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2690.7579809024592</v>
      </c>
      <c r="D140" s="465">
        <f>LN_IA16-LN_ID19</f>
        <v>2786.1910582551627</v>
      </c>
      <c r="E140" s="465">
        <f t="shared" si="14"/>
        <v>95.433077352703549</v>
      </c>
      <c r="F140" s="449">
        <f t="shared" si="15"/>
        <v>3.5466986637235964E-2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19316610.982131891</v>
      </c>
      <c r="D141" s="441">
        <f>LN_ID21*LN_ID18</f>
        <v>19961412.143457975</v>
      </c>
      <c r="E141" s="441">
        <f t="shared" si="14"/>
        <v>644801.16132608429</v>
      </c>
      <c r="F141" s="449">
        <f t="shared" si="15"/>
        <v>3.3380656778900474E-2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372081678</v>
      </c>
      <c r="D144" s="448">
        <f>LN_ID1+LN_ID14</f>
        <v>423973249</v>
      </c>
      <c r="E144" s="448">
        <f>D144-C144</f>
        <v>51891571</v>
      </c>
      <c r="F144" s="449">
        <f>IF(C144=0,0,E144/C144)</f>
        <v>0.13946284933707487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94027452</v>
      </c>
      <c r="D145" s="448">
        <f>LN_1D2+LN_ID15</f>
        <v>93910370</v>
      </c>
      <c r="E145" s="448">
        <f>D145-C145</f>
        <v>-117082</v>
      </c>
      <c r="F145" s="449">
        <f>IF(C145=0,0,E145/C145)</f>
        <v>-1.245189543155971E-3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278054226</v>
      </c>
      <c r="D146" s="448">
        <f>LN_ID23-LN_ID24</f>
        <v>330062879</v>
      </c>
      <c r="E146" s="448">
        <f>D146-C146</f>
        <v>52008653</v>
      </c>
      <c r="F146" s="449">
        <f>IF(C146=0,0,E146/C146)</f>
        <v>0.18704500107112201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42093411.510701507</v>
      </c>
      <c r="D148" s="448">
        <f>LN_ID10+LN_ID22</f>
        <v>44024040.058179341</v>
      </c>
      <c r="E148" s="448">
        <f>D148-C148</f>
        <v>1930628.5474778339</v>
      </c>
      <c r="F148" s="503">
        <f>IF(C148=0,0,E148/C148)</f>
        <v>4.5865338022958904E-2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10818.136251427744</v>
      </c>
      <c r="D160" s="465">
        <f>LN_IB7-LN_IE7</f>
        <v>11184.166608629193</v>
      </c>
      <c r="E160" s="465">
        <f t="shared" si="16"/>
        <v>366.03035720144908</v>
      </c>
      <c r="F160" s="449">
        <f t="shared" si="17"/>
        <v>3.3834881415284589E-2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8884.4441995211509</v>
      </c>
      <c r="D161" s="465">
        <f>LN_IA7-LN_IE7</f>
        <v>8443.2365502167322</v>
      </c>
      <c r="E161" s="465">
        <f t="shared" si="16"/>
        <v>-441.20764930441874</v>
      </c>
      <c r="F161" s="449">
        <f t="shared" si="17"/>
        <v>-4.9660692261222002E-2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9833.1074462936813</v>
      </c>
      <c r="D174" s="465">
        <f>LN_IB18-LN_IE19</f>
        <v>11750.181910611089</v>
      </c>
      <c r="E174" s="465">
        <f t="shared" si="18"/>
        <v>1917.0744643174075</v>
      </c>
      <c r="F174" s="449">
        <f t="shared" si="19"/>
        <v>0.19496120374846468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8117.2195792023413</v>
      </c>
      <c r="D175" s="465">
        <f>LN_IA16-LN_IE19</f>
        <v>8504.3537577743209</v>
      </c>
      <c r="E175" s="465">
        <f t="shared" si="18"/>
        <v>387.13417857197965</v>
      </c>
      <c r="F175" s="449">
        <f t="shared" si="19"/>
        <v>4.7692953824223436E-2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194608438</v>
      </c>
      <c r="D188" s="448">
        <f>LN_ID1+LN_IE1</f>
        <v>221760677</v>
      </c>
      <c r="E188" s="448">
        <f t="shared" ref="E188:E200" si="20">D188-C188</f>
        <v>27152239</v>
      </c>
      <c r="F188" s="449">
        <f t="shared" ref="F188:F200" si="21">IF(C188=0,0,E188/C188)</f>
        <v>0.13952241371979976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55071571</v>
      </c>
      <c r="D189" s="448">
        <f>LN_1D2+LN_IE2</f>
        <v>52943114</v>
      </c>
      <c r="E189" s="448">
        <f t="shared" si="20"/>
        <v>-2128457</v>
      </c>
      <c r="F189" s="449">
        <f t="shared" si="21"/>
        <v>-3.864892468747623E-2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0.28298655272080236</v>
      </c>
      <c r="D190" s="453">
        <f>IF(LN_IF1=0,0,LN_IF2/LN_IF1)</f>
        <v>0.23873986459736501</v>
      </c>
      <c r="E190" s="454">
        <f t="shared" si="20"/>
        <v>-4.424668812343735E-2</v>
      </c>
      <c r="F190" s="449">
        <f t="shared" si="21"/>
        <v>-0.15635615084187982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7872</v>
      </c>
      <c r="D191" s="456">
        <f>LN_ID4+LN_IE4</f>
        <v>7857</v>
      </c>
      <c r="E191" s="456">
        <f t="shared" si="20"/>
        <v>-15</v>
      </c>
      <c r="F191" s="449">
        <f t="shared" si="21"/>
        <v>-1.9054878048780487E-3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1.1131000000000002</v>
      </c>
      <c r="D192" s="459">
        <f>IF((LN_ID4+LN_IE4)=0,0,(LN_ID6+LN_IE6)/(LN_ID4+LN_IE4))</f>
        <v>1.1608000000000001</v>
      </c>
      <c r="E192" s="460">
        <f t="shared" si="20"/>
        <v>4.7699999999999854E-2</v>
      </c>
      <c r="F192" s="449">
        <f t="shared" si="21"/>
        <v>4.2853292606234702E-2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8762.3232000000007</v>
      </c>
      <c r="D193" s="463">
        <f>LN_IF4*LN_IF5</f>
        <v>9120.4056</v>
      </c>
      <c r="E193" s="463">
        <f t="shared" si="20"/>
        <v>358.08239999999932</v>
      </c>
      <c r="F193" s="449">
        <f t="shared" si="21"/>
        <v>4.086614837489666E-2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6285.0421906372949</v>
      </c>
      <c r="D194" s="465">
        <f>IF(LN_IF6=0,0,LN_IF2/LN_IF6)</f>
        <v>5804.9078431336429</v>
      </c>
      <c r="E194" s="465">
        <f t="shared" si="20"/>
        <v>-480.13434750365195</v>
      </c>
      <c r="F194" s="449">
        <f t="shared" si="21"/>
        <v>-7.6393178110864352E-2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4533.0940607904495</v>
      </c>
      <c r="D195" s="465">
        <f>LN_IB7-LN_IF7</f>
        <v>5379.2587654955505</v>
      </c>
      <c r="E195" s="465">
        <f t="shared" si="20"/>
        <v>846.16470470510103</v>
      </c>
      <c r="F195" s="449">
        <f t="shared" si="21"/>
        <v>0.18666383122823457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2599.4020088838561</v>
      </c>
      <c r="D196" s="465">
        <f>LN_IA7-LN_IF7</f>
        <v>2638.3287070830893</v>
      </c>
      <c r="E196" s="465">
        <f t="shared" si="20"/>
        <v>38.926698199233215</v>
      </c>
      <c r="F196" s="449">
        <f t="shared" si="21"/>
        <v>1.4975251256325584E-2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22776800.52856962</v>
      </c>
      <c r="D197" s="479">
        <f>LN_IF9*LN_IF6</f>
        <v>24062627.914721366</v>
      </c>
      <c r="E197" s="479">
        <f t="shared" si="20"/>
        <v>1285827.3861517459</v>
      </c>
      <c r="F197" s="449">
        <f t="shared" si="21"/>
        <v>5.6453380471014544E-2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39244</v>
      </c>
      <c r="D198" s="456">
        <f>LN_ID11+LN_IE11</f>
        <v>40108</v>
      </c>
      <c r="E198" s="456">
        <f t="shared" si="20"/>
        <v>864</v>
      </c>
      <c r="F198" s="449">
        <f t="shared" si="21"/>
        <v>2.2016104372642953E-2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1403.3118693303436</v>
      </c>
      <c r="D199" s="519">
        <f>IF(LN_IF11=0,0,LN_IF2/LN_IF11)</f>
        <v>1320.0138127056946</v>
      </c>
      <c r="E199" s="519">
        <f t="shared" si="20"/>
        <v>-83.298056624649007</v>
      </c>
      <c r="F199" s="449">
        <f t="shared" si="21"/>
        <v>-5.9358192890079806E-2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4.9852642276422765</v>
      </c>
      <c r="D200" s="466">
        <f>IF(LN_IF4=0,0,LN_IF11/LN_IF4)</f>
        <v>5.104747359042892</v>
      </c>
      <c r="E200" s="466">
        <f t="shared" si="20"/>
        <v>0.11948313140061551</v>
      </c>
      <c r="F200" s="449">
        <f t="shared" si="21"/>
        <v>2.3967261502029488E-2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177473240</v>
      </c>
      <c r="D203" s="448">
        <f>LN_ID14+LN_IE14</f>
        <v>202212572</v>
      </c>
      <c r="E203" s="448">
        <f t="shared" ref="E203:E211" si="22">D203-C203</f>
        <v>24739332</v>
      </c>
      <c r="F203" s="449">
        <f t="shared" ref="F203:F211" si="23">IF(C203=0,0,E203/C203)</f>
        <v>0.13939753396061288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38955881</v>
      </c>
      <c r="D204" s="448">
        <f>LN_ID15+LN_IE15</f>
        <v>40967256</v>
      </c>
      <c r="E204" s="448">
        <f t="shared" si="22"/>
        <v>2011375</v>
      </c>
      <c r="F204" s="449">
        <f t="shared" si="23"/>
        <v>5.1632127123501584E-2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0.21950284448517421</v>
      </c>
      <c r="D205" s="453">
        <f>IF(LN_IF14=0,0,LN_IF15/LN_IF14)</f>
        <v>0.20259499987963162</v>
      </c>
      <c r="E205" s="454">
        <f t="shared" si="22"/>
        <v>-1.6907844605542593E-2</v>
      </c>
      <c r="F205" s="449">
        <f t="shared" si="23"/>
        <v>-7.7027906609586527E-2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0.91195038521402649</v>
      </c>
      <c r="D206" s="453">
        <f>IF(LN_IF1=0,0,LN_IF14/LN_IF1)</f>
        <v>0.91185044497316359</v>
      </c>
      <c r="E206" s="454">
        <f t="shared" si="22"/>
        <v>-9.994024086290576E-5</v>
      </c>
      <c r="F206" s="449">
        <f t="shared" si="23"/>
        <v>-1.095895593480677E-4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7178.8734324048164</v>
      </c>
      <c r="D207" s="463">
        <f>LN_ID18+LN_IE18</f>
        <v>7164.4089461541462</v>
      </c>
      <c r="E207" s="463">
        <f t="shared" si="22"/>
        <v>-14.464486250670234</v>
      </c>
      <c r="F207" s="449">
        <f t="shared" si="23"/>
        <v>-2.0148685426572351E-3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5426.4615982998821</v>
      </c>
      <c r="D208" s="465">
        <f>IF(LN_IF18=0,0,LN_IF15/LN_IF18)</f>
        <v>5718.1626995191582</v>
      </c>
      <c r="E208" s="465">
        <f t="shared" si="22"/>
        <v>291.7011012192761</v>
      </c>
      <c r="F208" s="449">
        <f t="shared" si="23"/>
        <v>5.3755305540292862E-2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4406.6458479937992</v>
      </c>
      <c r="D209" s="465">
        <f>LN_IB18-LN_IF19</f>
        <v>6032.0192110919306</v>
      </c>
      <c r="E209" s="465">
        <f t="shared" si="22"/>
        <v>1625.3733630981314</v>
      </c>
      <c r="F209" s="449">
        <f t="shared" si="23"/>
        <v>0.36884592480653067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2690.7579809024592</v>
      </c>
      <c r="D210" s="465">
        <f>LN_IA16-LN_IF19</f>
        <v>2786.1910582551627</v>
      </c>
      <c r="E210" s="465">
        <f t="shared" si="22"/>
        <v>95.433077352703549</v>
      </c>
      <c r="F210" s="449">
        <f t="shared" si="23"/>
        <v>3.5466986637235964E-2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19316610.982131891</v>
      </c>
      <c r="D211" s="441">
        <f>LN_IF21*LN_IF18</f>
        <v>19961412.143457975</v>
      </c>
      <c r="E211" s="441">
        <f t="shared" si="22"/>
        <v>644801.16132608429</v>
      </c>
      <c r="F211" s="449">
        <f t="shared" si="23"/>
        <v>3.3380656778900474E-2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372081678</v>
      </c>
      <c r="D214" s="448">
        <f>LN_IF1+LN_IF14</f>
        <v>423973249</v>
      </c>
      <c r="E214" s="448">
        <f>D214-C214</f>
        <v>51891571</v>
      </c>
      <c r="F214" s="449">
        <f>IF(C214=0,0,E214/C214)</f>
        <v>0.13946284933707487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94027452</v>
      </c>
      <c r="D215" s="448">
        <f>LN_IF2+LN_IF15</f>
        <v>93910370</v>
      </c>
      <c r="E215" s="448">
        <f>D215-C215</f>
        <v>-117082</v>
      </c>
      <c r="F215" s="449">
        <f>IF(C215=0,0,E215/C215)</f>
        <v>-1.245189543155971E-3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278054226</v>
      </c>
      <c r="D216" s="448">
        <f>LN_IF23-LN_IF24</f>
        <v>330062879</v>
      </c>
      <c r="E216" s="448">
        <f>D216-C216</f>
        <v>52008653</v>
      </c>
      <c r="F216" s="449">
        <f>IF(C216=0,0,E216/C216)</f>
        <v>0.18704500107112201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2301100</v>
      </c>
      <c r="D221" s="448">
        <v>2026698</v>
      </c>
      <c r="E221" s="448">
        <f t="shared" ref="E221:E230" si="24">D221-C221</f>
        <v>-274402</v>
      </c>
      <c r="F221" s="449">
        <f t="shared" ref="F221:F230" si="25">IF(C221=0,0,E221/C221)</f>
        <v>-0.11924818565034113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375832</v>
      </c>
      <c r="D222" s="448">
        <v>756322</v>
      </c>
      <c r="E222" s="448">
        <f t="shared" si="24"/>
        <v>380490</v>
      </c>
      <c r="F222" s="449">
        <f t="shared" si="25"/>
        <v>1.0123938355435407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0.16332710442831688</v>
      </c>
      <c r="D223" s="453">
        <f>IF(LN_IG1=0,0,LN_IG2/LN_IG1)</f>
        <v>0.37317942781805674</v>
      </c>
      <c r="E223" s="454">
        <f t="shared" si="24"/>
        <v>0.20985232338973986</v>
      </c>
      <c r="F223" s="449">
        <f t="shared" si="25"/>
        <v>1.2848591427875498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89</v>
      </c>
      <c r="D224" s="456">
        <v>79</v>
      </c>
      <c r="E224" s="456">
        <f t="shared" si="24"/>
        <v>-10</v>
      </c>
      <c r="F224" s="449">
        <f t="shared" si="25"/>
        <v>-0.11235955056179775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1.1055999999999999</v>
      </c>
      <c r="D225" s="459">
        <v>1.0992</v>
      </c>
      <c r="E225" s="460">
        <f t="shared" si="24"/>
        <v>-6.3999999999999613E-3</v>
      </c>
      <c r="F225" s="449">
        <f t="shared" si="25"/>
        <v>-5.7887120115773898E-3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98.398399999999995</v>
      </c>
      <c r="D226" s="463">
        <f>LN_IG3*LN_IG4</f>
        <v>86.836799999999997</v>
      </c>
      <c r="E226" s="463">
        <f t="shared" si="24"/>
        <v>-11.561599999999999</v>
      </c>
      <c r="F226" s="449">
        <f t="shared" si="25"/>
        <v>-0.11749784549342265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3819.4929998861771</v>
      </c>
      <c r="D227" s="465">
        <f>IF(LN_IG5=0,0,LN_IG2/LN_IG5)</f>
        <v>8709.6945073977859</v>
      </c>
      <c r="E227" s="465">
        <f t="shared" si="24"/>
        <v>4890.2015075116087</v>
      </c>
      <c r="F227" s="449">
        <f t="shared" si="25"/>
        <v>1.2803273910064343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348</v>
      </c>
      <c r="D228" s="456">
        <v>323</v>
      </c>
      <c r="E228" s="456">
        <f t="shared" si="24"/>
        <v>-25</v>
      </c>
      <c r="F228" s="449">
        <f t="shared" si="25"/>
        <v>-7.183908045977011E-2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1079.9770114942528</v>
      </c>
      <c r="D229" s="465">
        <f>IF(LN_IG6=0,0,LN_IG2/LN_IG6)</f>
        <v>2341.5541795665636</v>
      </c>
      <c r="E229" s="465">
        <f t="shared" si="24"/>
        <v>1261.5771680723108</v>
      </c>
      <c r="F229" s="449">
        <f t="shared" si="25"/>
        <v>1.1681518723503166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3.9101123595505616</v>
      </c>
      <c r="D230" s="466">
        <f>IF(LN_IG3=0,0,LN_IG6/LN_IG3)</f>
        <v>4.0886075949367084</v>
      </c>
      <c r="E230" s="466">
        <f t="shared" si="24"/>
        <v>0.17849523538614687</v>
      </c>
      <c r="F230" s="449">
        <f t="shared" si="25"/>
        <v>4.5649643532664E-2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2514310</v>
      </c>
      <c r="D233" s="448">
        <v>2593532</v>
      </c>
      <c r="E233" s="448">
        <f>D233-C233</f>
        <v>79222</v>
      </c>
      <c r="F233" s="449">
        <f>IF(C233=0,0,E233/C233)</f>
        <v>3.1508445657058994E-2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518654</v>
      </c>
      <c r="D234" s="448">
        <v>338433</v>
      </c>
      <c r="E234" s="448">
        <f>D234-C234</f>
        <v>-180221</v>
      </c>
      <c r="F234" s="449">
        <f>IF(C234=0,0,E234/C234)</f>
        <v>-0.34747828031789979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4815410</v>
      </c>
      <c r="D237" s="448">
        <f>LN_IG1+LN_IG9</f>
        <v>4620230</v>
      </c>
      <c r="E237" s="448">
        <f>D237-C237</f>
        <v>-195180</v>
      </c>
      <c r="F237" s="449">
        <f>IF(C237=0,0,E237/C237)</f>
        <v>-4.0532374190359696E-2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894486</v>
      </c>
      <c r="D238" s="448">
        <f>LN_IG2+LN_IG10</f>
        <v>1094755</v>
      </c>
      <c r="E238" s="448">
        <f>D238-C238</f>
        <v>200269</v>
      </c>
      <c r="F238" s="449">
        <f>IF(C238=0,0,E238/C238)</f>
        <v>0.22389282783632164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3920924</v>
      </c>
      <c r="D239" s="448">
        <f>LN_IG13-LN_IG14</f>
        <v>3525475</v>
      </c>
      <c r="E239" s="448">
        <f>D239-C239</f>
        <v>-395449</v>
      </c>
      <c r="F239" s="449">
        <f>IF(C239=0,0,E239/C239)</f>
        <v>-0.10085607372139832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31085511</v>
      </c>
      <c r="D243" s="448">
        <v>30927888</v>
      </c>
      <c r="E243" s="441">
        <f>D243-C243</f>
        <v>-157623</v>
      </c>
      <c r="F243" s="503">
        <f>IF(C243=0,0,E243/C243)</f>
        <v>-5.0706259903528688E-3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674830699</v>
      </c>
      <c r="D244" s="448">
        <v>666258533</v>
      </c>
      <c r="E244" s="441">
        <f>D244-C244</f>
        <v>-8572166</v>
      </c>
      <c r="F244" s="503">
        <f>IF(C244=0,0,E244/C244)</f>
        <v>-1.2702691227151775E-2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6110468</v>
      </c>
      <c r="D248" s="441">
        <v>5761205</v>
      </c>
      <c r="E248" s="441">
        <f>D248-C248</f>
        <v>-349263</v>
      </c>
      <c r="F248" s="449">
        <f>IF(C248=0,0,E248/C248)</f>
        <v>-5.7158142387784376E-2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18629069</v>
      </c>
      <c r="D249" s="441">
        <v>20253386</v>
      </c>
      <c r="E249" s="441">
        <f>D249-C249</f>
        <v>1624317</v>
      </c>
      <c r="F249" s="449">
        <f>IF(C249=0,0,E249/C249)</f>
        <v>8.7192602056495691E-2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24739537</v>
      </c>
      <c r="D250" s="441">
        <f>LN_IH4+LN_IH5</f>
        <v>26014591</v>
      </c>
      <c r="E250" s="441">
        <f>D250-C250</f>
        <v>1275054</v>
      </c>
      <c r="F250" s="449">
        <f>IF(C250=0,0,E250/C250)</f>
        <v>5.1539121366741825E-2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9306037.4910255522</v>
      </c>
      <c r="D251" s="441">
        <f>LN_IH6*LN_III10</f>
        <v>9123822.9844075963</v>
      </c>
      <c r="E251" s="441">
        <f>D251-C251</f>
        <v>-182214.50661795586</v>
      </c>
      <c r="F251" s="449">
        <f>IF(C251=0,0,E251/C251)</f>
        <v>-1.9580246350143955E-2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372081678</v>
      </c>
      <c r="D254" s="441">
        <f>LN_IF23</f>
        <v>423973249</v>
      </c>
      <c r="E254" s="441">
        <f>D254-C254</f>
        <v>51891571</v>
      </c>
      <c r="F254" s="449">
        <f>IF(C254=0,0,E254/C254)</f>
        <v>0.13946284933707487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94027452</v>
      </c>
      <c r="D255" s="441">
        <f>LN_IF24</f>
        <v>93910370</v>
      </c>
      <c r="E255" s="441">
        <f>D255-C255</f>
        <v>-117082</v>
      </c>
      <c r="F255" s="449">
        <f>IF(C255=0,0,E255/C255)</f>
        <v>-1.245189543155971E-3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139962443.32267404</v>
      </c>
      <c r="D256" s="441">
        <f>LN_IH8*LN_III10</f>
        <v>148695663.6758258</v>
      </c>
      <c r="E256" s="441">
        <f>D256-C256</f>
        <v>8733220.3531517684</v>
      </c>
      <c r="F256" s="449">
        <f>IF(C256=0,0,E256/C256)</f>
        <v>6.2396884091383817E-2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45934991.322674036</v>
      </c>
      <c r="D257" s="441">
        <f>LN_IH10-LN_IH9</f>
        <v>54785293.675825804</v>
      </c>
      <c r="E257" s="441">
        <f>D257-C257</f>
        <v>8850302.3531517684</v>
      </c>
      <c r="F257" s="449">
        <f>IF(C257=0,0,E257/C257)</f>
        <v>0.19267016490722963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992068952</v>
      </c>
      <c r="D261" s="448">
        <f>LN_IA1+LN_IB1+LN_IF1+LN_IG1</f>
        <v>1101981674</v>
      </c>
      <c r="E261" s="448">
        <f t="shared" ref="E261:E274" si="26">D261-C261</f>
        <v>109912722</v>
      </c>
      <c r="F261" s="503">
        <f t="shared" ref="F261:F274" si="27">IF(C261=0,0,E261/C261)</f>
        <v>0.11079141402260112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423410901</v>
      </c>
      <c r="D262" s="448">
        <f>+LN_IA2+LN_IB2+LN_IF2+LN_IG2</f>
        <v>418604111</v>
      </c>
      <c r="E262" s="448">
        <f t="shared" si="26"/>
        <v>-4806790</v>
      </c>
      <c r="F262" s="503">
        <f t="shared" si="27"/>
        <v>-1.1352541912944276E-2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0.42679583928759018</v>
      </c>
      <c r="D263" s="453">
        <f>IF(LN_IIA1=0,0,LN_IIA2/LN_IIA1)</f>
        <v>0.37986485699035316</v>
      </c>
      <c r="E263" s="454">
        <f t="shared" si="26"/>
        <v>-4.6930982297237023E-2</v>
      </c>
      <c r="F263" s="458">
        <f t="shared" si="27"/>
        <v>-0.10996119918969796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32111</v>
      </c>
      <c r="D264" s="456">
        <f>LN_IA4+LN_IB4+LN_IF4+LN_IG3</f>
        <v>32366</v>
      </c>
      <c r="E264" s="456">
        <f t="shared" si="26"/>
        <v>255</v>
      </c>
      <c r="F264" s="503">
        <f t="shared" si="27"/>
        <v>7.9412039488025912E-3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1.4675146896702065</v>
      </c>
      <c r="D265" s="525">
        <f>IF(LN_IIA4=0,0,LN_IIA6/LN_IIA4)</f>
        <v>1.4751311437928689</v>
      </c>
      <c r="E265" s="525">
        <f t="shared" si="26"/>
        <v>7.6164541226624305E-3</v>
      </c>
      <c r="F265" s="503">
        <f t="shared" si="27"/>
        <v>5.1900360359418756E-3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47123.364200000004</v>
      </c>
      <c r="D266" s="463">
        <f>LN_IA6+LN_IB6+LN_IF6+LN_IG5</f>
        <v>47744.094599999997</v>
      </c>
      <c r="E266" s="463">
        <f t="shared" si="26"/>
        <v>620.7303999999931</v>
      </c>
      <c r="F266" s="503">
        <f t="shared" si="27"/>
        <v>1.3172455119407478E-2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765589378</v>
      </c>
      <c r="D267" s="448">
        <f>LN_IA11+LN_IB13+LN_IF14+LN_IG9</f>
        <v>828975422</v>
      </c>
      <c r="E267" s="448">
        <f t="shared" si="26"/>
        <v>63386044</v>
      </c>
      <c r="F267" s="503">
        <f t="shared" si="27"/>
        <v>8.2793787141597464E-2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0.7717098458293451</v>
      </c>
      <c r="D268" s="453">
        <f>IF(LN_IIA1=0,0,LN_IIA7/LN_IIA1)</f>
        <v>0.7522588093420508</v>
      </c>
      <c r="E268" s="454">
        <f t="shared" si="26"/>
        <v>-1.9451036487294293E-2</v>
      </c>
      <c r="F268" s="458">
        <f t="shared" si="27"/>
        <v>-2.5205116394997597E-2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217256190</v>
      </c>
      <c r="D269" s="448">
        <f>LN_IA12+LN_IB14+LN_IF15+LN_IG10</f>
        <v>239556862</v>
      </c>
      <c r="E269" s="448">
        <f t="shared" si="26"/>
        <v>22300672</v>
      </c>
      <c r="F269" s="503">
        <f t="shared" si="27"/>
        <v>0.10264688891027685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0.28377639011600814</v>
      </c>
      <c r="D270" s="453">
        <f>IF(LN_IIA7=0,0,LN_IIA9/LN_IIA7)</f>
        <v>0.28897945058737823</v>
      </c>
      <c r="E270" s="454">
        <f t="shared" si="26"/>
        <v>5.2030604713700912E-3</v>
      </c>
      <c r="F270" s="458">
        <f t="shared" si="27"/>
        <v>1.8335071741673342E-2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1757658330</v>
      </c>
      <c r="D271" s="441">
        <f>LN_IIA1+LN_IIA7</f>
        <v>1930957096</v>
      </c>
      <c r="E271" s="441">
        <f t="shared" si="26"/>
        <v>173298766</v>
      </c>
      <c r="F271" s="503">
        <f t="shared" si="27"/>
        <v>9.8596389891088793E-2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640667091</v>
      </c>
      <c r="D272" s="441">
        <f>LN_IIA2+LN_IIA9</f>
        <v>658160973</v>
      </c>
      <c r="E272" s="441">
        <f t="shared" si="26"/>
        <v>17493882</v>
      </c>
      <c r="F272" s="503">
        <f t="shared" si="27"/>
        <v>2.7305729052969258E-2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0.36450035826928889</v>
      </c>
      <c r="D273" s="453">
        <f>IF(LN_IIA11=0,0,LN_IIA12/LN_IIA11)</f>
        <v>0.34084702055959093</v>
      </c>
      <c r="E273" s="454">
        <f t="shared" si="26"/>
        <v>-2.3653337709697964E-2</v>
      </c>
      <c r="F273" s="458">
        <f t="shared" si="27"/>
        <v>-6.4892495091110822E-2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157534</v>
      </c>
      <c r="D274" s="508">
        <f>LN_IA8+LN_IB10+LN_IF11+LN_IG6</f>
        <v>159375</v>
      </c>
      <c r="E274" s="528">
        <f t="shared" si="26"/>
        <v>1841</v>
      </c>
      <c r="F274" s="458">
        <f t="shared" si="27"/>
        <v>1.1686366117790446E-2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717186631</v>
      </c>
      <c r="D277" s="448">
        <f>LN_IA1+LN_IF1+LN_IG1</f>
        <v>804234575</v>
      </c>
      <c r="E277" s="448">
        <f t="shared" ref="E277:E291" si="28">D277-C277</f>
        <v>87047944</v>
      </c>
      <c r="F277" s="503">
        <f t="shared" ref="F277:F291" si="29">IF(C277=0,0,E277/C277)</f>
        <v>0.12137418663064845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266644990</v>
      </c>
      <c r="D278" s="448">
        <f>LN_IA2+LN_IF2+LN_IG2</f>
        <v>257309232</v>
      </c>
      <c r="E278" s="448">
        <f t="shared" si="28"/>
        <v>-9335758</v>
      </c>
      <c r="F278" s="503">
        <f t="shared" si="29"/>
        <v>-3.50119385329535E-2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0.37179302914250784</v>
      </c>
      <c r="D279" s="453">
        <f>IF(D277=0,0,LN_IIB2/D277)</f>
        <v>0.31994301165179329</v>
      </c>
      <c r="E279" s="454">
        <f t="shared" si="28"/>
        <v>-5.1850017490714551E-2</v>
      </c>
      <c r="F279" s="458">
        <f t="shared" si="29"/>
        <v>-0.13945935890809966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21822</v>
      </c>
      <c r="D280" s="456">
        <f>LN_IA4+LN_IF4+LN_IG3</f>
        <v>22207</v>
      </c>
      <c r="E280" s="456">
        <f t="shared" si="28"/>
        <v>385</v>
      </c>
      <c r="F280" s="503">
        <f t="shared" si="29"/>
        <v>1.7642745852809092E-2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1.4953870680964165</v>
      </c>
      <c r="D281" s="525">
        <f>IF(LN_IIB4=0,0,LN_IIB6/LN_IIB4)</f>
        <v>1.5005348853964966</v>
      </c>
      <c r="E281" s="525">
        <f t="shared" si="28"/>
        <v>5.1478173000800709E-3</v>
      </c>
      <c r="F281" s="503">
        <f t="shared" si="29"/>
        <v>3.4424647704310364E-3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32632.336600000002</v>
      </c>
      <c r="D282" s="463">
        <f>LN_IA6+LN_IF6+LN_IG5</f>
        <v>33322.378199999999</v>
      </c>
      <c r="E282" s="463">
        <f t="shared" si="28"/>
        <v>690.04159999999683</v>
      </c>
      <c r="F282" s="503">
        <f t="shared" si="29"/>
        <v>2.114594515429204E-2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428692499</v>
      </c>
      <c r="D283" s="448">
        <f>LN_IA11+LN_IF14+LN_IG9</f>
        <v>475814760</v>
      </c>
      <c r="E283" s="448">
        <f t="shared" si="28"/>
        <v>47122261</v>
      </c>
      <c r="F283" s="503">
        <f t="shared" si="29"/>
        <v>0.1099208899384078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0.59774189934669875</v>
      </c>
      <c r="D284" s="453">
        <f>IF(D277=0,0,LN_IIB7/D277)</f>
        <v>0.59163678706551504</v>
      </c>
      <c r="E284" s="454">
        <f t="shared" si="28"/>
        <v>-6.1051122811837111E-3</v>
      </c>
      <c r="F284" s="458">
        <f t="shared" si="29"/>
        <v>-1.0213626128361231E-2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93258347</v>
      </c>
      <c r="D285" s="448">
        <f>LN_IA12+LN_IF15+LN_IG10</f>
        <v>97970855</v>
      </c>
      <c r="E285" s="448">
        <f t="shared" si="28"/>
        <v>4712508</v>
      </c>
      <c r="F285" s="503">
        <f t="shared" si="29"/>
        <v>5.0531755618615032E-2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0.21754135474154868</v>
      </c>
      <c r="D286" s="453">
        <f>IF(LN_IIB7=0,0,LN_IIB9/LN_IIB7)</f>
        <v>0.20590125241175788</v>
      </c>
      <c r="E286" s="454">
        <f t="shared" si="28"/>
        <v>-1.1640102329790791E-2</v>
      </c>
      <c r="F286" s="458">
        <f t="shared" si="29"/>
        <v>-5.3507538112097748E-2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1145879130</v>
      </c>
      <c r="D287" s="441">
        <f>D277+LN_IIB7</f>
        <v>1280049335</v>
      </c>
      <c r="E287" s="441">
        <f t="shared" si="28"/>
        <v>134170205</v>
      </c>
      <c r="F287" s="503">
        <f t="shared" si="29"/>
        <v>0.11708931726507664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359903337</v>
      </c>
      <c r="D288" s="441">
        <f>LN_IIB2+LN_IIB9</f>
        <v>355280087</v>
      </c>
      <c r="E288" s="441">
        <f t="shared" si="28"/>
        <v>-4623250</v>
      </c>
      <c r="F288" s="503">
        <f t="shared" si="29"/>
        <v>-1.2845810318229975E-2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0.31408490439999548</v>
      </c>
      <c r="D289" s="453">
        <f>IF(LN_IIB11=0,0,LN_IIB12/LN_IIB11)</f>
        <v>0.27755187029568668</v>
      </c>
      <c r="E289" s="454">
        <f t="shared" si="28"/>
        <v>-3.6533034104308804E-2</v>
      </c>
      <c r="F289" s="458">
        <f t="shared" si="29"/>
        <v>-0.11631579102503765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116184</v>
      </c>
      <c r="D290" s="508">
        <f>LN_IA8+LN_IF11+LN_IG6</f>
        <v>118633</v>
      </c>
      <c r="E290" s="528">
        <f t="shared" si="28"/>
        <v>2449</v>
      </c>
      <c r="F290" s="458">
        <f t="shared" si="29"/>
        <v>2.1078633891069339E-2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785975793</v>
      </c>
      <c r="D291" s="516">
        <f>LN_IIB11-LN_IIB12</f>
        <v>924769248</v>
      </c>
      <c r="E291" s="441">
        <f t="shared" si="28"/>
        <v>138793455</v>
      </c>
      <c r="F291" s="503">
        <f t="shared" si="29"/>
        <v>0.17658744230561818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5.5257196450472552</v>
      </c>
      <c r="D294" s="466">
        <f>IF(LN_IA4=0,0,LN_IA8/LN_IA4)</f>
        <v>5.4797841777030341</v>
      </c>
      <c r="E294" s="466">
        <f t="shared" ref="E294:E300" si="30">D294-C294</f>
        <v>-4.5935467344221159E-2</v>
      </c>
      <c r="F294" s="503">
        <f t="shared" ref="F294:F300" si="31">IF(C294=0,0,E294/C294)</f>
        <v>-8.3130289437310621E-3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4.0188550879580136</v>
      </c>
      <c r="D295" s="466">
        <f>IF(LN_IB4=0,0,(LN_IB10)/(LN_IB4))</f>
        <v>4.0104340978442758</v>
      </c>
      <c r="E295" s="466">
        <f t="shared" si="30"/>
        <v>-8.4209901137377585E-3</v>
      </c>
      <c r="F295" s="503">
        <f t="shared" si="31"/>
        <v>-2.0953704299939008E-3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3.1581027667984189</v>
      </c>
      <c r="D296" s="466">
        <f>IF(LN_IC4=0,0,LN_IC11/LN_IC4)</f>
        <v>3.3131672597864767</v>
      </c>
      <c r="E296" s="466">
        <f t="shared" si="30"/>
        <v>0.1550644929880578</v>
      </c>
      <c r="F296" s="503">
        <f t="shared" si="31"/>
        <v>4.9100521559422558E-2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4.9852642276422765</v>
      </c>
      <c r="D297" s="466">
        <f>IF(LN_ID4=0,0,LN_ID11/LN_ID4)</f>
        <v>5.104747359042892</v>
      </c>
      <c r="E297" s="466">
        <f t="shared" si="30"/>
        <v>0.11948313140061551</v>
      </c>
      <c r="F297" s="503">
        <f t="shared" si="31"/>
        <v>2.3967261502029488E-2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3.9101123595505616</v>
      </c>
      <c r="D299" s="466">
        <f>IF(LN_IG3=0,0,LN_IG6/LN_IG3)</f>
        <v>4.0886075949367084</v>
      </c>
      <c r="E299" s="466">
        <f t="shared" si="30"/>
        <v>0.17849523538614687</v>
      </c>
      <c r="F299" s="503">
        <f t="shared" si="31"/>
        <v>4.5649643532664E-2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4.9059200896888919</v>
      </c>
      <c r="D300" s="466">
        <f>IF(LN_IIA4=0,0,LN_IIA14/LN_IIA4)</f>
        <v>4.9241487981214851</v>
      </c>
      <c r="E300" s="466">
        <f t="shared" si="30"/>
        <v>1.8228708432593166E-2</v>
      </c>
      <c r="F300" s="503">
        <f t="shared" si="31"/>
        <v>3.7156553917186076E-3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1757658330</v>
      </c>
      <c r="D304" s="441">
        <f>LN_IIA11</f>
        <v>1930957096</v>
      </c>
      <c r="E304" s="441">
        <f t="shared" ref="E304:E316" si="32">D304-C304</f>
        <v>173298766</v>
      </c>
      <c r="F304" s="449">
        <f>IF(C304=0,0,E304/C304)</f>
        <v>9.8596389891088793E-2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785975793</v>
      </c>
      <c r="D305" s="441">
        <f>LN_IIB14</f>
        <v>924769248</v>
      </c>
      <c r="E305" s="441">
        <f t="shared" si="32"/>
        <v>138793455</v>
      </c>
      <c r="F305" s="449">
        <f>IF(C305=0,0,E305/C305)</f>
        <v>0.17658744230561818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24739537</v>
      </c>
      <c r="D306" s="441">
        <f>LN_IH6</f>
        <v>26014591</v>
      </c>
      <c r="E306" s="441">
        <f t="shared" si="32"/>
        <v>1275054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272041534</v>
      </c>
      <c r="D307" s="441">
        <f>LN_IB32-LN_IB33</f>
        <v>287698909</v>
      </c>
      <c r="E307" s="441">
        <f t="shared" si="32"/>
        <v>15657375</v>
      </c>
      <c r="F307" s="449">
        <f t="shared" ref="F307:F316" si="33">IF(C307=0,0,E307/C307)</f>
        <v>5.7555090098852332E-2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13739767</v>
      </c>
      <c r="D308" s="441">
        <v>15250142</v>
      </c>
      <c r="E308" s="441">
        <f t="shared" si="32"/>
        <v>1510375</v>
      </c>
      <c r="F308" s="449">
        <f t="shared" si="33"/>
        <v>0.10992726441430921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1096496631</v>
      </c>
      <c r="D309" s="441">
        <f>LN_III2+LN_III3+LN_III4+LN_III5</f>
        <v>1253732890</v>
      </c>
      <c r="E309" s="441">
        <f t="shared" si="32"/>
        <v>157236259</v>
      </c>
      <c r="F309" s="449">
        <f t="shared" si="33"/>
        <v>0.14339876161461731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661161699</v>
      </c>
      <c r="D310" s="441">
        <f>LN_III1-LN_III6</f>
        <v>677224206</v>
      </c>
      <c r="E310" s="441">
        <f t="shared" si="32"/>
        <v>16062507</v>
      </c>
      <c r="F310" s="449">
        <f t="shared" si="33"/>
        <v>2.4294370082680788E-2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661161699</v>
      </c>
      <c r="D312" s="441">
        <f>LN_III7+LN_III8</f>
        <v>677224206</v>
      </c>
      <c r="E312" s="441">
        <f t="shared" si="32"/>
        <v>16062507</v>
      </c>
      <c r="F312" s="449">
        <f t="shared" si="33"/>
        <v>2.4294370082680788E-2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0.37616053570548036</v>
      </c>
      <c r="D313" s="532">
        <f>IF(LN_III1=0,0,LN_III9/LN_III1)</f>
        <v>0.35071944757492424</v>
      </c>
      <c r="E313" s="532">
        <f t="shared" si="32"/>
        <v>-2.5441088130556122E-2</v>
      </c>
      <c r="F313" s="449">
        <f t="shared" si="33"/>
        <v>-6.7633591819625499E-2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9306037.4910255522</v>
      </c>
      <c r="D314" s="441">
        <f>D313*LN_III5</f>
        <v>9123822.9844075963</v>
      </c>
      <c r="E314" s="441">
        <f t="shared" si="32"/>
        <v>-182214.50661795586</v>
      </c>
      <c r="F314" s="449">
        <f t="shared" si="33"/>
        <v>-1.9580246350143955E-2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45934991.322674036</v>
      </c>
      <c r="D315" s="441">
        <f>D313*LN_IH8-LN_IH9</f>
        <v>54785293.675825804</v>
      </c>
      <c r="E315" s="441">
        <f t="shared" si="32"/>
        <v>8850302.3531517684</v>
      </c>
      <c r="F315" s="449">
        <f t="shared" si="33"/>
        <v>0.19267016490722963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55241028.813699588</v>
      </c>
      <c r="D318" s="441">
        <f>D314+D315+D316</f>
        <v>63909116.660233401</v>
      </c>
      <c r="E318" s="441">
        <f>D318-C318</f>
        <v>8668087.8465338126</v>
      </c>
      <c r="F318" s="449">
        <f>IF(C318=0,0,E318/C318)</f>
        <v>0.1569139466204901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19316610.982131891</v>
      </c>
      <c r="D322" s="441">
        <f>LN_ID22</f>
        <v>19961412.143457975</v>
      </c>
      <c r="E322" s="441">
        <f>LN_IV2-C322</f>
        <v>644801.16132608429</v>
      </c>
      <c r="F322" s="449">
        <f>IF(C322=0,0,E322/C322)</f>
        <v>3.3380656778900474E-2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10603754.537660422</v>
      </c>
      <c r="D324" s="441">
        <f>LN_IC10+LN_IC22</f>
        <v>12183426.797311923</v>
      </c>
      <c r="E324" s="441">
        <f>LN_IV1-C324</f>
        <v>1579672.2596515007</v>
      </c>
      <c r="F324" s="449">
        <f>IF(C324=0,0,E324/C324)</f>
        <v>0.1489729184168794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29920365.519792311</v>
      </c>
      <c r="D325" s="516">
        <f>LN_IV1+LN_IV2+LN_IV3</f>
        <v>32144838.940769896</v>
      </c>
      <c r="E325" s="441">
        <f>LN_IV4-C325</f>
        <v>2224473.420977585</v>
      </c>
      <c r="F325" s="449">
        <f>IF(C325=0,0,E325/C325)</f>
        <v>7.4346465436931131E-2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24103767</v>
      </c>
      <c r="D329" s="518">
        <v>28070395</v>
      </c>
      <c r="E329" s="518">
        <f t="shared" ref="E329:E335" si="34">D329-C329</f>
        <v>3966628</v>
      </c>
      <c r="F329" s="542">
        <f t="shared" ref="F329:F335" si="35">IF(C329=0,0,E329/C329)</f>
        <v>0.16456465082822946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4798052</v>
      </c>
      <c r="D330" s="516">
        <v>-23042415</v>
      </c>
      <c r="E330" s="518">
        <f t="shared" si="34"/>
        <v>-27840467</v>
      </c>
      <c r="F330" s="543">
        <f t="shared" si="35"/>
        <v>-5.8024521201520951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645465144</v>
      </c>
      <c r="D331" s="516">
        <v>635118552</v>
      </c>
      <c r="E331" s="518">
        <f t="shared" si="34"/>
        <v>-10346592</v>
      </c>
      <c r="F331" s="542">
        <f t="shared" si="35"/>
        <v>-1.6029668055940756E-2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57636808</v>
      </c>
      <c r="D332" s="516">
        <v>59718025</v>
      </c>
      <c r="E332" s="518">
        <f t="shared" si="34"/>
        <v>2081217</v>
      </c>
      <c r="F332" s="543">
        <f t="shared" si="35"/>
        <v>3.6109164823978454E-2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1815295138</v>
      </c>
      <c r="D333" s="516">
        <v>1990675124</v>
      </c>
      <c r="E333" s="518">
        <f t="shared" si="34"/>
        <v>175379986</v>
      </c>
      <c r="F333" s="542">
        <f t="shared" si="35"/>
        <v>9.6612381275490419E-2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12839126</v>
      </c>
      <c r="D334" s="516">
        <v>13601304</v>
      </c>
      <c r="E334" s="516">
        <f t="shared" si="34"/>
        <v>762178</v>
      </c>
      <c r="F334" s="543">
        <f t="shared" si="35"/>
        <v>5.9363698120884552E-2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37578662</v>
      </c>
      <c r="D335" s="516">
        <v>39615895</v>
      </c>
      <c r="E335" s="516">
        <f t="shared" si="34"/>
        <v>2037233</v>
      </c>
      <c r="F335" s="542">
        <f t="shared" si="35"/>
        <v>5.4212494313927412E-2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274882321</v>
      </c>
      <c r="D14" s="589">
        <v>297747099</v>
      </c>
      <c r="E14" s="590">
        <f t="shared" ref="E14:E22" si="0">D14-C14</f>
        <v>22864778</v>
      </c>
    </row>
    <row r="15" spans="1:5" s="421" customFormat="1" x14ac:dyDescent="0.2">
      <c r="A15" s="588">
        <v>2</v>
      </c>
      <c r="B15" s="587" t="s">
        <v>635</v>
      </c>
      <c r="C15" s="589">
        <v>520277093</v>
      </c>
      <c r="D15" s="591">
        <v>580447200</v>
      </c>
      <c r="E15" s="590">
        <f t="shared" si="0"/>
        <v>60170107</v>
      </c>
    </row>
    <row r="16" spans="1:5" s="421" customFormat="1" x14ac:dyDescent="0.2">
      <c r="A16" s="588">
        <v>3</v>
      </c>
      <c r="B16" s="587" t="s">
        <v>777</v>
      </c>
      <c r="C16" s="589">
        <v>194608438</v>
      </c>
      <c r="D16" s="591">
        <v>221760677</v>
      </c>
      <c r="E16" s="590">
        <f t="shared" si="0"/>
        <v>27152239</v>
      </c>
    </row>
    <row r="17" spans="1:5" s="421" customFormat="1" x14ac:dyDescent="0.2">
      <c r="A17" s="588">
        <v>4</v>
      </c>
      <c r="B17" s="587" t="s">
        <v>115</v>
      </c>
      <c r="C17" s="589">
        <v>194608438</v>
      </c>
      <c r="D17" s="591">
        <v>221760677</v>
      </c>
      <c r="E17" s="590">
        <f t="shared" si="0"/>
        <v>27152239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2301100</v>
      </c>
      <c r="D19" s="591">
        <v>2026698</v>
      </c>
      <c r="E19" s="590">
        <f t="shared" si="0"/>
        <v>-274402</v>
      </c>
    </row>
    <row r="20" spans="1:5" s="421" customFormat="1" x14ac:dyDescent="0.2">
      <c r="A20" s="588">
        <v>7</v>
      </c>
      <c r="B20" s="587" t="s">
        <v>758</v>
      </c>
      <c r="C20" s="589">
        <v>6293659</v>
      </c>
      <c r="D20" s="591">
        <v>6566137</v>
      </c>
      <c r="E20" s="590">
        <f t="shared" si="0"/>
        <v>272478</v>
      </c>
    </row>
    <row r="21" spans="1:5" s="421" customFormat="1" x14ac:dyDescent="0.2">
      <c r="A21" s="588"/>
      <c r="B21" s="592" t="s">
        <v>778</v>
      </c>
      <c r="C21" s="593">
        <f>SUM(C15+C16+C19)</f>
        <v>717186631</v>
      </c>
      <c r="D21" s="593">
        <f>SUM(D15+D16+D19)</f>
        <v>804234575</v>
      </c>
      <c r="E21" s="593">
        <f t="shared" si="0"/>
        <v>87047944</v>
      </c>
    </row>
    <row r="22" spans="1:5" s="421" customFormat="1" x14ac:dyDescent="0.2">
      <c r="A22" s="588"/>
      <c r="B22" s="592" t="s">
        <v>465</v>
      </c>
      <c r="C22" s="593">
        <f>SUM(C14+C21)</f>
        <v>992068952</v>
      </c>
      <c r="D22" s="593">
        <f>SUM(D14+D21)</f>
        <v>1101981674</v>
      </c>
      <c r="E22" s="593">
        <f t="shared" si="0"/>
        <v>109912722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336896879</v>
      </c>
      <c r="D25" s="589">
        <v>353160662</v>
      </c>
      <c r="E25" s="590">
        <f t="shared" ref="E25:E33" si="1">D25-C25</f>
        <v>16263783</v>
      </c>
    </row>
    <row r="26" spans="1:5" s="421" customFormat="1" x14ac:dyDescent="0.2">
      <c r="A26" s="588">
        <v>2</v>
      </c>
      <c r="B26" s="587" t="s">
        <v>635</v>
      </c>
      <c r="C26" s="589">
        <v>248704949</v>
      </c>
      <c r="D26" s="591">
        <v>271008656</v>
      </c>
      <c r="E26" s="590">
        <f t="shared" si="1"/>
        <v>22303707</v>
      </c>
    </row>
    <row r="27" spans="1:5" s="421" customFormat="1" x14ac:dyDescent="0.2">
      <c r="A27" s="588">
        <v>3</v>
      </c>
      <c r="B27" s="587" t="s">
        <v>777</v>
      </c>
      <c r="C27" s="589">
        <v>177473240</v>
      </c>
      <c r="D27" s="591">
        <v>202212572</v>
      </c>
      <c r="E27" s="590">
        <f t="shared" si="1"/>
        <v>24739332</v>
      </c>
    </row>
    <row r="28" spans="1:5" s="421" customFormat="1" x14ac:dyDescent="0.2">
      <c r="A28" s="588">
        <v>4</v>
      </c>
      <c r="B28" s="587" t="s">
        <v>115</v>
      </c>
      <c r="C28" s="589">
        <v>177473240</v>
      </c>
      <c r="D28" s="591">
        <v>202212572</v>
      </c>
      <c r="E28" s="590">
        <f t="shared" si="1"/>
        <v>24739332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2514310</v>
      </c>
      <c r="D30" s="591">
        <v>2593532</v>
      </c>
      <c r="E30" s="590">
        <f t="shared" si="1"/>
        <v>79222</v>
      </c>
    </row>
    <row r="31" spans="1:5" s="421" customFormat="1" x14ac:dyDescent="0.2">
      <c r="A31" s="588">
        <v>7</v>
      </c>
      <c r="B31" s="587" t="s">
        <v>758</v>
      </c>
      <c r="C31" s="590">
        <v>26942117</v>
      </c>
      <c r="D31" s="594">
        <v>28175261</v>
      </c>
      <c r="E31" s="590">
        <f t="shared" si="1"/>
        <v>1233144</v>
      </c>
    </row>
    <row r="32" spans="1:5" s="421" customFormat="1" x14ac:dyDescent="0.2">
      <c r="A32" s="588"/>
      <c r="B32" s="592" t="s">
        <v>780</v>
      </c>
      <c r="C32" s="593">
        <f>SUM(C26+C27+C30)</f>
        <v>428692499</v>
      </c>
      <c r="D32" s="593">
        <f>SUM(D26+D27+D30)</f>
        <v>475814760</v>
      </c>
      <c r="E32" s="593">
        <f t="shared" si="1"/>
        <v>47122261</v>
      </c>
    </row>
    <row r="33" spans="1:5" s="421" customFormat="1" x14ac:dyDescent="0.2">
      <c r="A33" s="588"/>
      <c r="B33" s="592" t="s">
        <v>467</v>
      </c>
      <c r="C33" s="593">
        <f>SUM(C25+C32)</f>
        <v>765589378</v>
      </c>
      <c r="D33" s="593">
        <f>SUM(D25+D32)</f>
        <v>828975422</v>
      </c>
      <c r="E33" s="593">
        <f t="shared" si="1"/>
        <v>63386044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611779200</v>
      </c>
      <c r="D36" s="590">
        <f t="shared" si="2"/>
        <v>650907761</v>
      </c>
      <c r="E36" s="590">
        <f t="shared" ref="E36:E44" si="3">D36-C36</f>
        <v>39128561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768982042</v>
      </c>
      <c r="D37" s="590">
        <f t="shared" si="2"/>
        <v>851455856</v>
      </c>
      <c r="E37" s="590">
        <f t="shared" si="3"/>
        <v>82473814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372081678</v>
      </c>
      <c r="D38" s="590">
        <f t="shared" si="2"/>
        <v>423973249</v>
      </c>
      <c r="E38" s="590">
        <f t="shared" si="3"/>
        <v>51891571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372081678</v>
      </c>
      <c r="D39" s="590">
        <f t="shared" si="2"/>
        <v>423973249</v>
      </c>
      <c r="E39" s="590">
        <f t="shared" si="3"/>
        <v>51891571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4815410</v>
      </c>
      <c r="D41" s="590">
        <f t="shared" si="2"/>
        <v>4620230</v>
      </c>
      <c r="E41" s="590">
        <f t="shared" si="3"/>
        <v>-195180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33235776</v>
      </c>
      <c r="D42" s="590">
        <f t="shared" si="2"/>
        <v>34741398</v>
      </c>
      <c r="E42" s="590">
        <f t="shared" si="3"/>
        <v>1505622</v>
      </c>
    </row>
    <row r="43" spans="1:5" s="421" customFormat="1" x14ac:dyDescent="0.2">
      <c r="A43" s="588"/>
      <c r="B43" s="592" t="s">
        <v>788</v>
      </c>
      <c r="C43" s="593">
        <f>SUM(C37+C38+C41)</f>
        <v>1145879130</v>
      </c>
      <c r="D43" s="593">
        <f>SUM(D37+D38+D41)</f>
        <v>1280049335</v>
      </c>
      <c r="E43" s="593">
        <f t="shared" si="3"/>
        <v>134170205</v>
      </c>
    </row>
    <row r="44" spans="1:5" s="421" customFormat="1" x14ac:dyDescent="0.2">
      <c r="A44" s="588"/>
      <c r="B44" s="592" t="s">
        <v>725</v>
      </c>
      <c r="C44" s="593">
        <f>SUM(C36+C43)</f>
        <v>1757658330</v>
      </c>
      <c r="D44" s="593">
        <f>SUM(D36+D43)</f>
        <v>1930957096</v>
      </c>
      <c r="E44" s="593">
        <f t="shared" si="3"/>
        <v>173298766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156765911</v>
      </c>
      <c r="D47" s="589">
        <v>161294879</v>
      </c>
      <c r="E47" s="590">
        <f t="shared" ref="E47:E55" si="4">D47-C47</f>
        <v>4528968</v>
      </c>
    </row>
    <row r="48" spans="1:5" s="421" customFormat="1" x14ac:dyDescent="0.2">
      <c r="A48" s="588">
        <v>2</v>
      </c>
      <c r="B48" s="587" t="s">
        <v>635</v>
      </c>
      <c r="C48" s="589">
        <v>211197587</v>
      </c>
      <c r="D48" s="591">
        <v>203609796</v>
      </c>
      <c r="E48" s="590">
        <f t="shared" si="4"/>
        <v>-7587791</v>
      </c>
    </row>
    <row r="49" spans="1:5" s="421" customFormat="1" x14ac:dyDescent="0.2">
      <c r="A49" s="588">
        <v>3</v>
      </c>
      <c r="B49" s="587" t="s">
        <v>777</v>
      </c>
      <c r="C49" s="589">
        <v>55071571</v>
      </c>
      <c r="D49" s="591">
        <v>52943114</v>
      </c>
      <c r="E49" s="590">
        <f t="shared" si="4"/>
        <v>-2128457</v>
      </c>
    </row>
    <row r="50" spans="1:5" s="421" customFormat="1" x14ac:dyDescent="0.2">
      <c r="A50" s="588">
        <v>4</v>
      </c>
      <c r="B50" s="587" t="s">
        <v>115</v>
      </c>
      <c r="C50" s="589">
        <v>55071571</v>
      </c>
      <c r="D50" s="591">
        <v>52943114</v>
      </c>
      <c r="E50" s="590">
        <f t="shared" si="4"/>
        <v>-2128457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375832</v>
      </c>
      <c r="D52" s="591">
        <v>756322</v>
      </c>
      <c r="E52" s="590">
        <f t="shared" si="4"/>
        <v>380490</v>
      </c>
    </row>
    <row r="53" spans="1:5" s="421" customFormat="1" x14ac:dyDescent="0.2">
      <c r="A53" s="588">
        <v>7</v>
      </c>
      <c r="B53" s="587" t="s">
        <v>758</v>
      </c>
      <c r="C53" s="589">
        <v>232591</v>
      </c>
      <c r="D53" s="591">
        <v>272142</v>
      </c>
      <c r="E53" s="590">
        <f t="shared" si="4"/>
        <v>39551</v>
      </c>
    </row>
    <row r="54" spans="1:5" s="421" customFormat="1" x14ac:dyDescent="0.2">
      <c r="A54" s="588"/>
      <c r="B54" s="592" t="s">
        <v>790</v>
      </c>
      <c r="C54" s="593">
        <f>SUM(C48+C49+C52)</f>
        <v>266644990</v>
      </c>
      <c r="D54" s="593">
        <f>SUM(D48+D49+D52)</f>
        <v>257309232</v>
      </c>
      <c r="E54" s="593">
        <f t="shared" si="4"/>
        <v>-9335758</v>
      </c>
    </row>
    <row r="55" spans="1:5" s="421" customFormat="1" x14ac:dyDescent="0.2">
      <c r="A55" s="588"/>
      <c r="B55" s="592" t="s">
        <v>466</v>
      </c>
      <c r="C55" s="593">
        <f>SUM(C47+C54)</f>
        <v>423410901</v>
      </c>
      <c r="D55" s="593">
        <f>SUM(D47+D54)</f>
        <v>418604111</v>
      </c>
      <c r="E55" s="593">
        <f t="shared" si="4"/>
        <v>-4806790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123997843</v>
      </c>
      <c r="D58" s="589">
        <v>141586007</v>
      </c>
      <c r="E58" s="590">
        <f t="shared" ref="E58:E66" si="5">D58-C58</f>
        <v>17588164</v>
      </c>
    </row>
    <row r="59" spans="1:5" s="421" customFormat="1" x14ac:dyDescent="0.2">
      <c r="A59" s="588">
        <v>2</v>
      </c>
      <c r="B59" s="587" t="s">
        <v>635</v>
      </c>
      <c r="C59" s="589">
        <v>53783812</v>
      </c>
      <c r="D59" s="591">
        <v>56665166</v>
      </c>
      <c r="E59" s="590">
        <f t="shared" si="5"/>
        <v>2881354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38955881</v>
      </c>
      <c r="D60" s="591">
        <f>D61+D62</f>
        <v>40967256</v>
      </c>
      <c r="E60" s="590">
        <f t="shared" si="5"/>
        <v>2011375</v>
      </c>
    </row>
    <row r="61" spans="1:5" s="421" customFormat="1" x14ac:dyDescent="0.2">
      <c r="A61" s="588">
        <v>4</v>
      </c>
      <c r="B61" s="587" t="s">
        <v>115</v>
      </c>
      <c r="C61" s="589">
        <v>38955881</v>
      </c>
      <c r="D61" s="591">
        <v>40967256</v>
      </c>
      <c r="E61" s="590">
        <f t="shared" si="5"/>
        <v>2011375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518654</v>
      </c>
      <c r="D63" s="591">
        <v>338433</v>
      </c>
      <c r="E63" s="590">
        <f t="shared" si="5"/>
        <v>-180221</v>
      </c>
    </row>
    <row r="64" spans="1:5" s="421" customFormat="1" x14ac:dyDescent="0.2">
      <c r="A64" s="588">
        <v>7</v>
      </c>
      <c r="B64" s="587" t="s">
        <v>758</v>
      </c>
      <c r="C64" s="589">
        <v>743821</v>
      </c>
      <c r="D64" s="591">
        <v>670219</v>
      </c>
      <c r="E64" s="590">
        <f t="shared" si="5"/>
        <v>-73602</v>
      </c>
    </row>
    <row r="65" spans="1:5" s="421" customFormat="1" x14ac:dyDescent="0.2">
      <c r="A65" s="588"/>
      <c r="B65" s="592" t="s">
        <v>792</v>
      </c>
      <c r="C65" s="593">
        <f>SUM(C59+C60+C63)</f>
        <v>93258347</v>
      </c>
      <c r="D65" s="593">
        <f>SUM(D59+D60+D63)</f>
        <v>97970855</v>
      </c>
      <c r="E65" s="593">
        <f t="shared" si="5"/>
        <v>4712508</v>
      </c>
    </row>
    <row r="66" spans="1:5" s="421" customFormat="1" x14ac:dyDescent="0.2">
      <c r="A66" s="588"/>
      <c r="B66" s="592" t="s">
        <v>468</v>
      </c>
      <c r="C66" s="593">
        <f>SUM(C58+C65)</f>
        <v>217256190</v>
      </c>
      <c r="D66" s="593">
        <f>SUM(D58+D65)</f>
        <v>239556862</v>
      </c>
      <c r="E66" s="593">
        <f t="shared" si="5"/>
        <v>22300672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280763754</v>
      </c>
      <c r="D69" s="590">
        <f t="shared" si="6"/>
        <v>302880886</v>
      </c>
      <c r="E69" s="590">
        <f t="shared" ref="E69:E77" si="7">D69-C69</f>
        <v>22117132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264981399</v>
      </c>
      <c r="D70" s="590">
        <f t="shared" si="6"/>
        <v>260274962</v>
      </c>
      <c r="E70" s="590">
        <f t="shared" si="7"/>
        <v>-4706437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94027452</v>
      </c>
      <c r="D71" s="590">
        <f t="shared" si="6"/>
        <v>93910370</v>
      </c>
      <c r="E71" s="590">
        <f t="shared" si="7"/>
        <v>-117082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94027452</v>
      </c>
      <c r="D72" s="590">
        <f t="shared" si="6"/>
        <v>93910370</v>
      </c>
      <c r="E72" s="590">
        <f t="shared" si="7"/>
        <v>-117082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894486</v>
      </c>
      <c r="D74" s="590">
        <f t="shared" si="6"/>
        <v>1094755</v>
      </c>
      <c r="E74" s="590">
        <f t="shared" si="7"/>
        <v>200269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976412</v>
      </c>
      <c r="D75" s="590">
        <f t="shared" si="6"/>
        <v>942361</v>
      </c>
      <c r="E75" s="590">
        <f t="shared" si="7"/>
        <v>-34051</v>
      </c>
    </row>
    <row r="76" spans="1:5" s="421" customFormat="1" x14ac:dyDescent="0.2">
      <c r="A76" s="588"/>
      <c r="B76" s="592" t="s">
        <v>793</v>
      </c>
      <c r="C76" s="593">
        <f>SUM(C70+C71+C74)</f>
        <v>359903337</v>
      </c>
      <c r="D76" s="593">
        <f>SUM(D70+D71+D74)</f>
        <v>355280087</v>
      </c>
      <c r="E76" s="593">
        <f t="shared" si="7"/>
        <v>-4623250</v>
      </c>
    </row>
    <row r="77" spans="1:5" s="421" customFormat="1" x14ac:dyDescent="0.2">
      <c r="A77" s="588"/>
      <c r="B77" s="592" t="s">
        <v>726</v>
      </c>
      <c r="C77" s="593">
        <f>SUM(C69+C76)</f>
        <v>640667091</v>
      </c>
      <c r="D77" s="593">
        <f>SUM(D69+D76)</f>
        <v>658160973</v>
      </c>
      <c r="E77" s="593">
        <f t="shared" si="7"/>
        <v>17493882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0.15639121455419611</v>
      </c>
      <c r="D83" s="599">
        <f t="shared" si="8"/>
        <v>0.15419664145660542</v>
      </c>
      <c r="E83" s="599">
        <f t="shared" ref="E83:E91" si="9">D83-C83</f>
        <v>-2.1945730975906907E-3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0.29600581871904535</v>
      </c>
      <c r="D84" s="599">
        <f t="shared" si="8"/>
        <v>0.30060077523338197</v>
      </c>
      <c r="E84" s="599">
        <f t="shared" si="9"/>
        <v>4.5949565143366122E-3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0.11072028885158812</v>
      </c>
      <c r="D85" s="599">
        <f t="shared" si="8"/>
        <v>0.11484495303359138</v>
      </c>
      <c r="E85" s="599">
        <f t="shared" si="9"/>
        <v>4.1246641820032598E-3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0.11072028885158812</v>
      </c>
      <c r="D86" s="599">
        <f t="shared" si="8"/>
        <v>0.11484495303359138</v>
      </c>
      <c r="E86" s="599">
        <f t="shared" si="9"/>
        <v>4.1246641820032598E-3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1.3091850450821121E-3</v>
      </c>
      <c r="D88" s="599">
        <f t="shared" si="8"/>
        <v>1.0495820980167443E-3</v>
      </c>
      <c r="E88" s="599">
        <f t="shared" si="9"/>
        <v>-2.5960294706536781E-4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3.5807067235871719E-3</v>
      </c>
      <c r="D89" s="599">
        <f t="shared" si="8"/>
        <v>3.4004572207232513E-3</v>
      </c>
      <c r="E89" s="599">
        <f t="shared" si="9"/>
        <v>-1.8024950286392059E-4</v>
      </c>
    </row>
    <row r="90" spans="1:5" s="421" customFormat="1" x14ac:dyDescent="0.2">
      <c r="A90" s="588"/>
      <c r="B90" s="592" t="s">
        <v>796</v>
      </c>
      <c r="C90" s="600">
        <f>SUM(C84+C85+C88)</f>
        <v>0.40803529261571558</v>
      </c>
      <c r="D90" s="600">
        <f>SUM(D84+D85+D88)</f>
        <v>0.4164953103649901</v>
      </c>
      <c r="E90" s="601">
        <f t="shared" si="9"/>
        <v>8.4600177492745177E-3</v>
      </c>
    </row>
    <row r="91" spans="1:5" s="421" customFormat="1" x14ac:dyDescent="0.2">
      <c r="A91" s="588"/>
      <c r="B91" s="592" t="s">
        <v>797</v>
      </c>
      <c r="C91" s="600">
        <f>SUM(C83+C90)</f>
        <v>0.56442650716991172</v>
      </c>
      <c r="D91" s="600">
        <f>SUM(D83+D90)</f>
        <v>0.57069195182159549</v>
      </c>
      <c r="E91" s="601">
        <f t="shared" si="9"/>
        <v>6.2654446516837714E-3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0.19167370202148445</v>
      </c>
      <c r="D95" s="599">
        <f t="shared" si="10"/>
        <v>0.18289410092620723</v>
      </c>
      <c r="E95" s="599">
        <f t="shared" ref="E95:E103" si="11">D95-C95</f>
        <v>-8.7796010952772285E-3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0.14149789225531675</v>
      </c>
      <c r="D96" s="599">
        <f t="shared" si="10"/>
        <v>0.14034939282773168</v>
      </c>
      <c r="E96" s="599">
        <f t="shared" si="11"/>
        <v>-1.1484994275850757E-3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0.10097141006921408</v>
      </c>
      <c r="D97" s="599">
        <f t="shared" si="10"/>
        <v>0.10472142152660237</v>
      </c>
      <c r="E97" s="599">
        <f t="shared" si="11"/>
        <v>3.7500114573882914E-3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0.10097141006921408</v>
      </c>
      <c r="D98" s="599">
        <f t="shared" si="10"/>
        <v>0.10472142152660237</v>
      </c>
      <c r="E98" s="599">
        <f t="shared" si="11"/>
        <v>3.7500114573882914E-3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1.430488484073011E-3</v>
      </c>
      <c r="D100" s="599">
        <f t="shared" si="10"/>
        <v>1.3431328978632056E-3</v>
      </c>
      <c r="E100" s="599">
        <f t="shared" si="11"/>
        <v>-8.7355586209805422E-5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1.5328415392313477E-2</v>
      </c>
      <c r="D101" s="599">
        <f t="shared" si="10"/>
        <v>1.4591344913030631E-2</v>
      </c>
      <c r="E101" s="599">
        <f t="shared" si="11"/>
        <v>-7.3707047928284544E-4</v>
      </c>
    </row>
    <row r="102" spans="1:5" s="421" customFormat="1" x14ac:dyDescent="0.2">
      <c r="A102" s="588"/>
      <c r="B102" s="592" t="s">
        <v>799</v>
      </c>
      <c r="C102" s="600">
        <f>SUM(C96+C97+C100)</f>
        <v>0.24389979080860386</v>
      </c>
      <c r="D102" s="600">
        <f>SUM(D96+D97+D100)</f>
        <v>0.24641394725219723</v>
      </c>
      <c r="E102" s="601">
        <f t="shared" si="11"/>
        <v>2.5141564435933739E-3</v>
      </c>
    </row>
    <row r="103" spans="1:5" s="421" customFormat="1" x14ac:dyDescent="0.2">
      <c r="A103" s="588"/>
      <c r="B103" s="592" t="s">
        <v>800</v>
      </c>
      <c r="C103" s="600">
        <f>SUM(C95+C102)</f>
        <v>0.43557349283008828</v>
      </c>
      <c r="D103" s="600">
        <f>SUM(D95+D102)</f>
        <v>0.42930804817840446</v>
      </c>
      <c r="E103" s="601">
        <f t="shared" si="11"/>
        <v>-6.2654446516838269E-3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0.24469168652834705</v>
      </c>
      <c r="D109" s="599">
        <f t="shared" si="12"/>
        <v>0.24506904179503819</v>
      </c>
      <c r="E109" s="599">
        <f t="shared" ref="E109:E117" si="13">D109-C109</f>
        <v>3.7735526669113728E-4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0.32965262297201403</v>
      </c>
      <c r="D110" s="599">
        <f t="shared" si="12"/>
        <v>0.30936169774989075</v>
      </c>
      <c r="E110" s="599">
        <f t="shared" si="13"/>
        <v>-2.0290925222123279E-2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8.5959731307628531E-2</v>
      </c>
      <c r="D111" s="599">
        <f t="shared" si="12"/>
        <v>8.0440980507666779E-2</v>
      </c>
      <c r="E111" s="599">
        <f t="shared" si="13"/>
        <v>-5.5187507999617524E-3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8.5959731307628531E-2</v>
      </c>
      <c r="D112" s="599">
        <f t="shared" si="12"/>
        <v>8.0440980507666779E-2</v>
      </c>
      <c r="E112" s="599">
        <f t="shared" si="13"/>
        <v>-5.5187507999617524E-3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5.8662604226069107E-4</v>
      </c>
      <c r="D114" s="599">
        <f t="shared" si="12"/>
        <v>1.1491444054371179E-3</v>
      </c>
      <c r="E114" s="599">
        <f t="shared" si="13"/>
        <v>5.6251836317642678E-4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3.630450248926552E-4</v>
      </c>
      <c r="D115" s="599">
        <f t="shared" si="12"/>
        <v>4.134885098998418E-4</v>
      </c>
      <c r="E115" s="599">
        <f t="shared" si="13"/>
        <v>5.0443485007186598E-5</v>
      </c>
    </row>
    <row r="116" spans="1:5" s="421" customFormat="1" x14ac:dyDescent="0.2">
      <c r="A116" s="588"/>
      <c r="B116" s="592" t="s">
        <v>796</v>
      </c>
      <c r="C116" s="600">
        <f>SUM(C110+C111+C114)</f>
        <v>0.41619898032190322</v>
      </c>
      <c r="D116" s="600">
        <f>SUM(D110+D111+D114)</f>
        <v>0.39095182266299466</v>
      </c>
      <c r="E116" s="601">
        <f t="shared" si="13"/>
        <v>-2.5247157658908559E-2</v>
      </c>
    </row>
    <row r="117" spans="1:5" s="421" customFormat="1" x14ac:dyDescent="0.2">
      <c r="A117" s="588"/>
      <c r="B117" s="592" t="s">
        <v>797</v>
      </c>
      <c r="C117" s="600">
        <f>SUM(C109+C116)</f>
        <v>0.66089066685025033</v>
      </c>
      <c r="D117" s="600">
        <f>SUM(D109+D116)</f>
        <v>0.63602086445803285</v>
      </c>
      <c r="E117" s="601">
        <f t="shared" si="13"/>
        <v>-2.4869802392217477E-2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0.19354489210059955</v>
      </c>
      <c r="D121" s="599">
        <f t="shared" si="14"/>
        <v>0.21512367461508539</v>
      </c>
      <c r="E121" s="599">
        <f t="shared" ref="E121:E129" si="15">D121-C121</f>
        <v>2.1578782514485834E-2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8.3949702982324709E-2</v>
      </c>
      <c r="D122" s="599">
        <f t="shared" si="14"/>
        <v>8.6096210994874647E-2</v>
      </c>
      <c r="E122" s="599">
        <f t="shared" si="15"/>
        <v>2.1465080125499386E-3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6.080518501300701E-2</v>
      </c>
      <c r="D123" s="599">
        <f t="shared" si="14"/>
        <v>6.2245039862003484E-2</v>
      </c>
      <c r="E123" s="599">
        <f t="shared" si="15"/>
        <v>1.4398548489964746E-3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6.080518501300701E-2</v>
      </c>
      <c r="D124" s="599">
        <f t="shared" si="14"/>
        <v>6.2245039862003484E-2</v>
      </c>
      <c r="E124" s="599">
        <f t="shared" si="15"/>
        <v>1.4398548489964746E-3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8.0955305381839881E-4</v>
      </c>
      <c r="D126" s="599">
        <f t="shared" si="14"/>
        <v>5.1421007000364944E-4</v>
      </c>
      <c r="E126" s="599">
        <f t="shared" si="15"/>
        <v>-2.9534298381474937E-4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1.161010157145718E-3</v>
      </c>
      <c r="D127" s="599">
        <f t="shared" si="14"/>
        <v>1.0183207870029692E-3</v>
      </c>
      <c r="E127" s="599">
        <f t="shared" si="15"/>
        <v>-1.426893701427488E-4</v>
      </c>
    </row>
    <row r="128" spans="1:5" s="421" customFormat="1" x14ac:dyDescent="0.2">
      <c r="A128" s="588"/>
      <c r="B128" s="592" t="s">
        <v>799</v>
      </c>
      <c r="C128" s="600">
        <f>SUM(C122+C123+C126)</f>
        <v>0.14556444104915012</v>
      </c>
      <c r="D128" s="600">
        <f>SUM(D122+D123+D126)</f>
        <v>0.14885546092688179</v>
      </c>
      <c r="E128" s="601">
        <f t="shared" si="15"/>
        <v>3.2910198777316713E-3</v>
      </c>
    </row>
    <row r="129" spans="1:5" s="421" customFormat="1" x14ac:dyDescent="0.2">
      <c r="A129" s="588"/>
      <c r="B129" s="592" t="s">
        <v>800</v>
      </c>
      <c r="C129" s="600">
        <f>SUM(C121+C128)</f>
        <v>0.33910933314974967</v>
      </c>
      <c r="D129" s="600">
        <f>SUM(D121+D128)</f>
        <v>0.36397913554196715</v>
      </c>
      <c r="E129" s="601">
        <f t="shared" si="15"/>
        <v>2.4869802392217477E-2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10289</v>
      </c>
      <c r="D137" s="606">
        <v>10159</v>
      </c>
      <c r="E137" s="607">
        <f t="shared" ref="E137:E145" si="16">D137-C137</f>
        <v>-130</v>
      </c>
    </row>
    <row r="138" spans="1:5" s="421" customFormat="1" x14ac:dyDescent="0.2">
      <c r="A138" s="588">
        <v>2</v>
      </c>
      <c r="B138" s="587" t="s">
        <v>635</v>
      </c>
      <c r="C138" s="606">
        <v>13861</v>
      </c>
      <c r="D138" s="606">
        <v>14271</v>
      </c>
      <c r="E138" s="607">
        <f t="shared" si="16"/>
        <v>410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7872</v>
      </c>
      <c r="D139" s="606">
        <f>D140+D141</f>
        <v>7857</v>
      </c>
      <c r="E139" s="607">
        <f t="shared" si="16"/>
        <v>-15</v>
      </c>
    </row>
    <row r="140" spans="1:5" s="421" customFormat="1" x14ac:dyDescent="0.2">
      <c r="A140" s="588">
        <v>4</v>
      </c>
      <c r="B140" s="587" t="s">
        <v>115</v>
      </c>
      <c r="C140" s="606">
        <v>7872</v>
      </c>
      <c r="D140" s="606">
        <v>7857</v>
      </c>
      <c r="E140" s="607">
        <f t="shared" si="16"/>
        <v>-15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89</v>
      </c>
      <c r="D142" s="606">
        <v>79</v>
      </c>
      <c r="E142" s="607">
        <f t="shared" si="16"/>
        <v>-10</v>
      </c>
    </row>
    <row r="143" spans="1:5" s="421" customFormat="1" x14ac:dyDescent="0.2">
      <c r="A143" s="588">
        <v>7</v>
      </c>
      <c r="B143" s="587" t="s">
        <v>758</v>
      </c>
      <c r="C143" s="606">
        <v>253</v>
      </c>
      <c r="D143" s="606">
        <v>281</v>
      </c>
      <c r="E143" s="607">
        <f t="shared" si="16"/>
        <v>28</v>
      </c>
    </row>
    <row r="144" spans="1:5" s="421" customFormat="1" x14ac:dyDescent="0.2">
      <c r="A144" s="588"/>
      <c r="B144" s="592" t="s">
        <v>807</v>
      </c>
      <c r="C144" s="608">
        <f>SUM(C138+C139+C142)</f>
        <v>21822</v>
      </c>
      <c r="D144" s="608">
        <f>SUM(D138+D139+D142)</f>
        <v>22207</v>
      </c>
      <c r="E144" s="609">
        <f t="shared" si="16"/>
        <v>385</v>
      </c>
    </row>
    <row r="145" spans="1:5" s="421" customFormat="1" x14ac:dyDescent="0.2">
      <c r="A145" s="588"/>
      <c r="B145" s="592" t="s">
        <v>138</v>
      </c>
      <c r="C145" s="608">
        <f>SUM(C137+C144)</f>
        <v>32111</v>
      </c>
      <c r="D145" s="608">
        <f>SUM(D137+D144)</f>
        <v>32366</v>
      </c>
      <c r="E145" s="609">
        <f t="shared" si="16"/>
        <v>255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41350</v>
      </c>
      <c r="D149" s="610">
        <v>40742</v>
      </c>
      <c r="E149" s="607">
        <f t="shared" ref="E149:E157" si="17">D149-C149</f>
        <v>-608</v>
      </c>
    </row>
    <row r="150" spans="1:5" s="421" customFormat="1" x14ac:dyDescent="0.2">
      <c r="A150" s="588">
        <v>2</v>
      </c>
      <c r="B150" s="587" t="s">
        <v>635</v>
      </c>
      <c r="C150" s="610">
        <v>76592</v>
      </c>
      <c r="D150" s="610">
        <v>78202</v>
      </c>
      <c r="E150" s="607">
        <f t="shared" si="17"/>
        <v>1610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39244</v>
      </c>
      <c r="D151" s="610">
        <f>D152+D153</f>
        <v>40108</v>
      </c>
      <c r="E151" s="607">
        <f t="shared" si="17"/>
        <v>864</v>
      </c>
    </row>
    <row r="152" spans="1:5" s="421" customFormat="1" x14ac:dyDescent="0.2">
      <c r="A152" s="588">
        <v>4</v>
      </c>
      <c r="B152" s="587" t="s">
        <v>115</v>
      </c>
      <c r="C152" s="610">
        <v>39244</v>
      </c>
      <c r="D152" s="610">
        <v>40108</v>
      </c>
      <c r="E152" s="607">
        <f t="shared" si="17"/>
        <v>864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348</v>
      </c>
      <c r="D154" s="610">
        <v>323</v>
      </c>
      <c r="E154" s="607">
        <f t="shared" si="17"/>
        <v>-25</v>
      </c>
    </row>
    <row r="155" spans="1:5" s="421" customFormat="1" x14ac:dyDescent="0.2">
      <c r="A155" s="588">
        <v>7</v>
      </c>
      <c r="B155" s="587" t="s">
        <v>758</v>
      </c>
      <c r="C155" s="610">
        <v>799</v>
      </c>
      <c r="D155" s="610">
        <v>931</v>
      </c>
      <c r="E155" s="607">
        <f t="shared" si="17"/>
        <v>132</v>
      </c>
    </row>
    <row r="156" spans="1:5" s="421" customFormat="1" x14ac:dyDescent="0.2">
      <c r="A156" s="588"/>
      <c r="B156" s="592" t="s">
        <v>808</v>
      </c>
      <c r="C156" s="608">
        <f>SUM(C150+C151+C154)</f>
        <v>116184</v>
      </c>
      <c r="D156" s="608">
        <f>SUM(D150+D151+D154)</f>
        <v>118633</v>
      </c>
      <c r="E156" s="609">
        <f t="shared" si="17"/>
        <v>2449</v>
      </c>
    </row>
    <row r="157" spans="1:5" s="421" customFormat="1" x14ac:dyDescent="0.2">
      <c r="A157" s="588"/>
      <c r="B157" s="592" t="s">
        <v>140</v>
      </c>
      <c r="C157" s="608">
        <f>SUM(C149+C156)</f>
        <v>157534</v>
      </c>
      <c r="D157" s="608">
        <f>SUM(D149+D156)</f>
        <v>159375</v>
      </c>
      <c r="E157" s="609">
        <f t="shared" si="17"/>
        <v>1841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4.0188550879580136</v>
      </c>
      <c r="D161" s="612">
        <f t="shared" si="18"/>
        <v>4.0104340978442758</v>
      </c>
      <c r="E161" s="613">
        <f t="shared" ref="E161:E169" si="19">D161-C161</f>
        <v>-8.4209901137377585E-3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5.5257196450472552</v>
      </c>
      <c r="D162" s="612">
        <f t="shared" si="18"/>
        <v>5.4797841777030341</v>
      </c>
      <c r="E162" s="613">
        <f t="shared" si="19"/>
        <v>-4.5935467344221159E-2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4.9852642276422765</v>
      </c>
      <c r="D163" s="612">
        <f t="shared" si="18"/>
        <v>5.104747359042892</v>
      </c>
      <c r="E163" s="613">
        <f t="shared" si="19"/>
        <v>0.11948313140061551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4.9852642276422765</v>
      </c>
      <c r="D164" s="612">
        <f t="shared" si="18"/>
        <v>5.104747359042892</v>
      </c>
      <c r="E164" s="613">
        <f t="shared" si="19"/>
        <v>0.11948313140061551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3.9101123595505616</v>
      </c>
      <c r="D166" s="612">
        <f t="shared" si="18"/>
        <v>4.0886075949367084</v>
      </c>
      <c r="E166" s="613">
        <f t="shared" si="19"/>
        <v>0.17849523538614687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3.1581027667984189</v>
      </c>
      <c r="D167" s="612">
        <f t="shared" si="18"/>
        <v>3.3131672597864767</v>
      </c>
      <c r="E167" s="613">
        <f t="shared" si="19"/>
        <v>0.1550644929880578</v>
      </c>
    </row>
    <row r="168" spans="1:5" s="421" customFormat="1" x14ac:dyDescent="0.2">
      <c r="A168" s="588"/>
      <c r="B168" s="592" t="s">
        <v>810</v>
      </c>
      <c r="C168" s="614">
        <f t="shared" si="18"/>
        <v>5.3241682705526534</v>
      </c>
      <c r="D168" s="614">
        <f t="shared" si="18"/>
        <v>5.3421443688926917</v>
      </c>
      <c r="E168" s="615">
        <f t="shared" si="19"/>
        <v>1.7976098340038327E-2</v>
      </c>
    </row>
    <row r="169" spans="1:5" s="421" customFormat="1" x14ac:dyDescent="0.2">
      <c r="A169" s="588"/>
      <c r="B169" s="592" t="s">
        <v>744</v>
      </c>
      <c r="C169" s="614">
        <f t="shared" si="18"/>
        <v>4.9059200896888919</v>
      </c>
      <c r="D169" s="614">
        <f t="shared" si="18"/>
        <v>4.9241487981214851</v>
      </c>
      <c r="E169" s="615">
        <f t="shared" si="19"/>
        <v>1.8228708432593166E-2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1.4084000000000001</v>
      </c>
      <c r="D173" s="617">
        <f t="shared" si="20"/>
        <v>1.4196</v>
      </c>
      <c r="E173" s="618">
        <f t="shared" ref="E173:E181" si="21">D173-C173</f>
        <v>1.1199999999999877E-2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1.7150000000000001</v>
      </c>
      <c r="D174" s="617">
        <f t="shared" si="20"/>
        <v>1.6898</v>
      </c>
      <c r="E174" s="618">
        <f t="shared" si="21"/>
        <v>-2.5200000000000111E-2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1.1131000000000002</v>
      </c>
      <c r="D175" s="617">
        <f t="shared" si="20"/>
        <v>1.1608000000000001</v>
      </c>
      <c r="E175" s="618">
        <f t="shared" si="21"/>
        <v>4.7699999999999854E-2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1.1131000000000002</v>
      </c>
      <c r="D176" s="617">
        <f t="shared" si="20"/>
        <v>1.1608000000000001</v>
      </c>
      <c r="E176" s="618">
        <f t="shared" si="21"/>
        <v>4.7699999999999854E-2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1.1055999999999999</v>
      </c>
      <c r="D178" s="617">
        <f t="shared" si="20"/>
        <v>1.0992</v>
      </c>
      <c r="E178" s="618">
        <f t="shared" si="21"/>
        <v>-6.3999999999999613E-3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1.2406999999999999</v>
      </c>
      <c r="D179" s="617">
        <f t="shared" si="20"/>
        <v>1.2102999999999999</v>
      </c>
      <c r="E179" s="618">
        <f t="shared" si="21"/>
        <v>-3.0399999999999983E-2</v>
      </c>
    </row>
    <row r="180" spans="1:5" s="421" customFormat="1" x14ac:dyDescent="0.2">
      <c r="A180" s="588"/>
      <c r="B180" s="592" t="s">
        <v>812</v>
      </c>
      <c r="C180" s="619">
        <f t="shared" si="20"/>
        <v>1.4953870680964165</v>
      </c>
      <c r="D180" s="619">
        <f t="shared" si="20"/>
        <v>1.5005348853964966</v>
      </c>
      <c r="E180" s="620">
        <f t="shared" si="21"/>
        <v>5.1478173000800709E-3</v>
      </c>
    </row>
    <row r="181" spans="1:5" s="421" customFormat="1" x14ac:dyDescent="0.2">
      <c r="A181" s="588"/>
      <c r="B181" s="592" t="s">
        <v>723</v>
      </c>
      <c r="C181" s="619">
        <f t="shared" si="20"/>
        <v>1.4675146896702065</v>
      </c>
      <c r="D181" s="619">
        <f t="shared" si="20"/>
        <v>1.4751311437928689</v>
      </c>
      <c r="E181" s="620">
        <f t="shared" si="21"/>
        <v>7.6164541226624305E-3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508737690</v>
      </c>
      <c r="D185" s="589">
        <v>545975025</v>
      </c>
      <c r="E185" s="590">
        <f>D185-C185</f>
        <v>37237335</v>
      </c>
    </row>
    <row r="186" spans="1:5" s="421" customFormat="1" ht="25.5" x14ac:dyDescent="0.2">
      <c r="A186" s="588">
        <v>2</v>
      </c>
      <c r="B186" s="587" t="s">
        <v>815</v>
      </c>
      <c r="C186" s="589">
        <v>236696156</v>
      </c>
      <c r="D186" s="589">
        <v>258276116</v>
      </c>
      <c r="E186" s="590">
        <f>D186-C186</f>
        <v>21579960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272041534</v>
      </c>
      <c r="D188" s="622">
        <f>+D185-D186</f>
        <v>287698909</v>
      </c>
      <c r="E188" s="590">
        <f t="shared" ref="E188:E197" si="22">D188-C188</f>
        <v>15657375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0.53473831278354866</v>
      </c>
      <c r="D189" s="623">
        <f>IF(D185=0,0,+D188/D185)</f>
        <v>0.52694518215370745</v>
      </c>
      <c r="E189" s="599">
        <f t="shared" si="22"/>
        <v>-7.7931306298412162E-3</v>
      </c>
    </row>
    <row r="190" spans="1:5" s="421" customFormat="1" x14ac:dyDescent="0.2">
      <c r="A190" s="588">
        <v>5</v>
      </c>
      <c r="B190" s="587" t="s">
        <v>762</v>
      </c>
      <c r="C190" s="589">
        <v>24103767</v>
      </c>
      <c r="D190" s="589">
        <v>28070395</v>
      </c>
      <c r="E190" s="622">
        <f t="shared" si="22"/>
        <v>3966628</v>
      </c>
    </row>
    <row r="191" spans="1:5" s="421" customFormat="1" x14ac:dyDescent="0.2">
      <c r="A191" s="588">
        <v>6</v>
      </c>
      <c r="B191" s="587" t="s">
        <v>748</v>
      </c>
      <c r="C191" s="589">
        <v>13739767</v>
      </c>
      <c r="D191" s="589">
        <v>15250142</v>
      </c>
      <c r="E191" s="622">
        <f t="shared" si="22"/>
        <v>1510375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6110468</v>
      </c>
      <c r="D193" s="589">
        <v>5761205</v>
      </c>
      <c r="E193" s="622">
        <f t="shared" si="22"/>
        <v>-349263</v>
      </c>
    </row>
    <row r="194" spans="1:5" s="421" customFormat="1" x14ac:dyDescent="0.2">
      <c r="A194" s="588">
        <v>9</v>
      </c>
      <c r="B194" s="587" t="s">
        <v>818</v>
      </c>
      <c r="C194" s="589">
        <v>18629069</v>
      </c>
      <c r="D194" s="589">
        <v>20253386</v>
      </c>
      <c r="E194" s="622">
        <f t="shared" si="22"/>
        <v>1624317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24739537</v>
      </c>
      <c r="D195" s="589">
        <f>+D193+D194</f>
        <v>26014591</v>
      </c>
      <c r="E195" s="625">
        <f t="shared" si="22"/>
        <v>1275054</v>
      </c>
    </row>
    <row r="196" spans="1:5" s="421" customFormat="1" x14ac:dyDescent="0.2">
      <c r="A196" s="588">
        <v>11</v>
      </c>
      <c r="B196" s="587" t="s">
        <v>820</v>
      </c>
      <c r="C196" s="589">
        <v>31085511</v>
      </c>
      <c r="D196" s="589">
        <v>30927888</v>
      </c>
      <c r="E196" s="622">
        <f t="shared" si="22"/>
        <v>-157623</v>
      </c>
    </row>
    <row r="197" spans="1:5" s="421" customFormat="1" x14ac:dyDescent="0.2">
      <c r="A197" s="588">
        <v>12</v>
      </c>
      <c r="B197" s="587" t="s">
        <v>710</v>
      </c>
      <c r="C197" s="589">
        <v>674830699</v>
      </c>
      <c r="D197" s="589">
        <v>666258533</v>
      </c>
      <c r="E197" s="622">
        <f t="shared" si="22"/>
        <v>-8572166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14491.027600000001</v>
      </c>
      <c r="D203" s="629">
        <v>14421.716399999999</v>
      </c>
      <c r="E203" s="630">
        <f t="shared" ref="E203:E211" si="23">D203-C203</f>
        <v>-69.311200000001918</v>
      </c>
    </row>
    <row r="204" spans="1:5" s="421" customFormat="1" x14ac:dyDescent="0.2">
      <c r="A204" s="588">
        <v>2</v>
      </c>
      <c r="B204" s="587" t="s">
        <v>635</v>
      </c>
      <c r="C204" s="629">
        <v>23771.615000000002</v>
      </c>
      <c r="D204" s="629">
        <v>24115.1358</v>
      </c>
      <c r="E204" s="630">
        <f t="shared" si="23"/>
        <v>343.52079999999842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8762.3232000000007</v>
      </c>
      <c r="D205" s="629">
        <f>D206+D207</f>
        <v>9120.4056</v>
      </c>
      <c r="E205" s="630">
        <f t="shared" si="23"/>
        <v>358.08239999999932</v>
      </c>
    </row>
    <row r="206" spans="1:5" s="421" customFormat="1" x14ac:dyDescent="0.2">
      <c r="A206" s="588">
        <v>4</v>
      </c>
      <c r="B206" s="587" t="s">
        <v>115</v>
      </c>
      <c r="C206" s="629">
        <v>8762.3232000000007</v>
      </c>
      <c r="D206" s="629">
        <v>9120.4056</v>
      </c>
      <c r="E206" s="630">
        <f t="shared" si="23"/>
        <v>358.08239999999932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98.398399999999995</v>
      </c>
      <c r="D208" s="629">
        <v>86.836799999999997</v>
      </c>
      <c r="E208" s="630">
        <f t="shared" si="23"/>
        <v>-11.561599999999999</v>
      </c>
    </row>
    <row r="209" spans="1:5" s="421" customFormat="1" x14ac:dyDescent="0.2">
      <c r="A209" s="588">
        <v>7</v>
      </c>
      <c r="B209" s="587" t="s">
        <v>758</v>
      </c>
      <c r="C209" s="629">
        <v>313.89709999999997</v>
      </c>
      <c r="D209" s="629">
        <v>340.09429999999998</v>
      </c>
      <c r="E209" s="630">
        <f t="shared" si="23"/>
        <v>26.197200000000009</v>
      </c>
    </row>
    <row r="210" spans="1:5" s="421" customFormat="1" x14ac:dyDescent="0.2">
      <c r="A210" s="588"/>
      <c r="B210" s="592" t="s">
        <v>823</v>
      </c>
      <c r="C210" s="631">
        <f>C204+C205+C208</f>
        <v>32632.336600000002</v>
      </c>
      <c r="D210" s="631">
        <f>D204+D205+D208</f>
        <v>33322.378199999999</v>
      </c>
      <c r="E210" s="632">
        <f t="shared" si="23"/>
        <v>690.04159999999683</v>
      </c>
    </row>
    <row r="211" spans="1:5" s="421" customFormat="1" x14ac:dyDescent="0.2">
      <c r="A211" s="588"/>
      <c r="B211" s="592" t="s">
        <v>724</v>
      </c>
      <c r="C211" s="631">
        <f>C210+C203</f>
        <v>47123.364200000004</v>
      </c>
      <c r="D211" s="631">
        <f>D210+D203</f>
        <v>47744.094599999997</v>
      </c>
      <c r="E211" s="632">
        <f t="shared" si="23"/>
        <v>620.7303999999931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12610.239812515989</v>
      </c>
      <c r="D215" s="633">
        <f>IF(D14*D137=0,0,D25/D14*D137)</f>
        <v>12049.686385888181</v>
      </c>
      <c r="E215" s="633">
        <f t="shared" ref="E215:E223" si="24">D215-C215</f>
        <v>-560.55342662780822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6625.8909809219676</v>
      </c>
      <c r="D216" s="633">
        <f>IF(D15*D138=0,0,D26/D15*D138)</f>
        <v>6663.077244193787</v>
      </c>
      <c r="E216" s="633">
        <f t="shared" si="24"/>
        <v>37.186263271819371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7178.8734324048164</v>
      </c>
      <c r="D217" s="633">
        <f>D218+D219</f>
        <v>7164.4089461541462</v>
      </c>
      <c r="E217" s="633">
        <f t="shared" si="24"/>
        <v>-14.464486250670234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7178.8734324048164</v>
      </c>
      <c r="D218" s="633">
        <f t="shared" si="25"/>
        <v>7164.4089461541462</v>
      </c>
      <c r="E218" s="633">
        <f t="shared" si="24"/>
        <v>-14.464486250670234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97.246356090565385</v>
      </c>
      <c r="D220" s="633">
        <f t="shared" si="25"/>
        <v>101.09499688656129</v>
      </c>
      <c r="E220" s="633">
        <f t="shared" si="24"/>
        <v>3.8486407959959053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1083.0513062433156</v>
      </c>
      <c r="D221" s="633">
        <f t="shared" si="25"/>
        <v>1205.7695934458875</v>
      </c>
      <c r="E221" s="633">
        <f t="shared" si="24"/>
        <v>122.7182872025719</v>
      </c>
    </row>
    <row r="222" spans="1:5" s="421" customFormat="1" x14ac:dyDescent="0.2">
      <c r="A222" s="588"/>
      <c r="B222" s="592" t="s">
        <v>825</v>
      </c>
      <c r="C222" s="634">
        <f>C216+C218+C219+C220</f>
        <v>13902.010769417349</v>
      </c>
      <c r="D222" s="634">
        <f>D216+D218+D219+D220</f>
        <v>13928.581187234493</v>
      </c>
      <c r="E222" s="634">
        <f t="shared" si="24"/>
        <v>26.570417817143607</v>
      </c>
    </row>
    <row r="223" spans="1:5" s="421" customFormat="1" x14ac:dyDescent="0.2">
      <c r="A223" s="588"/>
      <c r="B223" s="592" t="s">
        <v>826</v>
      </c>
      <c r="C223" s="634">
        <f>C215+C222</f>
        <v>26512.250581933338</v>
      </c>
      <c r="D223" s="634">
        <f>D215+D222</f>
        <v>25978.267573122674</v>
      </c>
      <c r="E223" s="634">
        <f t="shared" si="24"/>
        <v>-533.98300881066461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10818.136251427744</v>
      </c>
      <c r="D227" s="636">
        <f t="shared" si="26"/>
        <v>11184.166608629193</v>
      </c>
      <c r="E227" s="636">
        <f t="shared" ref="E227:E235" si="27">D227-C227</f>
        <v>366.03035720144908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8884.4441995211509</v>
      </c>
      <c r="D228" s="636">
        <f t="shared" si="26"/>
        <v>8443.2365502167322</v>
      </c>
      <c r="E228" s="636">
        <f t="shared" si="27"/>
        <v>-441.20764930441874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6285.0421906372949</v>
      </c>
      <c r="D229" s="636">
        <f t="shared" si="26"/>
        <v>5804.9078431336429</v>
      </c>
      <c r="E229" s="636">
        <f t="shared" si="27"/>
        <v>-480.13434750365195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6285.0421906372949</v>
      </c>
      <c r="D230" s="636">
        <f t="shared" si="26"/>
        <v>5804.9078431336429</v>
      </c>
      <c r="E230" s="636">
        <f t="shared" si="27"/>
        <v>-480.13434750365195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3819.4929998861771</v>
      </c>
      <c r="D232" s="636">
        <f t="shared" si="26"/>
        <v>8709.6945073977859</v>
      </c>
      <c r="E232" s="636">
        <f t="shared" si="27"/>
        <v>4890.2015075116087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740.97849263341402</v>
      </c>
      <c r="D233" s="636">
        <f t="shared" si="26"/>
        <v>800.19571042502037</v>
      </c>
      <c r="E233" s="636">
        <f t="shared" si="27"/>
        <v>59.217217791606345</v>
      </c>
    </row>
    <row r="234" spans="1:5" x14ac:dyDescent="0.2">
      <c r="A234" s="588"/>
      <c r="B234" s="592" t="s">
        <v>828</v>
      </c>
      <c r="C234" s="637">
        <f t="shared" si="26"/>
        <v>8171.189003977116</v>
      </c>
      <c r="D234" s="637">
        <f t="shared" si="26"/>
        <v>7721.8147653098786</v>
      </c>
      <c r="E234" s="637">
        <f t="shared" si="27"/>
        <v>-449.37423866723748</v>
      </c>
    </row>
    <row r="235" spans="1:5" s="421" customFormat="1" x14ac:dyDescent="0.2">
      <c r="A235" s="588"/>
      <c r="B235" s="592" t="s">
        <v>829</v>
      </c>
      <c r="C235" s="637">
        <f t="shared" si="26"/>
        <v>8985.1585978235398</v>
      </c>
      <c r="D235" s="637">
        <f t="shared" si="26"/>
        <v>8767.6625665868214</v>
      </c>
      <c r="E235" s="637">
        <f t="shared" si="27"/>
        <v>-217.49603123671841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9833.1074462936813</v>
      </c>
      <c r="D239" s="636">
        <f t="shared" si="28"/>
        <v>11750.181910611089</v>
      </c>
      <c r="E239" s="638">
        <f t="shared" ref="E239:E247" si="29">D239-C239</f>
        <v>1917.0744643174075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8117.2195792023413</v>
      </c>
      <c r="D240" s="636">
        <f t="shared" si="28"/>
        <v>8504.3537577743209</v>
      </c>
      <c r="E240" s="638">
        <f t="shared" si="29"/>
        <v>387.13417857197965</v>
      </c>
    </row>
    <row r="241" spans="1:5" x14ac:dyDescent="0.2">
      <c r="A241" s="588">
        <v>3</v>
      </c>
      <c r="B241" s="587" t="s">
        <v>777</v>
      </c>
      <c r="C241" s="636">
        <f t="shared" si="28"/>
        <v>5426.4615982998821</v>
      </c>
      <c r="D241" s="636">
        <f t="shared" si="28"/>
        <v>5718.1626995191582</v>
      </c>
      <c r="E241" s="638">
        <f t="shared" si="29"/>
        <v>291.7011012192761</v>
      </c>
    </row>
    <row r="242" spans="1:5" x14ac:dyDescent="0.2">
      <c r="A242" s="588">
        <v>4</v>
      </c>
      <c r="B242" s="587" t="s">
        <v>115</v>
      </c>
      <c r="C242" s="636">
        <f t="shared" si="28"/>
        <v>5426.4615982998821</v>
      </c>
      <c r="D242" s="636">
        <f t="shared" si="28"/>
        <v>5718.1626995191582</v>
      </c>
      <c r="E242" s="638">
        <f t="shared" si="29"/>
        <v>291.7011012192761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5333.4029248044862</v>
      </c>
      <c r="D244" s="636">
        <f t="shared" si="28"/>
        <v>3347.6730839584052</v>
      </c>
      <c r="E244" s="638">
        <f t="shared" si="29"/>
        <v>-1985.7298408460811</v>
      </c>
    </row>
    <row r="245" spans="1:5" x14ac:dyDescent="0.2">
      <c r="A245" s="588">
        <v>7</v>
      </c>
      <c r="B245" s="587" t="s">
        <v>758</v>
      </c>
      <c r="C245" s="636">
        <f t="shared" si="28"/>
        <v>686.78279201751411</v>
      </c>
      <c r="D245" s="636">
        <f t="shared" si="28"/>
        <v>555.84334158288596</v>
      </c>
      <c r="E245" s="638">
        <f t="shared" si="29"/>
        <v>-130.93945043462816</v>
      </c>
    </row>
    <row r="246" spans="1:5" ht="25.5" x14ac:dyDescent="0.2">
      <c r="A246" s="588"/>
      <c r="B246" s="592" t="s">
        <v>831</v>
      </c>
      <c r="C246" s="637">
        <f t="shared" si="28"/>
        <v>6708.2631819820244</v>
      </c>
      <c r="D246" s="637">
        <f t="shared" si="28"/>
        <v>7033.8000463241742</v>
      </c>
      <c r="E246" s="639">
        <f t="shared" si="29"/>
        <v>325.53686434214978</v>
      </c>
    </row>
    <row r="247" spans="1:5" x14ac:dyDescent="0.2">
      <c r="A247" s="588"/>
      <c r="B247" s="592" t="s">
        <v>832</v>
      </c>
      <c r="C247" s="637">
        <f t="shared" si="28"/>
        <v>8194.5585618464356</v>
      </c>
      <c r="D247" s="637">
        <f t="shared" si="28"/>
        <v>9221.4333125064695</v>
      </c>
      <c r="E247" s="639">
        <f t="shared" si="29"/>
        <v>1026.8747506600339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19316610.982131891</v>
      </c>
      <c r="D251" s="622">
        <f>((IF((IF(D15=0,0,D26/D15)*D138)=0,0,D59/(IF(D15=0,0,D26/D15)*D138)))-(IF((IF(D17=0,0,D28/D17)*D140)=0,0,D61/(IF(D17=0,0,D28/D17)*D140))))*(IF(D17=0,0,D28/D17)*D140)</f>
        <v>19961412.143457975</v>
      </c>
      <c r="E251" s="622">
        <f>D251-C251</f>
        <v>644801.16132608429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10603754.537660422</v>
      </c>
      <c r="D253" s="622">
        <f>IF(D233=0,0,(D228-D233)*D209+IF(D221=0,0,(D240-D245)*D221))</f>
        <v>12183426.797311923</v>
      </c>
      <c r="E253" s="622">
        <f>D253-C253</f>
        <v>1579672.2596515007</v>
      </c>
    </row>
    <row r="254" spans="1:5" ht="15" customHeight="1" x14ac:dyDescent="0.2">
      <c r="A254" s="588"/>
      <c r="B254" s="592" t="s">
        <v>759</v>
      </c>
      <c r="C254" s="640">
        <f>+C251+C252+C253</f>
        <v>29920365.519792311</v>
      </c>
      <c r="D254" s="640">
        <f>+D251+D252+D253</f>
        <v>32144838.940769896</v>
      </c>
      <c r="E254" s="640">
        <f>D254-C254</f>
        <v>2224473.420977585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1757658330</v>
      </c>
      <c r="D258" s="625">
        <f>+D44</f>
        <v>1930957096</v>
      </c>
      <c r="E258" s="622">
        <f t="shared" ref="E258:E271" si="30">D258-C258</f>
        <v>173298766</v>
      </c>
    </row>
    <row r="259" spans="1:5" x14ac:dyDescent="0.2">
      <c r="A259" s="588">
        <v>2</v>
      </c>
      <c r="B259" s="587" t="s">
        <v>742</v>
      </c>
      <c r="C259" s="622">
        <f>+(C43-C76)</f>
        <v>785975793</v>
      </c>
      <c r="D259" s="625">
        <f>+(D43-D76)</f>
        <v>924769248</v>
      </c>
      <c r="E259" s="622">
        <f t="shared" si="30"/>
        <v>138793455</v>
      </c>
    </row>
    <row r="260" spans="1:5" x14ac:dyDescent="0.2">
      <c r="A260" s="588">
        <v>3</v>
      </c>
      <c r="B260" s="587" t="s">
        <v>746</v>
      </c>
      <c r="C260" s="622">
        <f>C195</f>
        <v>24739537</v>
      </c>
      <c r="D260" s="622">
        <f>D195</f>
        <v>26014591</v>
      </c>
      <c r="E260" s="622">
        <f t="shared" si="30"/>
        <v>1275054</v>
      </c>
    </row>
    <row r="261" spans="1:5" x14ac:dyDescent="0.2">
      <c r="A261" s="588">
        <v>4</v>
      </c>
      <c r="B261" s="587" t="s">
        <v>747</v>
      </c>
      <c r="C261" s="622">
        <f>C188</f>
        <v>272041534</v>
      </c>
      <c r="D261" s="622">
        <f>D188</f>
        <v>287698909</v>
      </c>
      <c r="E261" s="622">
        <f t="shared" si="30"/>
        <v>15657375</v>
      </c>
    </row>
    <row r="262" spans="1:5" x14ac:dyDescent="0.2">
      <c r="A262" s="588">
        <v>5</v>
      </c>
      <c r="B262" s="587" t="s">
        <v>748</v>
      </c>
      <c r="C262" s="622">
        <f>C191</f>
        <v>13739767</v>
      </c>
      <c r="D262" s="622">
        <f>D191</f>
        <v>15250142</v>
      </c>
      <c r="E262" s="622">
        <f t="shared" si="30"/>
        <v>1510375</v>
      </c>
    </row>
    <row r="263" spans="1:5" x14ac:dyDescent="0.2">
      <c r="A263" s="588">
        <v>6</v>
      </c>
      <c r="B263" s="587" t="s">
        <v>749</v>
      </c>
      <c r="C263" s="622">
        <f>+C259+C260+C261+C262</f>
        <v>1096496631</v>
      </c>
      <c r="D263" s="622">
        <f>+D259+D260+D261+D262</f>
        <v>1253732890</v>
      </c>
      <c r="E263" s="622">
        <f t="shared" si="30"/>
        <v>157236259</v>
      </c>
    </row>
    <row r="264" spans="1:5" x14ac:dyDescent="0.2">
      <c r="A264" s="588">
        <v>7</v>
      </c>
      <c r="B264" s="587" t="s">
        <v>654</v>
      </c>
      <c r="C264" s="622">
        <f>+C258-C263</f>
        <v>661161699</v>
      </c>
      <c r="D264" s="622">
        <f>+D258-D263</f>
        <v>677224206</v>
      </c>
      <c r="E264" s="622">
        <f t="shared" si="30"/>
        <v>16062507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661161699</v>
      </c>
      <c r="D266" s="622">
        <f>+D264+D265</f>
        <v>677224206</v>
      </c>
      <c r="E266" s="641">
        <f t="shared" si="30"/>
        <v>16062507</v>
      </c>
    </row>
    <row r="267" spans="1:5" x14ac:dyDescent="0.2">
      <c r="A267" s="588">
        <v>10</v>
      </c>
      <c r="B267" s="587" t="s">
        <v>837</v>
      </c>
      <c r="C267" s="642">
        <f>IF(C258=0,0,C266/C258)</f>
        <v>0.37616053570548036</v>
      </c>
      <c r="D267" s="642">
        <f>IF(D258=0,0,D266/D258)</f>
        <v>0.35071944757492424</v>
      </c>
      <c r="E267" s="643">
        <f t="shared" si="30"/>
        <v>-2.5441088130556122E-2</v>
      </c>
    </row>
    <row r="268" spans="1:5" x14ac:dyDescent="0.2">
      <c r="A268" s="588">
        <v>11</v>
      </c>
      <c r="B268" s="587" t="s">
        <v>716</v>
      </c>
      <c r="C268" s="622">
        <f>+C260*C267</f>
        <v>9306037.4910255522</v>
      </c>
      <c r="D268" s="644">
        <f>+D260*D267</f>
        <v>9123822.9844075963</v>
      </c>
      <c r="E268" s="622">
        <f t="shared" si="30"/>
        <v>-182214.50661795586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45934991.322674036</v>
      </c>
      <c r="D269" s="644">
        <f>((D17+D18+D28+D29)*D267)-(D50+D51+D61+D62)</f>
        <v>54785293.675825804</v>
      </c>
      <c r="E269" s="622">
        <f t="shared" si="30"/>
        <v>8850302.3531517684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55241028.813699588</v>
      </c>
      <c r="D271" s="622">
        <f>+D268+D269+D270</f>
        <v>63909116.660233401</v>
      </c>
      <c r="E271" s="625">
        <f t="shared" si="30"/>
        <v>8668087.8465338126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0.57030190384633717</v>
      </c>
      <c r="D276" s="623">
        <f t="shared" si="31"/>
        <v>0.5417177179617122</v>
      </c>
      <c r="E276" s="650">
        <f t="shared" ref="E276:E284" si="32">D276-C276</f>
        <v>-2.8584185884624969E-2</v>
      </c>
    </row>
    <row r="277" spans="1:5" x14ac:dyDescent="0.2">
      <c r="A277" s="588">
        <v>2</v>
      </c>
      <c r="B277" s="587" t="s">
        <v>635</v>
      </c>
      <c r="C277" s="623">
        <f t="shared" si="31"/>
        <v>0.40593289583864112</v>
      </c>
      <c r="D277" s="623">
        <f t="shared" si="31"/>
        <v>0.35078090823764851</v>
      </c>
      <c r="E277" s="650">
        <f t="shared" si="32"/>
        <v>-5.5151987600992602E-2</v>
      </c>
    </row>
    <row r="278" spans="1:5" x14ac:dyDescent="0.2">
      <c r="A278" s="588">
        <v>3</v>
      </c>
      <c r="B278" s="587" t="s">
        <v>777</v>
      </c>
      <c r="C278" s="623">
        <f t="shared" si="31"/>
        <v>0.28298655272080236</v>
      </c>
      <c r="D278" s="623">
        <f t="shared" si="31"/>
        <v>0.23873986459736501</v>
      </c>
      <c r="E278" s="650">
        <f t="shared" si="32"/>
        <v>-4.424668812343735E-2</v>
      </c>
    </row>
    <row r="279" spans="1:5" x14ac:dyDescent="0.2">
      <c r="A279" s="588">
        <v>4</v>
      </c>
      <c r="B279" s="587" t="s">
        <v>115</v>
      </c>
      <c r="C279" s="623">
        <f t="shared" si="31"/>
        <v>0.28298655272080236</v>
      </c>
      <c r="D279" s="623">
        <f t="shared" si="31"/>
        <v>0.23873986459736501</v>
      </c>
      <c r="E279" s="650">
        <f t="shared" si="32"/>
        <v>-4.424668812343735E-2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0.16332710442831688</v>
      </c>
      <c r="D281" s="623">
        <f t="shared" si="31"/>
        <v>0.37317942781805674</v>
      </c>
      <c r="E281" s="650">
        <f t="shared" si="32"/>
        <v>0.20985232338973986</v>
      </c>
    </row>
    <row r="282" spans="1:5" x14ac:dyDescent="0.2">
      <c r="A282" s="588">
        <v>7</v>
      </c>
      <c r="B282" s="587" t="s">
        <v>758</v>
      </c>
      <c r="C282" s="623">
        <f t="shared" si="31"/>
        <v>3.6956403262394737E-2</v>
      </c>
      <c r="D282" s="623">
        <f t="shared" si="31"/>
        <v>4.1446287215755627E-2</v>
      </c>
      <c r="E282" s="650">
        <f t="shared" si="32"/>
        <v>4.4898839533608903E-3</v>
      </c>
    </row>
    <row r="283" spans="1:5" ht="29.25" customHeight="1" x14ac:dyDescent="0.2">
      <c r="A283" s="588"/>
      <c r="B283" s="592" t="s">
        <v>844</v>
      </c>
      <c r="C283" s="651">
        <f t="shared" si="31"/>
        <v>0.37179302914250784</v>
      </c>
      <c r="D283" s="651">
        <f t="shared" si="31"/>
        <v>0.31994301165179329</v>
      </c>
      <c r="E283" s="652">
        <f t="shared" si="32"/>
        <v>-5.1850017490714551E-2</v>
      </c>
    </row>
    <row r="284" spans="1:5" x14ac:dyDescent="0.2">
      <c r="A284" s="588"/>
      <c r="B284" s="592" t="s">
        <v>845</v>
      </c>
      <c r="C284" s="651">
        <f t="shared" si="31"/>
        <v>0.42679583928759018</v>
      </c>
      <c r="D284" s="651">
        <f t="shared" si="31"/>
        <v>0.37986485699035316</v>
      </c>
      <c r="E284" s="652">
        <f t="shared" si="32"/>
        <v>-4.6930982297237023E-2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0.36805874654600168</v>
      </c>
      <c r="D287" s="623">
        <f t="shared" si="33"/>
        <v>0.40091103634866332</v>
      </c>
      <c r="E287" s="650">
        <f t="shared" ref="E287:E295" si="34">D287-C287</f>
        <v>3.2852289802661638E-2</v>
      </c>
    </row>
    <row r="288" spans="1:5" x14ac:dyDescent="0.2">
      <c r="A288" s="588">
        <v>2</v>
      </c>
      <c r="B288" s="587" t="s">
        <v>635</v>
      </c>
      <c r="C288" s="623">
        <f t="shared" si="33"/>
        <v>0.21625549558324231</v>
      </c>
      <c r="D288" s="623">
        <f t="shared" si="33"/>
        <v>0.20908987497432555</v>
      </c>
      <c r="E288" s="650">
        <f t="shared" si="34"/>
        <v>-7.1656206089167618E-3</v>
      </c>
    </row>
    <row r="289" spans="1:5" x14ac:dyDescent="0.2">
      <c r="A289" s="588">
        <v>3</v>
      </c>
      <c r="B289" s="587" t="s">
        <v>777</v>
      </c>
      <c r="C289" s="623">
        <f t="shared" si="33"/>
        <v>0.21950284448517421</v>
      </c>
      <c r="D289" s="623">
        <f t="shared" si="33"/>
        <v>0.20259499987963162</v>
      </c>
      <c r="E289" s="650">
        <f t="shared" si="34"/>
        <v>-1.6907844605542593E-2</v>
      </c>
    </row>
    <row r="290" spans="1:5" x14ac:dyDescent="0.2">
      <c r="A290" s="588">
        <v>4</v>
      </c>
      <c r="B290" s="587" t="s">
        <v>115</v>
      </c>
      <c r="C290" s="623">
        <f t="shared" si="33"/>
        <v>0.21950284448517421</v>
      </c>
      <c r="D290" s="623">
        <f t="shared" si="33"/>
        <v>0.20259499987963162</v>
      </c>
      <c r="E290" s="650">
        <f t="shared" si="34"/>
        <v>-1.6907844605542593E-2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0.20628084842362318</v>
      </c>
      <c r="D292" s="623">
        <f t="shared" si="33"/>
        <v>0.13049116031728161</v>
      </c>
      <c r="E292" s="650">
        <f t="shared" si="34"/>
        <v>-7.5789688106341568E-2</v>
      </c>
    </row>
    <row r="293" spans="1:5" x14ac:dyDescent="0.2">
      <c r="A293" s="588">
        <v>7</v>
      </c>
      <c r="B293" s="587" t="s">
        <v>758</v>
      </c>
      <c r="C293" s="623">
        <f t="shared" si="33"/>
        <v>2.7608112606741335E-2</v>
      </c>
      <c r="D293" s="623">
        <f t="shared" si="33"/>
        <v>2.3787499253334336E-2</v>
      </c>
      <c r="E293" s="650">
        <f t="shared" si="34"/>
        <v>-3.8206133534069986E-3</v>
      </c>
    </row>
    <row r="294" spans="1:5" ht="29.25" customHeight="1" x14ac:dyDescent="0.2">
      <c r="A294" s="588"/>
      <c r="B294" s="592" t="s">
        <v>847</v>
      </c>
      <c r="C294" s="651">
        <f t="shared" si="33"/>
        <v>0.21754135474154868</v>
      </c>
      <c r="D294" s="651">
        <f t="shared" si="33"/>
        <v>0.20590125241175788</v>
      </c>
      <c r="E294" s="652">
        <f t="shared" si="34"/>
        <v>-1.1640102329790791E-2</v>
      </c>
    </row>
    <row r="295" spans="1:5" x14ac:dyDescent="0.2">
      <c r="A295" s="588"/>
      <c r="B295" s="592" t="s">
        <v>848</v>
      </c>
      <c r="C295" s="651">
        <f t="shared" si="33"/>
        <v>0.28377639011600814</v>
      </c>
      <c r="D295" s="651">
        <f t="shared" si="33"/>
        <v>0.28897945058737823</v>
      </c>
      <c r="E295" s="652">
        <f t="shared" si="34"/>
        <v>5.2030604713700912E-3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640667091</v>
      </c>
      <c r="D301" s="590">
        <f>+D48+D47+D50+D51+D52+D59+D58+D61+D62+D63</f>
        <v>658160973</v>
      </c>
      <c r="E301" s="590">
        <f>D301-C301</f>
        <v>17493882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640667091</v>
      </c>
      <c r="D303" s="593">
        <f>+D301+D302</f>
        <v>658160973</v>
      </c>
      <c r="E303" s="593">
        <f>D303-C303</f>
        <v>17493882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4798052</v>
      </c>
      <c r="D305" s="654">
        <v>-23042415</v>
      </c>
      <c r="E305" s="655">
        <f>D305-C305</f>
        <v>-27840467</v>
      </c>
    </row>
    <row r="306" spans="1:5" x14ac:dyDescent="0.2">
      <c r="A306" s="588">
        <v>4</v>
      </c>
      <c r="B306" s="592" t="s">
        <v>855</v>
      </c>
      <c r="C306" s="593">
        <f>+C303+C305+C194+C190-C191</f>
        <v>674458212</v>
      </c>
      <c r="D306" s="593">
        <f>+D303+D305</f>
        <v>635118558</v>
      </c>
      <c r="E306" s="656">
        <f>D306-C306</f>
        <v>-39339654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645465144</v>
      </c>
      <c r="D308" s="589">
        <v>635118552</v>
      </c>
      <c r="E308" s="590">
        <f>D308-C308</f>
        <v>-10346592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28993068</v>
      </c>
      <c r="D310" s="658">
        <f>D306-D308</f>
        <v>6</v>
      </c>
      <c r="E310" s="656">
        <f>D310-C310</f>
        <v>-28993062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1757658330</v>
      </c>
      <c r="D314" s="590">
        <f>+D14+D15+D16+D19+D25+D26+D27+D30</f>
        <v>1930957096</v>
      </c>
      <c r="E314" s="590">
        <f>D314-C314</f>
        <v>173298766</v>
      </c>
    </row>
    <row r="315" spans="1:5" x14ac:dyDescent="0.2">
      <c r="A315" s="588">
        <v>2</v>
      </c>
      <c r="B315" s="659" t="s">
        <v>860</v>
      </c>
      <c r="C315" s="589">
        <v>57636808</v>
      </c>
      <c r="D315" s="589">
        <v>59718025</v>
      </c>
      <c r="E315" s="590">
        <f>D315-C315</f>
        <v>2081217</v>
      </c>
    </row>
    <row r="316" spans="1:5" x14ac:dyDescent="0.2">
      <c r="A316" s="588"/>
      <c r="B316" s="592" t="s">
        <v>861</v>
      </c>
      <c r="C316" s="657">
        <f>C314+C315</f>
        <v>1815295138</v>
      </c>
      <c r="D316" s="657">
        <f>D314+D315</f>
        <v>1990675121</v>
      </c>
      <c r="E316" s="593">
        <f>D316-C316</f>
        <v>175379983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1815295138</v>
      </c>
      <c r="D318" s="589">
        <v>1990675124</v>
      </c>
      <c r="E318" s="590">
        <f>D318-C318</f>
        <v>175379986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-3</v>
      </c>
      <c r="E320" s="593">
        <f>D320-C320</f>
        <v>-3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24739537</v>
      </c>
      <c r="D324" s="589">
        <f>+D193+D194</f>
        <v>26014591</v>
      </c>
      <c r="E324" s="590">
        <f>D324-C324</f>
        <v>1275054</v>
      </c>
    </row>
    <row r="325" spans="1:5" x14ac:dyDescent="0.2">
      <c r="A325" s="588">
        <v>2</v>
      </c>
      <c r="B325" s="587" t="s">
        <v>865</v>
      </c>
      <c r="C325" s="589">
        <v>12839126</v>
      </c>
      <c r="D325" s="589">
        <v>13601304</v>
      </c>
      <c r="E325" s="590">
        <f>D325-C325</f>
        <v>762178</v>
      </c>
    </row>
    <row r="326" spans="1:5" x14ac:dyDescent="0.2">
      <c r="A326" s="588"/>
      <c r="B326" s="592" t="s">
        <v>866</v>
      </c>
      <c r="C326" s="657">
        <f>C324+C325</f>
        <v>37578663</v>
      </c>
      <c r="D326" s="657">
        <f>D324+D325</f>
        <v>39615895</v>
      </c>
      <c r="E326" s="593">
        <f>D326-C326</f>
        <v>2037232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37578662</v>
      </c>
      <c r="D328" s="589">
        <v>39615895</v>
      </c>
      <c r="E328" s="590">
        <f>D328-C328</f>
        <v>2037233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1</v>
      </c>
      <c r="D330" s="657">
        <f>D326-D328</f>
        <v>0</v>
      </c>
      <c r="E330" s="593">
        <f>D330-C330</f>
        <v>-1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297747099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580447200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221760677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221760677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2026698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6566137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804234575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1101981674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353160662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271008656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202212572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202212572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2593532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28175261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475814760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828975422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650907761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1280049335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1930957096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161294879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203609796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52943114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52943114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756322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272142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257309232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418604111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141586007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56665166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40967256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40967256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338433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670219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97970855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239556862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302880886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355280087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658160973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10159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14271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7857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7857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281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22207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32366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1.4196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1.6898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1.1608000000000001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1.1608000000000001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1.0992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1.2102999999999999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1.5005348853964966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1.4751311437928689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545975025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258276116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287698909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0.52694518215370745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28070395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15250142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5761205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20253386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26014591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30927888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666258533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658160973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658160973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-23042415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635118558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635118552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6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1930957096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59718025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1990675121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1990675124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-3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26014591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13601304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39615895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39615895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12835</v>
      </c>
      <c r="D12" s="185">
        <v>11769</v>
      </c>
      <c r="E12" s="185">
        <f>+D12-C12</f>
        <v>-1066</v>
      </c>
      <c r="F12" s="77">
        <f>IF(C12=0,0,+E12/C12)</f>
        <v>-8.3054148811842615E-2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11378</v>
      </c>
      <c r="D13" s="185">
        <v>11093</v>
      </c>
      <c r="E13" s="185">
        <f>+D13-C13</f>
        <v>-285</v>
      </c>
      <c r="F13" s="77">
        <f>IF(C13=0,0,+E13/C13)</f>
        <v>-2.5048338899630866E-2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6110468</v>
      </c>
      <c r="D15" s="76">
        <v>5761205</v>
      </c>
      <c r="E15" s="76">
        <f>+D15-C15</f>
        <v>-349263</v>
      </c>
      <c r="F15" s="77">
        <f>IF(C15=0,0,+E15/C15)</f>
        <v>-5.7158142387784376E-2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537.04236245385835</v>
      </c>
      <c r="D16" s="79">
        <f>IF(D13=0,0,+D15/+D13)</f>
        <v>519.35499864779592</v>
      </c>
      <c r="E16" s="79">
        <f>+D16-C16</f>
        <v>-17.687363806062422</v>
      </c>
      <c r="F16" s="80">
        <f>IF(C16=0,0,+E16/C16)</f>
        <v>-3.293476463429286E-2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0.40604000000000001</v>
      </c>
      <c r="D18" s="704">
        <v>0.37726500000000002</v>
      </c>
      <c r="E18" s="704">
        <f>+D18-C18</f>
        <v>-2.8774999999999995E-2</v>
      </c>
      <c r="F18" s="77">
        <f>IF(C18=0,0,+E18/C18)</f>
        <v>-7.0867402226381618E-2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2481094.4267199999</v>
      </c>
      <c r="D19" s="79">
        <f>+D15*D18</f>
        <v>2173501.0043250001</v>
      </c>
      <c r="E19" s="79">
        <f>+D19-C19</f>
        <v>-307593.42239499977</v>
      </c>
      <c r="F19" s="80">
        <f>IF(C19=0,0,+E19/C19)</f>
        <v>-0.12397489554705801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218.06068085076461</v>
      </c>
      <c r="D20" s="79">
        <f>IF(D13=0,0,+D19/D13)</f>
        <v>195.93446356486072</v>
      </c>
      <c r="E20" s="79">
        <f>+D20-C20</f>
        <v>-22.126217285903891</v>
      </c>
      <c r="F20" s="80">
        <f>IF(C20=0,0,+E20/C20)</f>
        <v>-0.10146816564810476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1649826</v>
      </c>
      <c r="D22" s="76">
        <v>1497913</v>
      </c>
      <c r="E22" s="76">
        <f>+D22-C22</f>
        <v>-151913</v>
      </c>
      <c r="F22" s="77">
        <f>IF(C22=0,0,+E22/C22)</f>
        <v>-9.2078194912675645E-2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1649827</v>
      </c>
      <c r="D23" s="185">
        <v>1325077</v>
      </c>
      <c r="E23" s="185">
        <f>+D23-C23</f>
        <v>-324750</v>
      </c>
      <c r="F23" s="77">
        <f>IF(C23=0,0,+E23/C23)</f>
        <v>-0.19683882007022555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2810815</v>
      </c>
      <c r="D24" s="185">
        <v>2938215</v>
      </c>
      <c r="E24" s="185">
        <f>+D24-C24</f>
        <v>127400</v>
      </c>
      <c r="F24" s="77">
        <f>IF(C24=0,0,+E24/C24)</f>
        <v>4.5324932448417989E-2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6110468</v>
      </c>
      <c r="D25" s="79">
        <f>+D22+D23+D24</f>
        <v>5761205</v>
      </c>
      <c r="E25" s="79">
        <f>+E22+E23+E24</f>
        <v>-349263</v>
      </c>
      <c r="F25" s="80">
        <f>IF(C25=0,0,+E25/C25)</f>
        <v>-5.7158142387784376E-2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2229</v>
      </c>
      <c r="D27" s="185">
        <v>1284</v>
      </c>
      <c r="E27" s="185">
        <f>+D27-C27</f>
        <v>-945</v>
      </c>
      <c r="F27" s="77">
        <f>IF(C27=0,0,+E27/C27)</f>
        <v>-0.42395693135935397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524</v>
      </c>
      <c r="D28" s="185">
        <v>270</v>
      </c>
      <c r="E28" s="185">
        <f>+D28-C28</f>
        <v>-254</v>
      </c>
      <c r="F28" s="77">
        <f>IF(C28=0,0,+E28/C28)</f>
        <v>-0.48473282442748089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1212</v>
      </c>
      <c r="D29" s="185">
        <v>1023</v>
      </c>
      <c r="E29" s="185">
        <f>+D29-C29</f>
        <v>-189</v>
      </c>
      <c r="F29" s="77">
        <f>IF(C29=0,0,+E29/C29)</f>
        <v>-0.15594059405940594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5087</v>
      </c>
      <c r="D30" s="185">
        <v>3889</v>
      </c>
      <c r="E30" s="185">
        <f>+D30-C30</f>
        <v>-1198</v>
      </c>
      <c r="F30" s="77">
        <f>IF(C30=0,0,+E30/C30)</f>
        <v>-0.23550226066443877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5029849</v>
      </c>
      <c r="D33" s="76">
        <v>5265880</v>
      </c>
      <c r="E33" s="76">
        <f>+D33-C33</f>
        <v>236031</v>
      </c>
      <c r="F33" s="77">
        <f>IF(C33=0,0,+E33/C33)</f>
        <v>4.6926060802222891E-2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5029848</v>
      </c>
      <c r="D34" s="185">
        <v>4658279</v>
      </c>
      <c r="E34" s="185">
        <f>+D34-C34</f>
        <v>-371569</v>
      </c>
      <c r="F34" s="77">
        <f>IF(C34=0,0,+E34/C34)</f>
        <v>-7.3872808880109303E-2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8569372</v>
      </c>
      <c r="D35" s="185">
        <v>10329227</v>
      </c>
      <c r="E35" s="185">
        <f>+D35-C35</f>
        <v>1759855</v>
      </c>
      <c r="F35" s="77">
        <f>IF(C35=0,0,+E35/C35)</f>
        <v>0.20536569074139854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18629069</v>
      </c>
      <c r="D36" s="79">
        <f>+D33+D34+D35</f>
        <v>20253386</v>
      </c>
      <c r="E36" s="79">
        <f>+E33+E34+E35</f>
        <v>1624317</v>
      </c>
      <c r="F36" s="80">
        <f>IF(C36=0,0,+E36/C36)</f>
        <v>8.7192602056495691E-2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6110468</v>
      </c>
      <c r="D39" s="76">
        <f>+D25</f>
        <v>5761205</v>
      </c>
      <c r="E39" s="76">
        <f>+D39-C39</f>
        <v>-349263</v>
      </c>
      <c r="F39" s="77">
        <f>IF(C39=0,0,+E39/C39)</f>
        <v>-5.7158142387784376E-2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18629069</v>
      </c>
      <c r="D40" s="185">
        <f>+D36</f>
        <v>20253386</v>
      </c>
      <c r="E40" s="185">
        <f>+D40-C40</f>
        <v>1624317</v>
      </c>
      <c r="F40" s="77">
        <f>IF(C40=0,0,+E40/C40)</f>
        <v>8.7192602056495691E-2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24739537</v>
      </c>
      <c r="D41" s="79">
        <f>+D39+D40</f>
        <v>26014591</v>
      </c>
      <c r="E41" s="79">
        <f>+E39+E40</f>
        <v>1275054</v>
      </c>
      <c r="F41" s="80">
        <f>IF(C41=0,0,+E41/C41)</f>
        <v>5.1539121366741825E-2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6679675</v>
      </c>
      <c r="D43" s="76">
        <f t="shared" si="0"/>
        <v>6763793</v>
      </c>
      <c r="E43" s="76">
        <f>+D43-C43</f>
        <v>84118</v>
      </c>
      <c r="F43" s="77">
        <f>IF(C43=0,0,+E43/C43)</f>
        <v>1.25931276596541E-2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6679675</v>
      </c>
      <c r="D44" s="185">
        <f t="shared" si="0"/>
        <v>5983356</v>
      </c>
      <c r="E44" s="185">
        <f>+D44-C44</f>
        <v>-696319</v>
      </c>
      <c r="F44" s="77">
        <f>IF(C44=0,0,+E44/C44)</f>
        <v>-0.10424444303053666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11380187</v>
      </c>
      <c r="D45" s="185">
        <f t="shared" si="0"/>
        <v>13267442</v>
      </c>
      <c r="E45" s="185">
        <f>+D45-C45</f>
        <v>1887255</v>
      </c>
      <c r="F45" s="77">
        <f>IF(C45=0,0,+E45/C45)</f>
        <v>0.16583690584346286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24739537</v>
      </c>
      <c r="D46" s="79">
        <f>+D43+D44+D45</f>
        <v>26014591</v>
      </c>
      <c r="E46" s="79">
        <f>+E43+E44+E45</f>
        <v>1275054</v>
      </c>
      <c r="F46" s="80">
        <f>IF(C46=0,0,+E46/C46)</f>
        <v>5.1539121366741825E-2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508737690</v>
      </c>
      <c r="D15" s="76">
        <v>545975025</v>
      </c>
      <c r="E15" s="76">
        <f>+D15-C15</f>
        <v>37237335</v>
      </c>
      <c r="F15" s="77">
        <f>IF(C15=0,0,E15/C15)</f>
        <v>7.3195549950309358E-2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272041534</v>
      </c>
      <c r="D17" s="76">
        <v>287698909</v>
      </c>
      <c r="E17" s="76">
        <f>+D17-C17</f>
        <v>15657375</v>
      </c>
      <c r="F17" s="77">
        <f>IF(C17=0,0,E17/C17)</f>
        <v>5.7555090098852332E-2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236696156</v>
      </c>
      <c r="D19" s="79">
        <f>+D15-D17</f>
        <v>258276116</v>
      </c>
      <c r="E19" s="79">
        <f>+D19-C19</f>
        <v>21579960</v>
      </c>
      <c r="F19" s="80">
        <f>IF(C19=0,0,E19/C19)</f>
        <v>9.1171569343103318E-2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0.53473831278354866</v>
      </c>
      <c r="D21" s="720">
        <f>IF(D15=0,0,D17/D15)</f>
        <v>0.52694518215370745</v>
      </c>
      <c r="E21" s="720">
        <f>+D21-C21</f>
        <v>-7.7931306298412162E-3</v>
      </c>
      <c r="F21" s="80">
        <f>IF(C21=0,0,E21/C21)</f>
        <v>-1.457372782824282E-2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908930149</v>
      </c>
      <c r="D10" s="744">
        <v>992068952</v>
      </c>
      <c r="E10" s="744">
        <v>1101981674</v>
      </c>
    </row>
    <row r="11" spans="1:6" ht="26.1" customHeight="1" x14ac:dyDescent="0.25">
      <c r="A11" s="742">
        <v>2</v>
      </c>
      <c r="B11" s="743" t="s">
        <v>932</v>
      </c>
      <c r="C11" s="744">
        <v>659443327</v>
      </c>
      <c r="D11" s="744">
        <v>765589378</v>
      </c>
      <c r="E11" s="744">
        <v>828975422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1568373476</v>
      </c>
      <c r="D12" s="744">
        <f>+D11+D10</f>
        <v>1757658330</v>
      </c>
      <c r="E12" s="744">
        <f>+E11+E10</f>
        <v>1930957096</v>
      </c>
    </row>
    <row r="13" spans="1:6" ht="26.1" customHeight="1" x14ac:dyDescent="0.25">
      <c r="A13" s="742">
        <v>4</v>
      </c>
      <c r="B13" s="743" t="s">
        <v>507</v>
      </c>
      <c r="C13" s="744">
        <v>612741381</v>
      </c>
      <c r="D13" s="744">
        <v>645464533</v>
      </c>
      <c r="E13" s="744">
        <v>635118562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646777800</v>
      </c>
      <c r="D16" s="744">
        <v>674830699</v>
      </c>
      <c r="E16" s="744">
        <v>666258533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157959</v>
      </c>
      <c r="D19" s="747">
        <v>157534</v>
      </c>
      <c r="E19" s="747">
        <v>159375</v>
      </c>
    </row>
    <row r="20" spans="1:5" ht="26.1" customHeight="1" x14ac:dyDescent="0.25">
      <c r="A20" s="742">
        <v>2</v>
      </c>
      <c r="B20" s="743" t="s">
        <v>381</v>
      </c>
      <c r="C20" s="748">
        <v>31842</v>
      </c>
      <c r="D20" s="748">
        <v>32111</v>
      </c>
      <c r="E20" s="748">
        <v>32366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4.9607122668174108</v>
      </c>
      <c r="D21" s="749">
        <f>IF(D20=0,0,+D19/D20)</f>
        <v>4.9059200896888919</v>
      </c>
      <c r="E21" s="749">
        <f>IF(E20=0,0,+E19/E20)</f>
        <v>4.9241487981214851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272560.77506950864</v>
      </c>
      <c r="D22" s="748">
        <f>IF(D10=0,0,D19*(D12/D10))</f>
        <v>279104.53885288007</v>
      </c>
      <c r="E22" s="748">
        <f>IF(E10=0,0,E19*(E12/E10))</f>
        <v>279266.24773888936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54943.879106371242</v>
      </c>
      <c r="D23" s="748">
        <f>IF(D10=0,0,D20*(D12/D10))</f>
        <v>56891.374859426105</v>
      </c>
      <c r="E23" s="748">
        <f>IF(E10=0,0,E20*(E12/E10))</f>
        <v>56713.608623164815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1.4704353652408768</v>
      </c>
      <c r="D26" s="750">
        <v>1.4675146896702065</v>
      </c>
      <c r="E26" s="750">
        <v>1.4751311437928689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232268.49985808367</v>
      </c>
      <c r="D27" s="748">
        <f>D19*D26</f>
        <v>231183.45912250632</v>
      </c>
      <c r="E27" s="748">
        <f>E19*E26</f>
        <v>235099.02604198849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46821.602899999998</v>
      </c>
      <c r="D28" s="748">
        <f>D20*D26</f>
        <v>47123.364200000004</v>
      </c>
      <c r="E28" s="748">
        <f>E20*E26</f>
        <v>47744.094599999997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400783.00283966941</v>
      </c>
      <c r="D29" s="748">
        <f>D22*D26</f>
        <v>409590.01072023041</v>
      </c>
      <c r="E29" s="748">
        <f>E22*E26</f>
        <v>411954.33944981056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80791.422941527577</v>
      </c>
      <c r="D30" s="748">
        <f>D23*D26</f>
        <v>83488.928321742089</v>
      </c>
      <c r="E30" s="748">
        <f>E23*E26</f>
        <v>83660.010356910221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9928.9909153641129</v>
      </c>
      <c r="D33" s="744">
        <f>IF(D19=0,0,D12/D19)</f>
        <v>11157.326862772481</v>
      </c>
      <c r="E33" s="744">
        <f>IF(E19=0,0,E12/E19)</f>
        <v>12115.809229803921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49254.86703096539</v>
      </c>
      <c r="D34" s="744">
        <f>IF(D20=0,0,D12/D20)</f>
        <v>54736.954003301049</v>
      </c>
      <c r="E34" s="744">
        <f>IF(E20=0,0,E12/E20)</f>
        <v>59660.04745720818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5754.2156445659957</v>
      </c>
      <c r="D35" s="744">
        <f>IF(D22=0,0,D12/D22)</f>
        <v>6297.4910305077001</v>
      </c>
      <c r="E35" s="744">
        <f>IF(E22=0,0,E12/E22)</f>
        <v>6914.3948172549017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28545.008133911186</v>
      </c>
      <c r="D36" s="744">
        <f>IF(D23=0,0,D12/D23)</f>
        <v>30894.987761203323</v>
      </c>
      <c r="E36" s="744">
        <f>IF(E23=0,0,E12/E23)</f>
        <v>34047.508929123156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3913.2734294807842</v>
      </c>
      <c r="D37" s="744">
        <f>IF(D29=0,0,D12/D29)</f>
        <v>4291.2626870692038</v>
      </c>
      <c r="E37" s="744">
        <f>IF(E29=0,0,E12/E29)</f>
        <v>4687.3085463279931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19412.623505035965</v>
      </c>
      <c r="D38" s="744">
        <f>IF(D30=0,0,D12/D30)</f>
        <v>21052.591826625143</v>
      </c>
      <c r="E38" s="744">
        <f>IF(E30=0,0,E12/E30)</f>
        <v>23081.004744825557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3334.7797340545571</v>
      </c>
      <c r="D39" s="744">
        <f>IF(D22=0,0,D10/D22)</f>
        <v>3554.4708662833086</v>
      </c>
      <c r="E39" s="744">
        <f>IF(E22=0,0,E10/E22)</f>
        <v>3945.9894739243241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16542.882733858543</v>
      </c>
      <c r="D40" s="744">
        <f>IF(D23=0,0,D10/D23)</f>
        <v>17437.950031113163</v>
      </c>
      <c r="E40" s="744">
        <f>IF(E23=0,0,E10/E23)</f>
        <v>19430.639325424494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3879.1166125386967</v>
      </c>
      <c r="D43" s="744">
        <f>IF(D19=0,0,D13/D19)</f>
        <v>4097.3030139525436</v>
      </c>
      <c r="E43" s="744">
        <f>IF(E19=0,0,E13/E19)</f>
        <v>3985.0576439215688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19243.181364235916</v>
      </c>
      <c r="D44" s="744">
        <f>IF(D20=0,0,D13/D20)</f>
        <v>20101.041169692628</v>
      </c>
      <c r="E44" s="744">
        <f>IF(E20=0,0,E13/E20)</f>
        <v>19623.016807761232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2248.0908371490295</v>
      </c>
      <c r="D45" s="744">
        <f>IF(D22=0,0,D13/D22)</f>
        <v>2312.626428981986</v>
      </c>
      <c r="E45" s="744">
        <f>IF(E22=0,0,E13/E22)</f>
        <v>2274.2403249311687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11152.131792765013</v>
      </c>
      <c r="D46" s="744">
        <f>IF(D23=0,0,D13/D23)</f>
        <v>11345.560457888207</v>
      </c>
      <c r="E46" s="744">
        <f>IF(E23=0,0,E13/E23)</f>
        <v>11198.697762649232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1528.8606968323033</v>
      </c>
      <c r="D47" s="744">
        <f>IF(D29=0,0,D13/D29)</f>
        <v>1575.8795773974166</v>
      </c>
      <c r="E47" s="744">
        <f>IF(E29=0,0,E13/E29)</f>
        <v>1541.7207714045164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7584.2380130310212</v>
      </c>
      <c r="D48" s="744">
        <f>IF(D30=0,0,D13/D30)</f>
        <v>7731.1392776844268</v>
      </c>
      <c r="E48" s="744">
        <f>IF(E30=0,0,E13/E30)</f>
        <v>7591.6624835504808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4094.5929006894194</v>
      </c>
      <c r="D51" s="744">
        <f>IF(D19=0,0,D16/D19)</f>
        <v>4283.7146203359271</v>
      </c>
      <c r="E51" s="744">
        <f>IF(E19=0,0,E16/E19)</f>
        <v>4180.4456972549024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20312.097230073487</v>
      </c>
      <c r="D52" s="744">
        <f>IF(D20=0,0,D16/D20)</f>
        <v>21015.561614400049</v>
      </c>
      <c r="E52" s="744">
        <f>IF(E20=0,0,E16/E20)</f>
        <v>20585.136655749862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2372.9672761425713</v>
      </c>
      <c r="D53" s="744">
        <f>IF(D22=0,0,D16/D22)</f>
        <v>2417.8420808688916</v>
      </c>
      <c r="E53" s="744">
        <f>IF(E22=0,0,E16/E22)</f>
        <v>2385.7467144505908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11771.607875516751</v>
      </c>
      <c r="D54" s="744">
        <f>IF(D23=0,0,D16/D23)</f>
        <v>11861.740038229889</v>
      </c>
      <c r="E54" s="744">
        <f>IF(E23=0,0,E16/E23)</f>
        <v>11747.77181658416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1613.7855034205111</v>
      </c>
      <c r="D55" s="744">
        <f>IF(D29=0,0,D16/D29)</f>
        <v>1647.5760671344635</v>
      </c>
      <c r="E55" s="744">
        <f>IF(E29=0,0,E16/E29)</f>
        <v>1617.3116027611889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8005.5255428302389</v>
      </c>
      <c r="D56" s="744">
        <f>IF(D30=0,0,D16/D30)</f>
        <v>8082.8765270455797</v>
      </c>
      <c r="E56" s="744">
        <f>IF(E30=0,0,E16/E30)</f>
        <v>7963.882984924443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104116810</v>
      </c>
      <c r="D59" s="752">
        <v>96936155</v>
      </c>
      <c r="E59" s="752">
        <v>110581485</v>
      </c>
    </row>
    <row r="60" spans="1:6" ht="26.1" customHeight="1" x14ac:dyDescent="0.25">
      <c r="A60" s="742">
        <v>2</v>
      </c>
      <c r="B60" s="743" t="s">
        <v>968</v>
      </c>
      <c r="C60" s="752">
        <v>26422533</v>
      </c>
      <c r="D60" s="752">
        <v>26485580</v>
      </c>
      <c r="E60" s="752">
        <v>31316806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130539343</v>
      </c>
      <c r="D61" s="755">
        <f>D59+D60</f>
        <v>123421735</v>
      </c>
      <c r="E61" s="755">
        <f>E59+E60</f>
        <v>141898291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10413391</v>
      </c>
      <c r="D64" s="744">
        <v>4418450</v>
      </c>
      <c r="E64" s="752">
        <v>4569581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2617901</v>
      </c>
      <c r="D65" s="752">
        <v>1200857</v>
      </c>
      <c r="E65" s="752">
        <v>1286992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13031292</v>
      </c>
      <c r="D66" s="757">
        <f>D64+D65</f>
        <v>5619307</v>
      </c>
      <c r="E66" s="757">
        <f>E64+E65</f>
        <v>5856573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125547365</v>
      </c>
      <c r="D69" s="752">
        <v>142595158</v>
      </c>
      <c r="E69" s="752">
        <v>137408298</v>
      </c>
    </row>
    <row r="70" spans="1:6" ht="26.1" customHeight="1" x14ac:dyDescent="0.25">
      <c r="A70" s="742">
        <v>2</v>
      </c>
      <c r="B70" s="743" t="s">
        <v>976</v>
      </c>
      <c r="C70" s="752">
        <v>31840979</v>
      </c>
      <c r="D70" s="752">
        <v>39027868</v>
      </c>
      <c r="E70" s="752">
        <v>38895758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157388344</v>
      </c>
      <c r="D71" s="755">
        <f>D69+D70</f>
        <v>181623026</v>
      </c>
      <c r="E71" s="755">
        <f>E69+E70</f>
        <v>176304056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240077566</v>
      </c>
      <c r="D75" s="744">
        <f t="shared" si="0"/>
        <v>243949763</v>
      </c>
      <c r="E75" s="744">
        <f t="shared" si="0"/>
        <v>252559364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60881413</v>
      </c>
      <c r="D76" s="744">
        <f t="shared" si="0"/>
        <v>66714305</v>
      </c>
      <c r="E76" s="744">
        <f t="shared" si="0"/>
        <v>71499556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300958979</v>
      </c>
      <c r="D77" s="757">
        <f>D75+D76</f>
        <v>310664068</v>
      </c>
      <c r="E77" s="757">
        <f>E75+E76</f>
        <v>324058920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1307.4000000000001</v>
      </c>
      <c r="D80" s="749">
        <v>1330.2</v>
      </c>
      <c r="E80" s="749">
        <v>1396</v>
      </c>
    </row>
    <row r="81" spans="1:5" ht="26.1" customHeight="1" x14ac:dyDescent="0.25">
      <c r="A81" s="742">
        <v>2</v>
      </c>
      <c r="B81" s="743" t="s">
        <v>617</v>
      </c>
      <c r="C81" s="749">
        <v>62.6</v>
      </c>
      <c r="D81" s="749">
        <v>38.5</v>
      </c>
      <c r="E81" s="749">
        <v>40.5</v>
      </c>
    </row>
    <row r="82" spans="1:5" ht="26.1" customHeight="1" x14ac:dyDescent="0.25">
      <c r="A82" s="742">
        <v>3</v>
      </c>
      <c r="B82" s="743" t="s">
        <v>982</v>
      </c>
      <c r="C82" s="749">
        <v>2184.4</v>
      </c>
      <c r="D82" s="749">
        <v>2325.8000000000002</v>
      </c>
      <c r="E82" s="749">
        <v>2380.1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3554.4</v>
      </c>
      <c r="D83" s="759">
        <f>D80+D81+D82</f>
        <v>3694.5</v>
      </c>
      <c r="E83" s="759">
        <f>E80+E81+E82</f>
        <v>3816.6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79636.538167355044</v>
      </c>
      <c r="D86" s="752">
        <f>IF(D80=0,0,D59/D80)</f>
        <v>72873.368666365961</v>
      </c>
      <c r="E86" s="752">
        <f>IF(E80=0,0,E59/E80)</f>
        <v>79213.09813753581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20209.983937586047</v>
      </c>
      <c r="D87" s="752">
        <f>IF(D80=0,0,D60/D80)</f>
        <v>19910.975793113816</v>
      </c>
      <c r="E87" s="752">
        <f>IF(E80=0,0,E60/E80)</f>
        <v>22433.242120343839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99846.52210494109</v>
      </c>
      <c r="D88" s="755">
        <f>+D86+D87</f>
        <v>92784.344459479777</v>
      </c>
      <c r="E88" s="755">
        <f>+E86+E87</f>
        <v>101646.34025787965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166348.09904153354</v>
      </c>
      <c r="D91" s="744">
        <f>IF(D81=0,0,D64/D81)</f>
        <v>114764.93506493507</v>
      </c>
      <c r="E91" s="744">
        <f>IF(E81=0,0,E64/E81)</f>
        <v>112829.16049382716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41819.504792332271</v>
      </c>
      <c r="D92" s="744">
        <f>IF(D81=0,0,D65/D81)</f>
        <v>31191.090909090908</v>
      </c>
      <c r="E92" s="744">
        <f>IF(E81=0,0,E65/E81)</f>
        <v>31777.580246913582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208167.60383386581</v>
      </c>
      <c r="D93" s="757">
        <f>+D91+D92</f>
        <v>145956.02597402598</v>
      </c>
      <c r="E93" s="757">
        <f>+E91+E92</f>
        <v>144606.74074074073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57474.530763596405</v>
      </c>
      <c r="D96" s="752">
        <f>IF(D82=0,0,D69/D82)</f>
        <v>61310.154785450162</v>
      </c>
      <c r="E96" s="752">
        <f>IF(E82=0,0,E69/E82)</f>
        <v>57732.153270870971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14576.5331441128</v>
      </c>
      <c r="D97" s="752">
        <f>IF(D82=0,0,D70/D82)</f>
        <v>16780.405881847106</v>
      </c>
      <c r="E97" s="752">
        <f>IF(E82=0,0,E70/E82)</f>
        <v>16342.068820637789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72051.063907709206</v>
      </c>
      <c r="D98" s="757">
        <f>+D96+D97</f>
        <v>78090.560667297264</v>
      </c>
      <c r="E98" s="757">
        <f>+E96+E97</f>
        <v>74074.222091508767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67543.767161827593</v>
      </c>
      <c r="D101" s="744">
        <f>IF(D83=0,0,D75/D83)</f>
        <v>66030.521856814186</v>
      </c>
      <c r="E101" s="744">
        <f>IF(E83=0,0,E75/E83)</f>
        <v>66173.915002882146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17128.464157101058</v>
      </c>
      <c r="D102" s="761">
        <f>IF(D83=0,0,D76/D83)</f>
        <v>18057.735823521452</v>
      </c>
      <c r="E102" s="761">
        <f>IF(E83=0,0,E76/E83)</f>
        <v>18733.835350835823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84672.231318928651</v>
      </c>
      <c r="D103" s="757">
        <f>+D101+D102</f>
        <v>84088.257680335635</v>
      </c>
      <c r="E103" s="757">
        <f>+E101+E102</f>
        <v>84907.750353717973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1905.2980773491856</v>
      </c>
      <c r="D108" s="744">
        <f>IF(D19=0,0,D77/D19)</f>
        <v>1972.0445618088793</v>
      </c>
      <c r="E108" s="744">
        <f>IF(E19=0,0,E77/E19)</f>
        <v>2033.3108705882353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9451.6355442497334</v>
      </c>
      <c r="D109" s="744">
        <f>IF(D20=0,0,D77/D20)</f>
        <v>9674.6930335399084</v>
      </c>
      <c r="E109" s="744">
        <f>IF(E20=0,0,E77/E20)</f>
        <v>10012.32527961441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1104.190355062093</v>
      </c>
      <c r="D110" s="744">
        <f>IF(D22=0,0,D77/D22)</f>
        <v>1113.0742240052048</v>
      </c>
      <c r="E110" s="744">
        <f>IF(E22=0,0,E77/E22)</f>
        <v>1160.3941493960676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5477.5706392579968</v>
      </c>
      <c r="D111" s="744">
        <f>IF(D23=0,0,D77/D23)</f>
        <v>5460.6531968620075</v>
      </c>
      <c r="E111" s="744">
        <f>IF(E23=0,0,E77/E23)</f>
        <v>5713.95345609585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750.92750158468334</v>
      </c>
      <c r="D112" s="744">
        <f>IF(D29=0,0,D77/D29)</f>
        <v>758.47569488748695</v>
      </c>
      <c r="E112" s="744">
        <f>IF(E29=0,0,E77/E29)</f>
        <v>786.63795709204055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3725.1352686016889</v>
      </c>
      <c r="D113" s="744">
        <f>IF(D30=0,0,D77/D30)</f>
        <v>3721.0211490892648</v>
      </c>
      <c r="E113" s="744">
        <f>IF(E30=0,0,E77/E30)</f>
        <v>3873.5223509715129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1757658000</v>
      </c>
      <c r="D12" s="76">
        <v>1930957099</v>
      </c>
      <c r="E12" s="76">
        <f t="shared" ref="E12:E21" si="0">D12-C12</f>
        <v>173299099</v>
      </c>
      <c r="F12" s="77">
        <f t="shared" ref="F12:F21" si="1">IF(C12=0,0,E12/C12)</f>
        <v>9.8596597859196722E-2</v>
      </c>
    </row>
    <row r="13" spans="1:8" ht="23.1" customHeight="1" x14ac:dyDescent="0.2">
      <c r="A13" s="74">
        <v>2</v>
      </c>
      <c r="B13" s="75" t="s">
        <v>72</v>
      </c>
      <c r="C13" s="76">
        <v>1093518000</v>
      </c>
      <c r="D13" s="76">
        <v>1256441255</v>
      </c>
      <c r="E13" s="76">
        <f t="shared" si="0"/>
        <v>162923255</v>
      </c>
      <c r="F13" s="77">
        <f t="shared" si="1"/>
        <v>0.14899000748044386</v>
      </c>
    </row>
    <row r="14" spans="1:8" ht="23.1" customHeight="1" x14ac:dyDescent="0.2">
      <c r="A14" s="74">
        <v>3</v>
      </c>
      <c r="B14" s="75" t="s">
        <v>73</v>
      </c>
      <c r="C14" s="76">
        <v>18675467</v>
      </c>
      <c r="D14" s="76">
        <v>19143896</v>
      </c>
      <c r="E14" s="76">
        <f t="shared" si="0"/>
        <v>468429</v>
      </c>
      <c r="F14" s="77">
        <f t="shared" si="1"/>
        <v>2.5082585618876357E-2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645464533</v>
      </c>
      <c r="D16" s="79">
        <f>D12-D13-D14-D15</f>
        <v>655371948</v>
      </c>
      <c r="E16" s="79">
        <f t="shared" si="0"/>
        <v>9907415</v>
      </c>
      <c r="F16" s="80">
        <f t="shared" si="1"/>
        <v>1.5349278687633175E-2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20253386</v>
      </c>
      <c r="E17" s="76">
        <f t="shared" si="0"/>
        <v>20253386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645464533</v>
      </c>
      <c r="D18" s="79">
        <f>D16-D17</f>
        <v>635118562</v>
      </c>
      <c r="E18" s="79">
        <f t="shared" si="0"/>
        <v>-10345971</v>
      </c>
      <c r="F18" s="80">
        <f t="shared" si="1"/>
        <v>-1.6028721131916942E-2</v>
      </c>
    </row>
    <row r="19" spans="1:7" ht="23.1" customHeight="1" x14ac:dyDescent="0.2">
      <c r="A19" s="74">
        <v>6</v>
      </c>
      <c r="B19" s="75" t="s">
        <v>78</v>
      </c>
      <c r="C19" s="76">
        <v>31085511</v>
      </c>
      <c r="D19" s="76">
        <v>30927888</v>
      </c>
      <c r="E19" s="76">
        <f t="shared" si="0"/>
        <v>-157623</v>
      </c>
      <c r="F19" s="77">
        <f t="shared" si="1"/>
        <v>-5.0706259903528688E-3</v>
      </c>
      <c r="G19" s="65"/>
    </row>
    <row r="20" spans="1:7" ht="33" customHeight="1" x14ac:dyDescent="0.2">
      <c r="A20" s="74">
        <v>7</v>
      </c>
      <c r="B20" s="82" t="s">
        <v>79</v>
      </c>
      <c r="C20" s="76">
        <v>6813522</v>
      </c>
      <c r="D20" s="76">
        <v>4399960</v>
      </c>
      <c r="E20" s="76">
        <f t="shared" si="0"/>
        <v>-2413562</v>
      </c>
      <c r="F20" s="77">
        <f t="shared" si="1"/>
        <v>-0.35423118909720991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683363566</v>
      </c>
      <c r="D21" s="79">
        <f>SUM(D18:D20)</f>
        <v>670446410</v>
      </c>
      <c r="E21" s="79">
        <f t="shared" si="0"/>
        <v>-12917156</v>
      </c>
      <c r="F21" s="80">
        <f t="shared" si="1"/>
        <v>-1.8902318828042407E-2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243949763</v>
      </c>
      <c r="D24" s="76">
        <v>252559364</v>
      </c>
      <c r="E24" s="76">
        <f t="shared" ref="E24:E33" si="2">D24-C24</f>
        <v>8609601</v>
      </c>
      <c r="F24" s="77">
        <f t="shared" ref="F24:F33" si="3">IF(C24=0,0,E24/C24)</f>
        <v>3.5292516353049294E-2</v>
      </c>
    </row>
    <row r="25" spans="1:7" ht="23.1" customHeight="1" x14ac:dyDescent="0.2">
      <c r="A25" s="74">
        <v>2</v>
      </c>
      <c r="B25" s="75" t="s">
        <v>83</v>
      </c>
      <c r="C25" s="76">
        <v>66714305</v>
      </c>
      <c r="D25" s="76">
        <v>71499556</v>
      </c>
      <c r="E25" s="76">
        <f t="shared" si="2"/>
        <v>4785251</v>
      </c>
      <c r="F25" s="77">
        <f t="shared" si="3"/>
        <v>7.172751031431715E-2</v>
      </c>
    </row>
    <row r="26" spans="1:7" ht="23.1" customHeight="1" x14ac:dyDescent="0.2">
      <c r="A26" s="74">
        <v>3</v>
      </c>
      <c r="B26" s="75" t="s">
        <v>84</v>
      </c>
      <c r="C26" s="76">
        <v>47528057</v>
      </c>
      <c r="D26" s="76">
        <v>46353712</v>
      </c>
      <c r="E26" s="76">
        <f t="shared" si="2"/>
        <v>-1174345</v>
      </c>
      <c r="F26" s="77">
        <f t="shared" si="3"/>
        <v>-2.4708457995663489E-2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108388122</v>
      </c>
      <c r="D27" s="76">
        <v>101337301</v>
      </c>
      <c r="E27" s="76">
        <f t="shared" si="2"/>
        <v>-7050821</v>
      </c>
      <c r="F27" s="77">
        <f t="shared" si="3"/>
        <v>-6.5051602241064752E-2</v>
      </c>
    </row>
    <row r="28" spans="1:7" ht="23.1" customHeight="1" x14ac:dyDescent="0.2">
      <c r="A28" s="74">
        <v>5</v>
      </c>
      <c r="B28" s="75" t="s">
        <v>86</v>
      </c>
      <c r="C28" s="76">
        <v>34807794</v>
      </c>
      <c r="D28" s="76">
        <v>34869577</v>
      </c>
      <c r="E28" s="76">
        <f t="shared" si="2"/>
        <v>61783</v>
      </c>
      <c r="F28" s="77">
        <f t="shared" si="3"/>
        <v>1.774976029793787E-3</v>
      </c>
    </row>
    <row r="29" spans="1:7" ht="23.1" customHeight="1" x14ac:dyDescent="0.2">
      <c r="A29" s="74">
        <v>6</v>
      </c>
      <c r="B29" s="75" t="s">
        <v>87</v>
      </c>
      <c r="C29" s="76">
        <v>18629069</v>
      </c>
      <c r="D29" s="76">
        <v>0</v>
      </c>
      <c r="E29" s="76">
        <f t="shared" si="2"/>
        <v>-18629069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11964520</v>
      </c>
      <c r="D30" s="76">
        <v>11600890</v>
      </c>
      <c r="E30" s="76">
        <f t="shared" si="2"/>
        <v>-363630</v>
      </c>
      <c r="F30" s="77">
        <f t="shared" si="3"/>
        <v>-3.0392360077963847E-2</v>
      </c>
    </row>
    <row r="31" spans="1:7" ht="23.1" customHeight="1" x14ac:dyDescent="0.2">
      <c r="A31" s="74">
        <v>8</v>
      </c>
      <c r="B31" s="75" t="s">
        <v>89</v>
      </c>
      <c r="C31" s="76">
        <v>13797528</v>
      </c>
      <c r="D31" s="76">
        <v>8725455</v>
      </c>
      <c r="E31" s="76">
        <f t="shared" si="2"/>
        <v>-5072073</v>
      </c>
      <c r="F31" s="77">
        <f t="shared" si="3"/>
        <v>-0.36760737140739991</v>
      </c>
    </row>
    <row r="32" spans="1:7" ht="23.1" customHeight="1" x14ac:dyDescent="0.2">
      <c r="A32" s="74">
        <v>9</v>
      </c>
      <c r="B32" s="75" t="s">
        <v>90</v>
      </c>
      <c r="C32" s="76">
        <v>129051541</v>
      </c>
      <c r="D32" s="76">
        <v>139312678</v>
      </c>
      <c r="E32" s="76">
        <f t="shared" si="2"/>
        <v>10261137</v>
      </c>
      <c r="F32" s="77">
        <f t="shared" si="3"/>
        <v>7.9511929268632292E-2</v>
      </c>
    </row>
    <row r="33" spans="1:6" ht="23.1" customHeight="1" x14ac:dyDescent="0.25">
      <c r="A33" s="71"/>
      <c r="B33" s="78" t="s">
        <v>91</v>
      </c>
      <c r="C33" s="79">
        <f>SUM(C24:C32)</f>
        <v>674830699</v>
      </c>
      <c r="D33" s="79">
        <f>SUM(D24:D32)</f>
        <v>666258533</v>
      </c>
      <c r="E33" s="79">
        <f t="shared" si="2"/>
        <v>-8572166</v>
      </c>
      <c r="F33" s="80">
        <f t="shared" si="3"/>
        <v>-1.2702691227151775E-2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8532867</v>
      </c>
      <c r="D35" s="79">
        <f>+D21-D33</f>
        <v>4187877</v>
      </c>
      <c r="E35" s="79">
        <f>D35-C35</f>
        <v>-4344990</v>
      </c>
      <c r="F35" s="80">
        <f>IF(C35=0,0,E35/C35)</f>
        <v>-0.50920634295600764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328120</v>
      </c>
      <c r="D38" s="76">
        <v>2295512</v>
      </c>
      <c r="E38" s="76">
        <f>D38-C38</f>
        <v>1967392</v>
      </c>
      <c r="F38" s="77">
        <f>IF(C38=0,0,E38/C38)</f>
        <v>5.9959527002316229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-11122289</v>
      </c>
      <c r="D40" s="76">
        <v>22217941</v>
      </c>
      <c r="E40" s="76">
        <f>D40-C40</f>
        <v>33340230</v>
      </c>
      <c r="F40" s="77">
        <f>IF(C40=0,0,E40/C40)</f>
        <v>-2.9976050793141593</v>
      </c>
    </row>
    <row r="41" spans="1:6" ht="23.1" customHeight="1" x14ac:dyDescent="0.25">
      <c r="A41" s="83"/>
      <c r="B41" s="78" t="s">
        <v>97</v>
      </c>
      <c r="C41" s="79">
        <f>SUM(C38:C40)</f>
        <v>-10794169</v>
      </c>
      <c r="D41" s="79">
        <f>SUM(D38:D40)</f>
        <v>24513453</v>
      </c>
      <c r="E41" s="79">
        <f>D41-C41</f>
        <v>35307622</v>
      </c>
      <c r="F41" s="80">
        <f>IF(C41=0,0,E41/C41)</f>
        <v>-3.2709902911470072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-2261302</v>
      </c>
      <c r="D43" s="79">
        <f>D35+D41</f>
        <v>28701330</v>
      </c>
      <c r="E43" s="79">
        <f>D43-C43</f>
        <v>30962632</v>
      </c>
      <c r="F43" s="80">
        <f>IF(C43=0,0,E43/C43)</f>
        <v>-13.692391374526711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-2261302</v>
      </c>
      <c r="D50" s="79">
        <f>D43+D48</f>
        <v>28701330</v>
      </c>
      <c r="E50" s="79">
        <f>D50-C50</f>
        <v>30962632</v>
      </c>
      <c r="F50" s="80">
        <f>IF(C50=0,0,E50/C50)</f>
        <v>-13.692391374526711</v>
      </c>
    </row>
    <row r="51" spans="1:6" ht="23.1" customHeight="1" x14ac:dyDescent="0.2">
      <c r="A51" s="85"/>
      <c r="B51" s="75" t="s">
        <v>104</v>
      </c>
      <c r="C51" s="76">
        <v>6229356</v>
      </c>
      <c r="D51" s="76">
        <v>9786000</v>
      </c>
      <c r="E51" s="76">
        <f>D51-C51</f>
        <v>3556644</v>
      </c>
      <c r="F51" s="77">
        <f>IF(C51=0,0,E51/C51)</f>
        <v>0.57094890707803503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403492617</v>
      </c>
      <c r="D14" s="113">
        <v>447642193</v>
      </c>
      <c r="E14" s="113">
        <f t="shared" ref="E14:E25" si="0">D14-C14</f>
        <v>44149576</v>
      </c>
      <c r="F14" s="114">
        <f t="shared" ref="F14:F25" si="1">IF(C14=0,0,E14/C14)</f>
        <v>0.1094185473039275</v>
      </c>
    </row>
    <row r="15" spans="1:6" x14ac:dyDescent="0.2">
      <c r="A15" s="115">
        <v>2</v>
      </c>
      <c r="B15" s="116" t="s">
        <v>114</v>
      </c>
      <c r="C15" s="113">
        <v>116784476</v>
      </c>
      <c r="D15" s="113">
        <v>132805007</v>
      </c>
      <c r="E15" s="113">
        <f t="shared" si="0"/>
        <v>16020531</v>
      </c>
      <c r="F15" s="114">
        <f t="shared" si="1"/>
        <v>0.1371803132464284</v>
      </c>
    </row>
    <row r="16" spans="1:6" x14ac:dyDescent="0.2">
      <c r="A16" s="115">
        <v>3</v>
      </c>
      <c r="B16" s="116" t="s">
        <v>115</v>
      </c>
      <c r="C16" s="113">
        <v>176646793</v>
      </c>
      <c r="D16" s="113">
        <v>221760677</v>
      </c>
      <c r="E16" s="113">
        <f t="shared" si="0"/>
        <v>45113884</v>
      </c>
      <c r="F16" s="114">
        <f t="shared" si="1"/>
        <v>0.25539033703261171</v>
      </c>
    </row>
    <row r="17" spans="1:6" x14ac:dyDescent="0.2">
      <c r="A17" s="115">
        <v>4</v>
      </c>
      <c r="B17" s="116" t="s">
        <v>116</v>
      </c>
      <c r="C17" s="113">
        <v>17961645</v>
      </c>
      <c r="D17" s="113">
        <v>0</v>
      </c>
      <c r="E17" s="113">
        <f t="shared" si="0"/>
        <v>-17961645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2301100</v>
      </c>
      <c r="D18" s="113">
        <v>2026698</v>
      </c>
      <c r="E18" s="113">
        <f t="shared" si="0"/>
        <v>-274402</v>
      </c>
      <c r="F18" s="114">
        <f t="shared" si="1"/>
        <v>-0.11924818565034113</v>
      </c>
    </row>
    <row r="19" spans="1:6" x14ac:dyDescent="0.2">
      <c r="A19" s="115">
        <v>6</v>
      </c>
      <c r="B19" s="116" t="s">
        <v>118</v>
      </c>
      <c r="C19" s="113">
        <v>17060440</v>
      </c>
      <c r="D19" s="113">
        <v>20073842</v>
      </c>
      <c r="E19" s="113">
        <f t="shared" si="0"/>
        <v>3013402</v>
      </c>
      <c r="F19" s="114">
        <f t="shared" si="1"/>
        <v>0.17663096614155321</v>
      </c>
    </row>
    <row r="20" spans="1:6" x14ac:dyDescent="0.2">
      <c r="A20" s="115">
        <v>7</v>
      </c>
      <c r="B20" s="116" t="s">
        <v>119</v>
      </c>
      <c r="C20" s="113">
        <v>245845809</v>
      </c>
      <c r="D20" s="113">
        <v>265978870</v>
      </c>
      <c r="E20" s="113">
        <f t="shared" si="0"/>
        <v>20133061</v>
      </c>
      <c r="F20" s="114">
        <f t="shared" si="1"/>
        <v>8.1893041341209116E-2</v>
      </c>
    </row>
    <row r="21" spans="1:6" x14ac:dyDescent="0.2">
      <c r="A21" s="115">
        <v>8</v>
      </c>
      <c r="B21" s="116" t="s">
        <v>120</v>
      </c>
      <c r="C21" s="113">
        <v>5682413</v>
      </c>
      <c r="D21" s="113">
        <v>5128250</v>
      </c>
      <c r="E21" s="113">
        <f t="shared" si="0"/>
        <v>-554163</v>
      </c>
      <c r="F21" s="114">
        <f t="shared" si="1"/>
        <v>-9.7522478566763798E-2</v>
      </c>
    </row>
    <row r="22" spans="1:6" x14ac:dyDescent="0.2">
      <c r="A22" s="115">
        <v>9</v>
      </c>
      <c r="B22" s="116" t="s">
        <v>121</v>
      </c>
      <c r="C22" s="113">
        <v>6293659</v>
      </c>
      <c r="D22" s="113">
        <v>6566137</v>
      </c>
      <c r="E22" s="113">
        <f t="shared" si="0"/>
        <v>272478</v>
      </c>
      <c r="F22" s="114">
        <f t="shared" si="1"/>
        <v>4.3294051997415178E-2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992068952</v>
      </c>
      <c r="D25" s="119">
        <f>SUM(D14:D24)</f>
        <v>1101981674</v>
      </c>
      <c r="E25" s="119">
        <f t="shared" si="0"/>
        <v>109912722</v>
      </c>
      <c r="F25" s="120">
        <f t="shared" si="1"/>
        <v>0.11079141402260112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183366916</v>
      </c>
      <c r="D27" s="113">
        <v>196129534</v>
      </c>
      <c r="E27" s="113">
        <f t="shared" ref="E27:E38" si="2">D27-C27</f>
        <v>12762618</v>
      </c>
      <c r="F27" s="114">
        <f t="shared" ref="F27:F38" si="3">IF(C27=0,0,E27/C27)</f>
        <v>6.9601530518187918E-2</v>
      </c>
    </row>
    <row r="28" spans="1:6" x14ac:dyDescent="0.2">
      <c r="A28" s="115">
        <v>2</v>
      </c>
      <c r="B28" s="116" t="s">
        <v>114</v>
      </c>
      <c r="C28" s="113">
        <v>65338033</v>
      </c>
      <c r="D28" s="113">
        <v>74879122</v>
      </c>
      <c r="E28" s="113">
        <f t="shared" si="2"/>
        <v>9541089</v>
      </c>
      <c r="F28" s="114">
        <f t="shared" si="3"/>
        <v>0.14602657230284236</v>
      </c>
    </row>
    <row r="29" spans="1:6" x14ac:dyDescent="0.2">
      <c r="A29" s="115">
        <v>3</v>
      </c>
      <c r="B29" s="116" t="s">
        <v>115</v>
      </c>
      <c r="C29" s="113">
        <v>162761503</v>
      </c>
      <c r="D29" s="113">
        <v>202212572</v>
      </c>
      <c r="E29" s="113">
        <f t="shared" si="2"/>
        <v>39451069</v>
      </c>
      <c r="F29" s="114">
        <f t="shared" si="3"/>
        <v>0.24238575014879285</v>
      </c>
    </row>
    <row r="30" spans="1:6" x14ac:dyDescent="0.2">
      <c r="A30" s="115">
        <v>4</v>
      </c>
      <c r="B30" s="116" t="s">
        <v>116</v>
      </c>
      <c r="C30" s="113">
        <v>14711737</v>
      </c>
      <c r="D30" s="113">
        <v>0</v>
      </c>
      <c r="E30" s="113">
        <f t="shared" si="2"/>
        <v>-14711737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2514310</v>
      </c>
      <c r="D31" s="113">
        <v>2593532</v>
      </c>
      <c r="E31" s="113">
        <f t="shared" si="2"/>
        <v>79222</v>
      </c>
      <c r="F31" s="114">
        <f t="shared" si="3"/>
        <v>3.1508445657058994E-2</v>
      </c>
    </row>
    <row r="32" spans="1:6" x14ac:dyDescent="0.2">
      <c r="A32" s="115">
        <v>6</v>
      </c>
      <c r="B32" s="116" t="s">
        <v>118</v>
      </c>
      <c r="C32" s="113">
        <v>27877643</v>
      </c>
      <c r="D32" s="113">
        <v>27160841</v>
      </c>
      <c r="E32" s="113">
        <f t="shared" si="2"/>
        <v>-716802</v>
      </c>
      <c r="F32" s="114">
        <f t="shared" si="3"/>
        <v>-2.5712432001514619E-2</v>
      </c>
    </row>
    <row r="33" spans="1:6" x14ac:dyDescent="0.2">
      <c r="A33" s="115">
        <v>7</v>
      </c>
      <c r="B33" s="116" t="s">
        <v>119</v>
      </c>
      <c r="C33" s="113">
        <v>275811560</v>
      </c>
      <c r="D33" s="113">
        <v>291040113</v>
      </c>
      <c r="E33" s="113">
        <f t="shared" si="2"/>
        <v>15228553</v>
      </c>
      <c r="F33" s="114">
        <f t="shared" si="3"/>
        <v>5.5213613961648311E-2</v>
      </c>
    </row>
    <row r="34" spans="1:6" x14ac:dyDescent="0.2">
      <c r="A34" s="115">
        <v>8</v>
      </c>
      <c r="B34" s="116" t="s">
        <v>120</v>
      </c>
      <c r="C34" s="113">
        <v>6265559</v>
      </c>
      <c r="D34" s="113">
        <v>6784447</v>
      </c>
      <c r="E34" s="113">
        <f t="shared" si="2"/>
        <v>518888</v>
      </c>
      <c r="F34" s="114">
        <f t="shared" si="3"/>
        <v>8.2815914749186786E-2</v>
      </c>
    </row>
    <row r="35" spans="1:6" x14ac:dyDescent="0.2">
      <c r="A35" s="115">
        <v>9</v>
      </c>
      <c r="B35" s="116" t="s">
        <v>121</v>
      </c>
      <c r="C35" s="113">
        <v>26942117</v>
      </c>
      <c r="D35" s="113">
        <v>28175261</v>
      </c>
      <c r="E35" s="113">
        <f t="shared" si="2"/>
        <v>1233144</v>
      </c>
      <c r="F35" s="114">
        <f t="shared" si="3"/>
        <v>4.5770122667049509E-2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765589378</v>
      </c>
      <c r="D38" s="119">
        <f>SUM(D27:D37)</f>
        <v>828975422</v>
      </c>
      <c r="E38" s="119">
        <f t="shared" si="2"/>
        <v>63386044</v>
      </c>
      <c r="F38" s="120">
        <f t="shared" si="3"/>
        <v>8.2793787141597464E-2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586859533</v>
      </c>
      <c r="D41" s="119">
        <f t="shared" si="4"/>
        <v>643771727</v>
      </c>
      <c r="E41" s="123">
        <f t="shared" ref="E41:E52" si="5">D41-C41</f>
        <v>56912194</v>
      </c>
      <c r="F41" s="124">
        <f t="shared" ref="F41:F52" si="6">IF(C41=0,0,E41/C41)</f>
        <v>9.6977540279643032E-2</v>
      </c>
    </row>
    <row r="42" spans="1:6" ht="15.75" x14ac:dyDescent="0.25">
      <c r="A42" s="121">
        <v>2</v>
      </c>
      <c r="B42" s="122" t="s">
        <v>114</v>
      </c>
      <c r="C42" s="119">
        <f t="shared" si="4"/>
        <v>182122509</v>
      </c>
      <c r="D42" s="119">
        <f t="shared" si="4"/>
        <v>207684129</v>
      </c>
      <c r="E42" s="123">
        <f t="shared" si="5"/>
        <v>25561620</v>
      </c>
      <c r="F42" s="124">
        <f t="shared" si="6"/>
        <v>0.14035398556913137</v>
      </c>
    </row>
    <row r="43" spans="1:6" ht="15.75" x14ac:dyDescent="0.25">
      <c r="A43" s="121">
        <v>3</v>
      </c>
      <c r="B43" s="122" t="s">
        <v>115</v>
      </c>
      <c r="C43" s="119">
        <f t="shared" si="4"/>
        <v>339408296</v>
      </c>
      <c r="D43" s="119">
        <f t="shared" si="4"/>
        <v>423973249</v>
      </c>
      <c r="E43" s="123">
        <f t="shared" si="5"/>
        <v>84564953</v>
      </c>
      <c r="F43" s="124">
        <f t="shared" si="6"/>
        <v>0.24915405426625165</v>
      </c>
    </row>
    <row r="44" spans="1:6" ht="15.75" x14ac:dyDescent="0.25">
      <c r="A44" s="121">
        <v>4</v>
      </c>
      <c r="B44" s="122" t="s">
        <v>116</v>
      </c>
      <c r="C44" s="119">
        <f t="shared" si="4"/>
        <v>32673382</v>
      </c>
      <c r="D44" s="119">
        <f t="shared" si="4"/>
        <v>0</v>
      </c>
      <c r="E44" s="123">
        <f t="shared" si="5"/>
        <v>-32673382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4815410</v>
      </c>
      <c r="D45" s="119">
        <f t="shared" si="4"/>
        <v>4620230</v>
      </c>
      <c r="E45" s="123">
        <f t="shared" si="5"/>
        <v>-195180</v>
      </c>
      <c r="F45" s="124">
        <f t="shared" si="6"/>
        <v>-4.0532374190359696E-2</v>
      </c>
    </row>
    <row r="46" spans="1:6" ht="15.75" x14ac:dyDescent="0.25">
      <c r="A46" s="121">
        <v>6</v>
      </c>
      <c r="B46" s="122" t="s">
        <v>118</v>
      </c>
      <c r="C46" s="119">
        <f t="shared" si="4"/>
        <v>44938083</v>
      </c>
      <c r="D46" s="119">
        <f t="shared" si="4"/>
        <v>47234683</v>
      </c>
      <c r="E46" s="123">
        <f t="shared" si="5"/>
        <v>2296600</v>
      </c>
      <c r="F46" s="124">
        <f t="shared" si="6"/>
        <v>5.1105873830888604E-2</v>
      </c>
    </row>
    <row r="47" spans="1:6" ht="15.75" x14ac:dyDescent="0.25">
      <c r="A47" s="121">
        <v>7</v>
      </c>
      <c r="B47" s="122" t="s">
        <v>119</v>
      </c>
      <c r="C47" s="119">
        <f t="shared" si="4"/>
        <v>521657369</v>
      </c>
      <c r="D47" s="119">
        <f t="shared" si="4"/>
        <v>557018983</v>
      </c>
      <c r="E47" s="123">
        <f t="shared" si="5"/>
        <v>35361614</v>
      </c>
      <c r="F47" s="124">
        <f t="shared" si="6"/>
        <v>6.778704970234975E-2</v>
      </c>
    </row>
    <row r="48" spans="1:6" ht="15.75" x14ac:dyDescent="0.25">
      <c r="A48" s="121">
        <v>8</v>
      </c>
      <c r="B48" s="122" t="s">
        <v>120</v>
      </c>
      <c r="C48" s="119">
        <f t="shared" si="4"/>
        <v>11947972</v>
      </c>
      <c r="D48" s="119">
        <f t="shared" si="4"/>
        <v>11912697</v>
      </c>
      <c r="E48" s="123">
        <f t="shared" si="5"/>
        <v>-35275</v>
      </c>
      <c r="F48" s="124">
        <f t="shared" si="6"/>
        <v>-2.9523838857339136E-3</v>
      </c>
    </row>
    <row r="49" spans="1:6" ht="15.75" x14ac:dyDescent="0.25">
      <c r="A49" s="121">
        <v>9</v>
      </c>
      <c r="B49" s="122" t="s">
        <v>121</v>
      </c>
      <c r="C49" s="119">
        <f t="shared" si="4"/>
        <v>33235776</v>
      </c>
      <c r="D49" s="119">
        <f t="shared" si="4"/>
        <v>34741398</v>
      </c>
      <c r="E49" s="123">
        <f t="shared" si="5"/>
        <v>1505622</v>
      </c>
      <c r="F49" s="124">
        <f t="shared" si="6"/>
        <v>4.5301244057006522E-2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1757658330</v>
      </c>
      <c r="D52" s="128">
        <f>SUM(D41:D51)</f>
        <v>1930957096</v>
      </c>
      <c r="E52" s="127">
        <f t="shared" si="5"/>
        <v>173298766</v>
      </c>
      <c r="F52" s="129">
        <f t="shared" si="6"/>
        <v>9.8596389891088793E-2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167909894</v>
      </c>
      <c r="D57" s="113">
        <v>157224193</v>
      </c>
      <c r="E57" s="113">
        <f t="shared" ref="E57:E68" si="7">D57-C57</f>
        <v>-10685701</v>
      </c>
      <c r="F57" s="114">
        <f t="shared" ref="F57:F68" si="8">IF(C57=0,0,E57/C57)</f>
        <v>-6.3639495835784404E-2</v>
      </c>
    </row>
    <row r="58" spans="1:6" x14ac:dyDescent="0.2">
      <c r="A58" s="115">
        <v>2</v>
      </c>
      <c r="B58" s="116" t="s">
        <v>114</v>
      </c>
      <c r="C58" s="113">
        <v>43287693</v>
      </c>
      <c r="D58" s="113">
        <v>46385603</v>
      </c>
      <c r="E58" s="113">
        <f t="shared" si="7"/>
        <v>3097910</v>
      </c>
      <c r="F58" s="114">
        <f t="shared" si="8"/>
        <v>7.1565606418433986E-2</v>
      </c>
    </row>
    <row r="59" spans="1:6" x14ac:dyDescent="0.2">
      <c r="A59" s="115">
        <v>3</v>
      </c>
      <c r="B59" s="116" t="s">
        <v>115</v>
      </c>
      <c r="C59" s="113">
        <v>49758701</v>
      </c>
      <c r="D59" s="113">
        <v>52943114</v>
      </c>
      <c r="E59" s="113">
        <f t="shared" si="7"/>
        <v>3184413</v>
      </c>
      <c r="F59" s="114">
        <f t="shared" si="8"/>
        <v>6.3997108766967209E-2</v>
      </c>
    </row>
    <row r="60" spans="1:6" x14ac:dyDescent="0.2">
      <c r="A60" s="115">
        <v>4</v>
      </c>
      <c r="B60" s="116" t="s">
        <v>116</v>
      </c>
      <c r="C60" s="113">
        <v>5312870</v>
      </c>
      <c r="D60" s="113">
        <v>0</v>
      </c>
      <c r="E60" s="113">
        <f t="shared" si="7"/>
        <v>-5312870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375832</v>
      </c>
      <c r="D61" s="113">
        <v>756322</v>
      </c>
      <c r="E61" s="113">
        <f t="shared" si="7"/>
        <v>380490</v>
      </c>
      <c r="F61" s="114">
        <f t="shared" si="8"/>
        <v>1.0123938355435407</v>
      </c>
    </row>
    <row r="62" spans="1:6" x14ac:dyDescent="0.2">
      <c r="A62" s="115">
        <v>6</v>
      </c>
      <c r="B62" s="116" t="s">
        <v>118</v>
      </c>
      <c r="C62" s="113">
        <v>11419625</v>
      </c>
      <c r="D62" s="113">
        <v>13734016</v>
      </c>
      <c r="E62" s="113">
        <f t="shared" si="7"/>
        <v>2314391</v>
      </c>
      <c r="F62" s="114">
        <f t="shared" si="8"/>
        <v>0.20266786343684665</v>
      </c>
    </row>
    <row r="63" spans="1:6" x14ac:dyDescent="0.2">
      <c r="A63" s="115">
        <v>7</v>
      </c>
      <c r="B63" s="116" t="s">
        <v>119</v>
      </c>
      <c r="C63" s="113">
        <v>141229006</v>
      </c>
      <c r="D63" s="113">
        <v>143301278</v>
      </c>
      <c r="E63" s="113">
        <f t="shared" si="7"/>
        <v>2072272</v>
      </c>
      <c r="F63" s="114">
        <f t="shared" si="8"/>
        <v>1.4673133081457785E-2</v>
      </c>
    </row>
    <row r="64" spans="1:6" x14ac:dyDescent="0.2">
      <c r="A64" s="115">
        <v>8</v>
      </c>
      <c r="B64" s="116" t="s">
        <v>120</v>
      </c>
      <c r="C64" s="113">
        <v>3884689</v>
      </c>
      <c r="D64" s="113">
        <v>3987443</v>
      </c>
      <c r="E64" s="113">
        <f t="shared" si="7"/>
        <v>102754</v>
      </c>
      <c r="F64" s="114">
        <f t="shared" si="8"/>
        <v>2.6451023492485497E-2</v>
      </c>
    </row>
    <row r="65" spans="1:6" x14ac:dyDescent="0.2">
      <c r="A65" s="115">
        <v>9</v>
      </c>
      <c r="B65" s="116" t="s">
        <v>121</v>
      </c>
      <c r="C65" s="113">
        <v>232591</v>
      </c>
      <c r="D65" s="113">
        <v>272142</v>
      </c>
      <c r="E65" s="113">
        <f t="shared" si="7"/>
        <v>39551</v>
      </c>
      <c r="F65" s="114">
        <f t="shared" si="8"/>
        <v>0.17004527260298119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423410901</v>
      </c>
      <c r="D68" s="119">
        <f>SUM(D57:D67)</f>
        <v>418604111</v>
      </c>
      <c r="E68" s="119">
        <f t="shared" si="7"/>
        <v>-4806790</v>
      </c>
      <c r="F68" s="120">
        <f t="shared" si="8"/>
        <v>-1.1352541912944276E-2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38831695</v>
      </c>
      <c r="D70" s="113">
        <v>39826236</v>
      </c>
      <c r="E70" s="113">
        <f t="shared" ref="E70:E81" si="9">D70-C70</f>
        <v>994541</v>
      </c>
      <c r="F70" s="114">
        <f t="shared" ref="F70:F81" si="10">IF(C70=0,0,E70/C70)</f>
        <v>2.561157837689032E-2</v>
      </c>
    </row>
    <row r="71" spans="1:6" x14ac:dyDescent="0.2">
      <c r="A71" s="115">
        <v>2</v>
      </c>
      <c r="B71" s="116" t="s">
        <v>114</v>
      </c>
      <c r="C71" s="113">
        <v>14952117</v>
      </c>
      <c r="D71" s="113">
        <v>16838930</v>
      </c>
      <c r="E71" s="113">
        <f t="shared" si="9"/>
        <v>1886813</v>
      </c>
      <c r="F71" s="114">
        <f t="shared" si="10"/>
        <v>0.12619035819476265</v>
      </c>
    </row>
    <row r="72" spans="1:6" x14ac:dyDescent="0.2">
      <c r="A72" s="115">
        <v>3</v>
      </c>
      <c r="B72" s="116" t="s">
        <v>115</v>
      </c>
      <c r="C72" s="113">
        <v>36967388</v>
      </c>
      <c r="D72" s="113">
        <v>40967256</v>
      </c>
      <c r="E72" s="113">
        <f t="shared" si="9"/>
        <v>3999868</v>
      </c>
      <c r="F72" s="114">
        <f t="shared" si="10"/>
        <v>0.10819990852477865</v>
      </c>
    </row>
    <row r="73" spans="1:6" x14ac:dyDescent="0.2">
      <c r="A73" s="115">
        <v>4</v>
      </c>
      <c r="B73" s="116" t="s">
        <v>116</v>
      </c>
      <c r="C73" s="113">
        <v>1988493</v>
      </c>
      <c r="D73" s="113">
        <v>0</v>
      </c>
      <c r="E73" s="113">
        <f t="shared" si="9"/>
        <v>-1988493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518654</v>
      </c>
      <c r="D74" s="113">
        <v>338433</v>
      </c>
      <c r="E74" s="113">
        <f t="shared" si="9"/>
        <v>-180221</v>
      </c>
      <c r="F74" s="114">
        <f t="shared" si="10"/>
        <v>-0.34747828031789979</v>
      </c>
    </row>
    <row r="75" spans="1:6" x14ac:dyDescent="0.2">
      <c r="A75" s="115">
        <v>6</v>
      </c>
      <c r="B75" s="116" t="s">
        <v>118</v>
      </c>
      <c r="C75" s="113">
        <v>15207951</v>
      </c>
      <c r="D75" s="113">
        <v>15030074</v>
      </c>
      <c r="E75" s="113">
        <f t="shared" si="9"/>
        <v>-177877</v>
      </c>
      <c r="F75" s="114">
        <f t="shared" si="10"/>
        <v>-1.1696315959986983E-2</v>
      </c>
    </row>
    <row r="76" spans="1:6" x14ac:dyDescent="0.2">
      <c r="A76" s="115">
        <v>7</v>
      </c>
      <c r="B76" s="116" t="s">
        <v>119</v>
      </c>
      <c r="C76" s="113">
        <v>103635018</v>
      </c>
      <c r="D76" s="113">
        <v>120714206</v>
      </c>
      <c r="E76" s="113">
        <f t="shared" si="9"/>
        <v>17079188</v>
      </c>
      <c r="F76" s="114">
        <f t="shared" si="10"/>
        <v>0.16480132227120373</v>
      </c>
    </row>
    <row r="77" spans="1:6" x14ac:dyDescent="0.2">
      <c r="A77" s="115">
        <v>8</v>
      </c>
      <c r="B77" s="116" t="s">
        <v>120</v>
      </c>
      <c r="C77" s="113">
        <v>4411053</v>
      </c>
      <c r="D77" s="113">
        <v>5171508</v>
      </c>
      <c r="E77" s="113">
        <f t="shared" si="9"/>
        <v>760455</v>
      </c>
      <c r="F77" s="114">
        <f t="shared" si="10"/>
        <v>0.172397611182636</v>
      </c>
    </row>
    <row r="78" spans="1:6" x14ac:dyDescent="0.2">
      <c r="A78" s="115">
        <v>9</v>
      </c>
      <c r="B78" s="116" t="s">
        <v>121</v>
      </c>
      <c r="C78" s="113">
        <v>743821</v>
      </c>
      <c r="D78" s="113">
        <v>670219</v>
      </c>
      <c r="E78" s="113">
        <f t="shared" si="9"/>
        <v>-73602</v>
      </c>
      <c r="F78" s="114">
        <f t="shared" si="10"/>
        <v>-9.8951226168661546E-2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217256190</v>
      </c>
      <c r="D81" s="119">
        <f>SUM(D70:D80)</f>
        <v>239556862</v>
      </c>
      <c r="E81" s="119">
        <f t="shared" si="9"/>
        <v>22300672</v>
      </c>
      <c r="F81" s="120">
        <f t="shared" si="10"/>
        <v>0.10264688891027685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206741589</v>
      </c>
      <c r="D84" s="119">
        <f t="shared" si="11"/>
        <v>197050429</v>
      </c>
      <c r="E84" s="119">
        <f t="shared" ref="E84:E95" si="12">D84-C84</f>
        <v>-9691160</v>
      </c>
      <c r="F84" s="120">
        <f t="shared" ref="F84:F95" si="13">IF(C84=0,0,E84/C84)</f>
        <v>-4.6875715945087375E-2</v>
      </c>
    </row>
    <row r="85" spans="1:6" ht="15.75" x14ac:dyDescent="0.25">
      <c r="A85" s="130">
        <v>2</v>
      </c>
      <c r="B85" s="122" t="s">
        <v>114</v>
      </c>
      <c r="C85" s="119">
        <f t="shared" si="11"/>
        <v>58239810</v>
      </c>
      <c r="D85" s="119">
        <f t="shared" si="11"/>
        <v>63224533</v>
      </c>
      <c r="E85" s="119">
        <f t="shared" si="12"/>
        <v>4984723</v>
      </c>
      <c r="F85" s="120">
        <f t="shared" si="13"/>
        <v>8.5589616449641581E-2</v>
      </c>
    </row>
    <row r="86" spans="1:6" ht="15.75" x14ac:dyDescent="0.25">
      <c r="A86" s="130">
        <v>3</v>
      </c>
      <c r="B86" s="122" t="s">
        <v>115</v>
      </c>
      <c r="C86" s="119">
        <f t="shared" si="11"/>
        <v>86726089</v>
      </c>
      <c r="D86" s="119">
        <f t="shared" si="11"/>
        <v>93910370</v>
      </c>
      <c r="E86" s="119">
        <f t="shared" si="12"/>
        <v>7184281</v>
      </c>
      <c r="F86" s="120">
        <f t="shared" si="13"/>
        <v>8.2838752246743197E-2</v>
      </c>
    </row>
    <row r="87" spans="1:6" ht="15.75" x14ac:dyDescent="0.25">
      <c r="A87" s="130">
        <v>4</v>
      </c>
      <c r="B87" s="122" t="s">
        <v>116</v>
      </c>
      <c r="C87" s="119">
        <f t="shared" si="11"/>
        <v>7301363</v>
      </c>
      <c r="D87" s="119">
        <f t="shared" si="11"/>
        <v>0</v>
      </c>
      <c r="E87" s="119">
        <f t="shared" si="12"/>
        <v>-7301363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894486</v>
      </c>
      <c r="D88" s="119">
        <f t="shared" si="11"/>
        <v>1094755</v>
      </c>
      <c r="E88" s="119">
        <f t="shared" si="12"/>
        <v>200269</v>
      </c>
      <c r="F88" s="120">
        <f t="shared" si="13"/>
        <v>0.22389282783632164</v>
      </c>
    </row>
    <row r="89" spans="1:6" ht="15.75" x14ac:dyDescent="0.25">
      <c r="A89" s="130">
        <v>6</v>
      </c>
      <c r="B89" s="122" t="s">
        <v>118</v>
      </c>
      <c r="C89" s="119">
        <f t="shared" si="11"/>
        <v>26627576</v>
      </c>
      <c r="D89" s="119">
        <f t="shared" si="11"/>
        <v>28764090</v>
      </c>
      <c r="E89" s="119">
        <f t="shared" si="12"/>
        <v>2136514</v>
      </c>
      <c r="F89" s="120">
        <f t="shared" si="13"/>
        <v>8.0236894263300579E-2</v>
      </c>
    </row>
    <row r="90" spans="1:6" ht="15.75" x14ac:dyDescent="0.25">
      <c r="A90" s="130">
        <v>7</v>
      </c>
      <c r="B90" s="122" t="s">
        <v>119</v>
      </c>
      <c r="C90" s="119">
        <f t="shared" si="11"/>
        <v>244864024</v>
      </c>
      <c r="D90" s="119">
        <f t="shared" si="11"/>
        <v>264015484</v>
      </c>
      <c r="E90" s="119">
        <f t="shared" si="12"/>
        <v>19151460</v>
      </c>
      <c r="F90" s="120">
        <f t="shared" si="13"/>
        <v>7.8212632820246389E-2</v>
      </c>
    </row>
    <row r="91" spans="1:6" ht="15.75" x14ac:dyDescent="0.25">
      <c r="A91" s="130">
        <v>8</v>
      </c>
      <c r="B91" s="122" t="s">
        <v>120</v>
      </c>
      <c r="C91" s="119">
        <f t="shared" si="11"/>
        <v>8295742</v>
      </c>
      <c r="D91" s="119">
        <f t="shared" si="11"/>
        <v>9158951</v>
      </c>
      <c r="E91" s="119">
        <f t="shared" si="12"/>
        <v>863209</v>
      </c>
      <c r="F91" s="120">
        <f t="shared" si="13"/>
        <v>0.10405446553183549</v>
      </c>
    </row>
    <row r="92" spans="1:6" ht="15.75" x14ac:dyDescent="0.25">
      <c r="A92" s="130">
        <v>9</v>
      </c>
      <c r="B92" s="122" t="s">
        <v>121</v>
      </c>
      <c r="C92" s="119">
        <f t="shared" si="11"/>
        <v>976412</v>
      </c>
      <c r="D92" s="119">
        <f t="shared" si="11"/>
        <v>942361</v>
      </c>
      <c r="E92" s="119">
        <f t="shared" si="12"/>
        <v>-34051</v>
      </c>
      <c r="F92" s="120">
        <f t="shared" si="13"/>
        <v>-3.4873598440002783E-2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640667091</v>
      </c>
      <c r="D95" s="128">
        <f>SUM(D84:D94)</f>
        <v>658160973</v>
      </c>
      <c r="E95" s="128">
        <f t="shared" si="12"/>
        <v>17493882</v>
      </c>
      <c r="F95" s="129">
        <f t="shared" si="13"/>
        <v>2.7305729052969258E-2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10837</v>
      </c>
      <c r="D100" s="133">
        <v>11080</v>
      </c>
      <c r="E100" s="133">
        <f t="shared" ref="E100:E111" si="14">D100-C100</f>
        <v>243</v>
      </c>
      <c r="F100" s="114">
        <f t="shared" ref="F100:F111" si="15">IF(C100=0,0,E100/C100)</f>
        <v>2.2423179846821076E-2</v>
      </c>
    </row>
    <row r="101" spans="1:6" x14ac:dyDescent="0.2">
      <c r="A101" s="115">
        <v>2</v>
      </c>
      <c r="B101" s="116" t="s">
        <v>114</v>
      </c>
      <c r="C101" s="133">
        <v>3024</v>
      </c>
      <c r="D101" s="133">
        <v>3191</v>
      </c>
      <c r="E101" s="133">
        <f t="shared" si="14"/>
        <v>167</v>
      </c>
      <c r="F101" s="114">
        <f t="shared" si="15"/>
        <v>5.5224867724867725E-2</v>
      </c>
    </row>
    <row r="102" spans="1:6" x14ac:dyDescent="0.2">
      <c r="A102" s="115">
        <v>3</v>
      </c>
      <c r="B102" s="116" t="s">
        <v>115</v>
      </c>
      <c r="C102" s="133">
        <v>6872</v>
      </c>
      <c r="D102" s="133">
        <v>7857</v>
      </c>
      <c r="E102" s="133">
        <f t="shared" si="14"/>
        <v>985</v>
      </c>
      <c r="F102" s="114">
        <f t="shared" si="15"/>
        <v>0.14333527357392317</v>
      </c>
    </row>
    <row r="103" spans="1:6" x14ac:dyDescent="0.2">
      <c r="A103" s="115">
        <v>4</v>
      </c>
      <c r="B103" s="116" t="s">
        <v>116</v>
      </c>
      <c r="C103" s="133">
        <v>1000</v>
      </c>
      <c r="D103" s="133">
        <v>0</v>
      </c>
      <c r="E103" s="133">
        <f t="shared" si="14"/>
        <v>-1000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89</v>
      </c>
      <c r="D104" s="133">
        <v>79</v>
      </c>
      <c r="E104" s="133">
        <f t="shared" si="14"/>
        <v>-10</v>
      </c>
      <c r="F104" s="114">
        <f t="shared" si="15"/>
        <v>-0.11235955056179775</v>
      </c>
    </row>
    <row r="105" spans="1:6" x14ac:dyDescent="0.2">
      <c r="A105" s="115">
        <v>6</v>
      </c>
      <c r="B105" s="116" t="s">
        <v>118</v>
      </c>
      <c r="C105" s="133">
        <v>647</v>
      </c>
      <c r="D105" s="133">
        <v>745</v>
      </c>
      <c r="E105" s="133">
        <f t="shared" si="14"/>
        <v>98</v>
      </c>
      <c r="F105" s="114">
        <f t="shared" si="15"/>
        <v>0.15146831530139104</v>
      </c>
    </row>
    <row r="106" spans="1:6" x14ac:dyDescent="0.2">
      <c r="A106" s="115">
        <v>7</v>
      </c>
      <c r="B106" s="116" t="s">
        <v>119</v>
      </c>
      <c r="C106" s="133">
        <v>9214</v>
      </c>
      <c r="D106" s="133">
        <v>8988</v>
      </c>
      <c r="E106" s="133">
        <f t="shared" si="14"/>
        <v>-226</v>
      </c>
      <c r="F106" s="114">
        <f t="shared" si="15"/>
        <v>-2.4527892337746906E-2</v>
      </c>
    </row>
    <row r="107" spans="1:6" x14ac:dyDescent="0.2">
      <c r="A107" s="115">
        <v>8</v>
      </c>
      <c r="B107" s="116" t="s">
        <v>120</v>
      </c>
      <c r="C107" s="133">
        <v>175</v>
      </c>
      <c r="D107" s="133">
        <v>145</v>
      </c>
      <c r="E107" s="133">
        <f t="shared" si="14"/>
        <v>-30</v>
      </c>
      <c r="F107" s="114">
        <f t="shared" si="15"/>
        <v>-0.17142857142857143</v>
      </c>
    </row>
    <row r="108" spans="1:6" x14ac:dyDescent="0.2">
      <c r="A108" s="115">
        <v>9</v>
      </c>
      <c r="B108" s="116" t="s">
        <v>121</v>
      </c>
      <c r="C108" s="133">
        <v>253</v>
      </c>
      <c r="D108" s="133">
        <v>281</v>
      </c>
      <c r="E108" s="133">
        <f t="shared" si="14"/>
        <v>28</v>
      </c>
      <c r="F108" s="114">
        <f t="shared" si="15"/>
        <v>0.11067193675889328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32111</v>
      </c>
      <c r="D111" s="134">
        <f>SUM(D100:D110)</f>
        <v>32366</v>
      </c>
      <c r="E111" s="134">
        <f t="shared" si="14"/>
        <v>255</v>
      </c>
      <c r="F111" s="120">
        <f t="shared" si="15"/>
        <v>7.9412039488025912E-3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60196</v>
      </c>
      <c r="D113" s="133">
        <v>60748</v>
      </c>
      <c r="E113" s="133">
        <f t="shared" ref="E113:E124" si="16">D113-C113</f>
        <v>552</v>
      </c>
      <c r="F113" s="114">
        <f t="shared" ref="F113:F124" si="17">IF(C113=0,0,E113/C113)</f>
        <v>9.1700445212306459E-3</v>
      </c>
    </row>
    <row r="114" spans="1:6" x14ac:dyDescent="0.2">
      <c r="A114" s="115">
        <v>2</v>
      </c>
      <c r="B114" s="116" t="s">
        <v>114</v>
      </c>
      <c r="C114" s="133">
        <v>16396</v>
      </c>
      <c r="D114" s="133">
        <v>17454</v>
      </c>
      <c r="E114" s="133">
        <f t="shared" si="16"/>
        <v>1058</v>
      </c>
      <c r="F114" s="114">
        <f t="shared" si="17"/>
        <v>6.4527933642351792E-2</v>
      </c>
    </row>
    <row r="115" spans="1:6" x14ac:dyDescent="0.2">
      <c r="A115" s="115">
        <v>3</v>
      </c>
      <c r="B115" s="116" t="s">
        <v>115</v>
      </c>
      <c r="C115" s="133">
        <v>34288</v>
      </c>
      <c r="D115" s="133">
        <v>40108</v>
      </c>
      <c r="E115" s="133">
        <f t="shared" si="16"/>
        <v>5820</v>
      </c>
      <c r="F115" s="114">
        <f t="shared" si="17"/>
        <v>0.16973868408772749</v>
      </c>
    </row>
    <row r="116" spans="1:6" x14ac:dyDescent="0.2">
      <c r="A116" s="115">
        <v>4</v>
      </c>
      <c r="B116" s="116" t="s">
        <v>116</v>
      </c>
      <c r="C116" s="133">
        <v>4956</v>
      </c>
      <c r="D116" s="133">
        <v>0</v>
      </c>
      <c r="E116" s="133">
        <f t="shared" si="16"/>
        <v>-4956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348</v>
      </c>
      <c r="D117" s="133">
        <v>323</v>
      </c>
      <c r="E117" s="133">
        <f t="shared" si="16"/>
        <v>-25</v>
      </c>
      <c r="F117" s="114">
        <f t="shared" si="17"/>
        <v>-7.183908045977011E-2</v>
      </c>
    </row>
    <row r="118" spans="1:6" x14ac:dyDescent="0.2">
      <c r="A118" s="115">
        <v>6</v>
      </c>
      <c r="B118" s="116" t="s">
        <v>118</v>
      </c>
      <c r="C118" s="133">
        <v>2650</v>
      </c>
      <c r="D118" s="133">
        <v>2936</v>
      </c>
      <c r="E118" s="133">
        <f t="shared" si="16"/>
        <v>286</v>
      </c>
      <c r="F118" s="114">
        <f t="shared" si="17"/>
        <v>0.1079245283018868</v>
      </c>
    </row>
    <row r="119" spans="1:6" x14ac:dyDescent="0.2">
      <c r="A119" s="115">
        <v>7</v>
      </c>
      <c r="B119" s="116" t="s">
        <v>119</v>
      </c>
      <c r="C119" s="133">
        <v>37336</v>
      </c>
      <c r="D119" s="133">
        <v>36400</v>
      </c>
      <c r="E119" s="133">
        <f t="shared" si="16"/>
        <v>-936</v>
      </c>
      <c r="F119" s="114">
        <f t="shared" si="17"/>
        <v>-2.5069637883008356E-2</v>
      </c>
    </row>
    <row r="120" spans="1:6" x14ac:dyDescent="0.2">
      <c r="A120" s="115">
        <v>8</v>
      </c>
      <c r="B120" s="116" t="s">
        <v>120</v>
      </c>
      <c r="C120" s="133">
        <v>565</v>
      </c>
      <c r="D120" s="133">
        <v>475</v>
      </c>
      <c r="E120" s="133">
        <f t="shared" si="16"/>
        <v>-90</v>
      </c>
      <c r="F120" s="114">
        <f t="shared" si="17"/>
        <v>-0.15929203539823009</v>
      </c>
    </row>
    <row r="121" spans="1:6" x14ac:dyDescent="0.2">
      <c r="A121" s="115">
        <v>9</v>
      </c>
      <c r="B121" s="116" t="s">
        <v>121</v>
      </c>
      <c r="C121" s="133">
        <v>799</v>
      </c>
      <c r="D121" s="133">
        <v>931</v>
      </c>
      <c r="E121" s="133">
        <f t="shared" si="16"/>
        <v>132</v>
      </c>
      <c r="F121" s="114">
        <f t="shared" si="17"/>
        <v>0.16520650813516896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157534</v>
      </c>
      <c r="D124" s="134">
        <f>SUM(D113:D123)</f>
        <v>159375</v>
      </c>
      <c r="E124" s="134">
        <f t="shared" si="16"/>
        <v>1841</v>
      </c>
      <c r="F124" s="120">
        <f t="shared" si="17"/>
        <v>1.1686366117790446E-2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52363</v>
      </c>
      <c r="D126" s="133">
        <v>51510</v>
      </c>
      <c r="E126" s="133">
        <f t="shared" ref="E126:E137" si="18">D126-C126</f>
        <v>-853</v>
      </c>
      <c r="F126" s="114">
        <f t="shared" ref="F126:F137" si="19">IF(C126=0,0,E126/C126)</f>
        <v>-1.6290128525867503E-2</v>
      </c>
    </row>
    <row r="127" spans="1:6" x14ac:dyDescent="0.2">
      <c r="A127" s="115">
        <v>2</v>
      </c>
      <c r="B127" s="116" t="s">
        <v>114</v>
      </c>
      <c r="C127" s="133">
        <v>19341</v>
      </c>
      <c r="D127" s="133">
        <v>20620</v>
      </c>
      <c r="E127" s="133">
        <f t="shared" si="18"/>
        <v>1279</v>
      </c>
      <c r="F127" s="114">
        <f t="shared" si="19"/>
        <v>6.6128948865105217E-2</v>
      </c>
    </row>
    <row r="128" spans="1:6" x14ac:dyDescent="0.2">
      <c r="A128" s="115">
        <v>3</v>
      </c>
      <c r="B128" s="116" t="s">
        <v>115</v>
      </c>
      <c r="C128" s="133">
        <v>86009</v>
      </c>
      <c r="D128" s="133">
        <v>99051</v>
      </c>
      <c r="E128" s="133">
        <f t="shared" si="18"/>
        <v>13042</v>
      </c>
      <c r="F128" s="114">
        <f t="shared" si="19"/>
        <v>0.15163529398086248</v>
      </c>
    </row>
    <row r="129" spans="1:6" x14ac:dyDescent="0.2">
      <c r="A129" s="115">
        <v>4</v>
      </c>
      <c r="B129" s="116" t="s">
        <v>116</v>
      </c>
      <c r="C129" s="133">
        <v>11523</v>
      </c>
      <c r="D129" s="133">
        <v>0</v>
      </c>
      <c r="E129" s="133">
        <f t="shared" si="18"/>
        <v>-11523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811</v>
      </c>
      <c r="D130" s="133">
        <v>868</v>
      </c>
      <c r="E130" s="133">
        <f t="shared" si="18"/>
        <v>57</v>
      </c>
      <c r="F130" s="114">
        <f t="shared" si="19"/>
        <v>7.0283600493218246E-2</v>
      </c>
    </row>
    <row r="131" spans="1:6" x14ac:dyDescent="0.2">
      <c r="A131" s="115">
        <v>6</v>
      </c>
      <c r="B131" s="116" t="s">
        <v>118</v>
      </c>
      <c r="C131" s="133">
        <v>8650</v>
      </c>
      <c r="D131" s="133">
        <v>8944</v>
      </c>
      <c r="E131" s="133">
        <f t="shared" si="18"/>
        <v>294</v>
      </c>
      <c r="F131" s="114">
        <f t="shared" si="19"/>
        <v>3.3988439306358378E-2</v>
      </c>
    </row>
    <row r="132" spans="1:6" x14ac:dyDescent="0.2">
      <c r="A132" s="115">
        <v>7</v>
      </c>
      <c r="B132" s="116" t="s">
        <v>119</v>
      </c>
      <c r="C132" s="133">
        <v>88132</v>
      </c>
      <c r="D132" s="133">
        <v>86151</v>
      </c>
      <c r="E132" s="133">
        <f t="shared" si="18"/>
        <v>-1981</v>
      </c>
      <c r="F132" s="114">
        <f t="shared" si="19"/>
        <v>-2.2477647165615212E-2</v>
      </c>
    </row>
    <row r="133" spans="1:6" x14ac:dyDescent="0.2">
      <c r="A133" s="115">
        <v>8</v>
      </c>
      <c r="B133" s="116" t="s">
        <v>120</v>
      </c>
      <c r="C133" s="133">
        <v>2260</v>
      </c>
      <c r="D133" s="133">
        <v>2091</v>
      </c>
      <c r="E133" s="133">
        <f t="shared" si="18"/>
        <v>-169</v>
      </c>
      <c r="F133" s="114">
        <f t="shared" si="19"/>
        <v>-7.4778761061946905E-2</v>
      </c>
    </row>
    <row r="134" spans="1:6" x14ac:dyDescent="0.2">
      <c r="A134" s="115">
        <v>9</v>
      </c>
      <c r="B134" s="116" t="s">
        <v>121</v>
      </c>
      <c r="C134" s="133">
        <v>17217</v>
      </c>
      <c r="D134" s="133">
        <v>15986</v>
      </c>
      <c r="E134" s="133">
        <f t="shared" si="18"/>
        <v>-1231</v>
      </c>
      <c r="F134" s="114">
        <f t="shared" si="19"/>
        <v>-7.1499099727014001E-2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286306</v>
      </c>
      <c r="D137" s="134">
        <f>SUM(D126:D136)</f>
        <v>285221</v>
      </c>
      <c r="E137" s="134">
        <f t="shared" si="18"/>
        <v>-1085</v>
      </c>
      <c r="F137" s="120">
        <f t="shared" si="19"/>
        <v>-3.7896516314712232E-3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47006012</v>
      </c>
      <c r="D142" s="113">
        <v>43329480</v>
      </c>
      <c r="E142" s="113">
        <f t="shared" ref="E142:E153" si="20">D142-C142</f>
        <v>-3676532</v>
      </c>
      <c r="F142" s="114">
        <f t="shared" ref="F142:F153" si="21">IF(C142=0,0,E142/C142)</f>
        <v>-7.8214080360614294E-2</v>
      </c>
    </row>
    <row r="143" spans="1:6" x14ac:dyDescent="0.2">
      <c r="A143" s="115">
        <v>2</v>
      </c>
      <c r="B143" s="116" t="s">
        <v>114</v>
      </c>
      <c r="C143" s="113">
        <v>18479670</v>
      </c>
      <c r="D143" s="113">
        <v>17953378</v>
      </c>
      <c r="E143" s="113">
        <f t="shared" si="20"/>
        <v>-526292</v>
      </c>
      <c r="F143" s="114">
        <f t="shared" si="21"/>
        <v>-2.8479512891734539E-2</v>
      </c>
    </row>
    <row r="144" spans="1:6" x14ac:dyDescent="0.2">
      <c r="A144" s="115">
        <v>3</v>
      </c>
      <c r="B144" s="116" t="s">
        <v>115</v>
      </c>
      <c r="C144" s="113">
        <v>81577583</v>
      </c>
      <c r="D144" s="113">
        <v>110474453</v>
      </c>
      <c r="E144" s="113">
        <f t="shared" si="20"/>
        <v>28896870</v>
      </c>
      <c r="F144" s="114">
        <f t="shared" si="21"/>
        <v>0.35422562102630573</v>
      </c>
    </row>
    <row r="145" spans="1:6" x14ac:dyDescent="0.2">
      <c r="A145" s="115">
        <v>4</v>
      </c>
      <c r="B145" s="116" t="s">
        <v>116</v>
      </c>
      <c r="C145" s="113">
        <v>7013044</v>
      </c>
      <c r="D145" s="113">
        <v>0</v>
      </c>
      <c r="E145" s="113">
        <f t="shared" si="20"/>
        <v>-7013044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533787</v>
      </c>
      <c r="D146" s="113">
        <v>650350</v>
      </c>
      <c r="E146" s="113">
        <f t="shared" si="20"/>
        <v>116563</v>
      </c>
      <c r="F146" s="114">
        <f t="shared" si="21"/>
        <v>0.21836987412582173</v>
      </c>
    </row>
    <row r="147" spans="1:6" x14ac:dyDescent="0.2">
      <c r="A147" s="115">
        <v>6</v>
      </c>
      <c r="B147" s="116" t="s">
        <v>118</v>
      </c>
      <c r="C147" s="113">
        <v>7629547</v>
      </c>
      <c r="D147" s="113">
        <v>7380824</v>
      </c>
      <c r="E147" s="113">
        <f t="shared" si="20"/>
        <v>-248723</v>
      </c>
      <c r="F147" s="114">
        <f t="shared" si="21"/>
        <v>-3.2599969565689814E-2</v>
      </c>
    </row>
    <row r="148" spans="1:6" x14ac:dyDescent="0.2">
      <c r="A148" s="115">
        <v>7</v>
      </c>
      <c r="B148" s="116" t="s">
        <v>119</v>
      </c>
      <c r="C148" s="113">
        <v>57497754</v>
      </c>
      <c r="D148" s="113">
        <v>58230632</v>
      </c>
      <c r="E148" s="113">
        <f t="shared" si="20"/>
        <v>732878</v>
      </c>
      <c r="F148" s="114">
        <f t="shared" si="21"/>
        <v>1.2746202225568671E-2</v>
      </c>
    </row>
    <row r="149" spans="1:6" x14ac:dyDescent="0.2">
      <c r="A149" s="115">
        <v>8</v>
      </c>
      <c r="B149" s="116" t="s">
        <v>120</v>
      </c>
      <c r="C149" s="113">
        <v>3626109</v>
      </c>
      <c r="D149" s="113">
        <v>3348976</v>
      </c>
      <c r="E149" s="113">
        <f t="shared" si="20"/>
        <v>-277133</v>
      </c>
      <c r="F149" s="114">
        <f t="shared" si="21"/>
        <v>-7.6427101336446313E-2</v>
      </c>
    </row>
    <row r="150" spans="1:6" x14ac:dyDescent="0.2">
      <c r="A150" s="115">
        <v>9</v>
      </c>
      <c r="B150" s="116" t="s">
        <v>121</v>
      </c>
      <c r="C150" s="113">
        <v>17669566</v>
      </c>
      <c r="D150" s="113">
        <v>18960476</v>
      </c>
      <c r="E150" s="113">
        <f t="shared" si="20"/>
        <v>1290910</v>
      </c>
      <c r="F150" s="114">
        <f t="shared" si="21"/>
        <v>7.3058387512177719E-2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241033072</v>
      </c>
      <c r="D153" s="119">
        <f>SUM(D142:D152)</f>
        <v>260328569</v>
      </c>
      <c r="E153" s="119">
        <f t="shared" si="20"/>
        <v>19295497</v>
      </c>
      <c r="F153" s="120">
        <f t="shared" si="21"/>
        <v>8.0053317330660748E-2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6708732</v>
      </c>
      <c r="D155" s="113">
        <v>6179113</v>
      </c>
      <c r="E155" s="113">
        <f t="shared" ref="E155:E166" si="22">D155-C155</f>
        <v>-529619</v>
      </c>
      <c r="F155" s="114">
        <f t="shared" ref="F155:F166" si="23">IF(C155=0,0,E155/C155)</f>
        <v>-7.8944724576864897E-2</v>
      </c>
    </row>
    <row r="156" spans="1:6" x14ac:dyDescent="0.2">
      <c r="A156" s="115">
        <v>2</v>
      </c>
      <c r="B156" s="116" t="s">
        <v>114</v>
      </c>
      <c r="C156" s="113">
        <v>2761188</v>
      </c>
      <c r="D156" s="113">
        <v>2786352</v>
      </c>
      <c r="E156" s="113">
        <f t="shared" si="22"/>
        <v>25164</v>
      </c>
      <c r="F156" s="114">
        <f t="shared" si="23"/>
        <v>9.1134685504934837E-3</v>
      </c>
    </row>
    <row r="157" spans="1:6" x14ac:dyDescent="0.2">
      <c r="A157" s="115">
        <v>3</v>
      </c>
      <c r="B157" s="116" t="s">
        <v>115</v>
      </c>
      <c r="C157" s="113">
        <v>10149310</v>
      </c>
      <c r="D157" s="113">
        <v>12037769</v>
      </c>
      <c r="E157" s="113">
        <f t="shared" si="22"/>
        <v>1888459</v>
      </c>
      <c r="F157" s="114">
        <f t="shared" si="23"/>
        <v>0.186067722830419</v>
      </c>
    </row>
    <row r="158" spans="1:6" x14ac:dyDescent="0.2">
      <c r="A158" s="115">
        <v>4</v>
      </c>
      <c r="B158" s="116" t="s">
        <v>116</v>
      </c>
      <c r="C158" s="113">
        <v>997266</v>
      </c>
      <c r="D158" s="113">
        <v>0</v>
      </c>
      <c r="E158" s="113">
        <f t="shared" si="22"/>
        <v>-997266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105130</v>
      </c>
      <c r="D159" s="113">
        <v>106927</v>
      </c>
      <c r="E159" s="113">
        <f t="shared" si="22"/>
        <v>1797</v>
      </c>
      <c r="F159" s="114">
        <f t="shared" si="23"/>
        <v>1.7093122800342433E-2</v>
      </c>
    </row>
    <row r="160" spans="1:6" x14ac:dyDescent="0.2">
      <c r="A160" s="115">
        <v>6</v>
      </c>
      <c r="B160" s="116" t="s">
        <v>118</v>
      </c>
      <c r="C160" s="113">
        <v>3299585</v>
      </c>
      <c r="D160" s="113">
        <v>3229156</v>
      </c>
      <c r="E160" s="113">
        <f t="shared" si="22"/>
        <v>-70429</v>
      </c>
      <c r="F160" s="114">
        <f t="shared" si="23"/>
        <v>-2.1344805483113787E-2</v>
      </c>
    </row>
    <row r="161" spans="1:6" x14ac:dyDescent="0.2">
      <c r="A161" s="115">
        <v>7</v>
      </c>
      <c r="B161" s="116" t="s">
        <v>119</v>
      </c>
      <c r="C161" s="113">
        <v>20662643</v>
      </c>
      <c r="D161" s="113">
        <v>23910928</v>
      </c>
      <c r="E161" s="113">
        <f t="shared" si="22"/>
        <v>3248285</v>
      </c>
      <c r="F161" s="114">
        <f t="shared" si="23"/>
        <v>0.15720568757830256</v>
      </c>
    </row>
    <row r="162" spans="1:6" x14ac:dyDescent="0.2">
      <c r="A162" s="115">
        <v>8</v>
      </c>
      <c r="B162" s="116" t="s">
        <v>120</v>
      </c>
      <c r="C162" s="113">
        <v>2372979</v>
      </c>
      <c r="D162" s="113">
        <v>2137002</v>
      </c>
      <c r="E162" s="113">
        <f t="shared" si="22"/>
        <v>-235977</v>
      </c>
      <c r="F162" s="114">
        <f t="shared" si="23"/>
        <v>-9.9443357905822177E-2</v>
      </c>
    </row>
    <row r="163" spans="1:6" x14ac:dyDescent="0.2">
      <c r="A163" s="115">
        <v>9</v>
      </c>
      <c r="B163" s="116" t="s">
        <v>121</v>
      </c>
      <c r="C163" s="113">
        <v>301097</v>
      </c>
      <c r="D163" s="113">
        <v>241593</v>
      </c>
      <c r="E163" s="113">
        <f t="shared" si="22"/>
        <v>-59504</v>
      </c>
      <c r="F163" s="114">
        <f t="shared" si="23"/>
        <v>-0.19762402149473426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47357930</v>
      </c>
      <c r="D166" s="119">
        <f>SUM(D155:D165)</f>
        <v>50628840</v>
      </c>
      <c r="E166" s="119">
        <f t="shared" si="22"/>
        <v>3270910</v>
      </c>
      <c r="F166" s="120">
        <f t="shared" si="23"/>
        <v>6.9067841436481703E-2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9365</v>
      </c>
      <c r="D168" s="133">
        <v>8864</v>
      </c>
      <c r="E168" s="133">
        <f t="shared" ref="E168:E179" si="24">D168-C168</f>
        <v>-501</v>
      </c>
      <c r="F168" s="114">
        <f t="shared" ref="F168:F179" si="25">IF(C168=0,0,E168/C168)</f>
        <v>-5.3497063534436735E-2</v>
      </c>
    </row>
    <row r="169" spans="1:6" x14ac:dyDescent="0.2">
      <c r="A169" s="115">
        <v>2</v>
      </c>
      <c r="B169" s="116" t="s">
        <v>114</v>
      </c>
      <c r="C169" s="133">
        <v>3380</v>
      </c>
      <c r="D169" s="133">
        <v>3419</v>
      </c>
      <c r="E169" s="133">
        <f t="shared" si="24"/>
        <v>39</v>
      </c>
      <c r="F169" s="114">
        <f t="shared" si="25"/>
        <v>1.1538461538461539E-2</v>
      </c>
    </row>
    <row r="170" spans="1:6" x14ac:dyDescent="0.2">
      <c r="A170" s="115">
        <v>3</v>
      </c>
      <c r="B170" s="116" t="s">
        <v>115</v>
      </c>
      <c r="C170" s="133">
        <v>24791</v>
      </c>
      <c r="D170" s="133">
        <v>29375</v>
      </c>
      <c r="E170" s="133">
        <f t="shared" si="24"/>
        <v>4584</v>
      </c>
      <c r="F170" s="114">
        <f t="shared" si="25"/>
        <v>0.18490581259327982</v>
      </c>
    </row>
    <row r="171" spans="1:6" x14ac:dyDescent="0.2">
      <c r="A171" s="115">
        <v>4</v>
      </c>
      <c r="B171" s="116" t="s">
        <v>116</v>
      </c>
      <c r="C171" s="133">
        <v>2641</v>
      </c>
      <c r="D171" s="133">
        <v>0</v>
      </c>
      <c r="E171" s="133">
        <f t="shared" si="24"/>
        <v>-2641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142</v>
      </c>
      <c r="D172" s="133">
        <v>152</v>
      </c>
      <c r="E172" s="133">
        <f t="shared" si="24"/>
        <v>10</v>
      </c>
      <c r="F172" s="114">
        <f t="shared" si="25"/>
        <v>7.0422535211267609E-2</v>
      </c>
    </row>
    <row r="173" spans="1:6" x14ac:dyDescent="0.2">
      <c r="A173" s="115">
        <v>6</v>
      </c>
      <c r="B173" s="116" t="s">
        <v>118</v>
      </c>
      <c r="C173" s="133">
        <v>1682</v>
      </c>
      <c r="D173" s="133">
        <v>1622</v>
      </c>
      <c r="E173" s="133">
        <f t="shared" si="24"/>
        <v>-60</v>
      </c>
      <c r="F173" s="114">
        <f t="shared" si="25"/>
        <v>-3.56718192627824E-2</v>
      </c>
    </row>
    <row r="174" spans="1:6" x14ac:dyDescent="0.2">
      <c r="A174" s="115">
        <v>7</v>
      </c>
      <c r="B174" s="116" t="s">
        <v>119</v>
      </c>
      <c r="C174" s="133">
        <v>13076</v>
      </c>
      <c r="D174" s="133">
        <v>12629</v>
      </c>
      <c r="E174" s="133">
        <f t="shared" si="24"/>
        <v>-447</v>
      </c>
      <c r="F174" s="114">
        <f t="shared" si="25"/>
        <v>-3.4184765983481184E-2</v>
      </c>
    </row>
    <row r="175" spans="1:6" x14ac:dyDescent="0.2">
      <c r="A175" s="115">
        <v>8</v>
      </c>
      <c r="B175" s="116" t="s">
        <v>120</v>
      </c>
      <c r="C175" s="133">
        <v>1341</v>
      </c>
      <c r="D175" s="133">
        <v>1254</v>
      </c>
      <c r="E175" s="133">
        <f t="shared" si="24"/>
        <v>-87</v>
      </c>
      <c r="F175" s="114">
        <f t="shared" si="25"/>
        <v>-6.4876957494407153E-2</v>
      </c>
    </row>
    <row r="176" spans="1:6" x14ac:dyDescent="0.2">
      <c r="A176" s="115">
        <v>9</v>
      </c>
      <c r="B176" s="116" t="s">
        <v>121</v>
      </c>
      <c r="C176" s="133">
        <v>6129</v>
      </c>
      <c r="D176" s="133">
        <v>5889</v>
      </c>
      <c r="E176" s="133">
        <f t="shared" si="24"/>
        <v>-240</v>
      </c>
      <c r="F176" s="114">
        <f t="shared" si="25"/>
        <v>-3.9158100832109639E-2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62547</v>
      </c>
      <c r="D179" s="134">
        <f>SUM(D168:D178)</f>
        <v>63204</v>
      </c>
      <c r="E179" s="134">
        <f t="shared" si="24"/>
        <v>657</v>
      </c>
      <c r="F179" s="120">
        <f t="shared" si="25"/>
        <v>1.0504100916111085E-2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96936155</v>
      </c>
      <c r="D15" s="157">
        <v>110581485</v>
      </c>
      <c r="E15" s="157">
        <f>+D15-C15</f>
        <v>13645330</v>
      </c>
      <c r="F15" s="161">
        <f>IF(C15=0,0,E15/C15)</f>
        <v>0.14076615685860452</v>
      </c>
    </row>
    <row r="16" spans="1:6" ht="15" customHeight="1" x14ac:dyDescent="0.2">
      <c r="A16" s="147">
        <v>2</v>
      </c>
      <c r="B16" s="160" t="s">
        <v>157</v>
      </c>
      <c r="C16" s="157">
        <v>4418450</v>
      </c>
      <c r="D16" s="157">
        <v>4569581</v>
      </c>
      <c r="E16" s="157">
        <f>+D16-C16</f>
        <v>151131</v>
      </c>
      <c r="F16" s="161">
        <f>IF(C16=0,0,E16/C16)</f>
        <v>3.420452873745318E-2</v>
      </c>
    </row>
    <row r="17" spans="1:6" ht="15" customHeight="1" x14ac:dyDescent="0.2">
      <c r="A17" s="147">
        <v>3</v>
      </c>
      <c r="B17" s="160" t="s">
        <v>158</v>
      </c>
      <c r="C17" s="157">
        <v>142595158</v>
      </c>
      <c r="D17" s="157">
        <v>137408298</v>
      </c>
      <c r="E17" s="157">
        <f>+D17-C17</f>
        <v>-5186860</v>
      </c>
      <c r="F17" s="161">
        <f>IF(C17=0,0,E17/C17)</f>
        <v>-3.6374727394320079E-2</v>
      </c>
    </row>
    <row r="18" spans="1:6" ht="15.75" customHeight="1" x14ac:dyDescent="0.25">
      <c r="A18" s="147"/>
      <c r="B18" s="162" t="s">
        <v>159</v>
      </c>
      <c r="C18" s="158">
        <f>SUM(C15:C17)</f>
        <v>243949763</v>
      </c>
      <c r="D18" s="158">
        <f>SUM(D15:D17)</f>
        <v>252559364</v>
      </c>
      <c r="E18" s="158">
        <f>+D18-C18</f>
        <v>8609601</v>
      </c>
      <c r="F18" s="159">
        <f>IF(C18=0,0,E18/C18)</f>
        <v>3.5292516353049294E-2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26485580</v>
      </c>
      <c r="D21" s="157">
        <v>31316806</v>
      </c>
      <c r="E21" s="157">
        <f>+D21-C21</f>
        <v>4831226</v>
      </c>
      <c r="F21" s="161">
        <f>IF(C21=0,0,E21/C21)</f>
        <v>0.18240967349025394</v>
      </c>
    </row>
    <row r="22" spans="1:6" ht="15" customHeight="1" x14ac:dyDescent="0.2">
      <c r="A22" s="147">
        <v>2</v>
      </c>
      <c r="B22" s="160" t="s">
        <v>162</v>
      </c>
      <c r="C22" s="157">
        <v>1200857</v>
      </c>
      <c r="D22" s="157">
        <v>1286992</v>
      </c>
      <c r="E22" s="157">
        <f>+D22-C22</f>
        <v>86135</v>
      </c>
      <c r="F22" s="161">
        <f>IF(C22=0,0,E22/C22)</f>
        <v>7.1727940962162853E-2</v>
      </c>
    </row>
    <row r="23" spans="1:6" ht="15" customHeight="1" x14ac:dyDescent="0.2">
      <c r="A23" s="147">
        <v>3</v>
      </c>
      <c r="B23" s="160" t="s">
        <v>163</v>
      </c>
      <c r="C23" s="157">
        <v>39027868</v>
      </c>
      <c r="D23" s="157">
        <v>38895758</v>
      </c>
      <c r="E23" s="157">
        <f>+D23-C23</f>
        <v>-132110</v>
      </c>
      <c r="F23" s="161">
        <f>IF(C23=0,0,E23/C23)</f>
        <v>-3.3850170857398615E-3</v>
      </c>
    </row>
    <row r="24" spans="1:6" ht="15.75" customHeight="1" x14ac:dyDescent="0.25">
      <c r="A24" s="147"/>
      <c r="B24" s="162" t="s">
        <v>164</v>
      </c>
      <c r="C24" s="158">
        <f>SUM(C21:C23)</f>
        <v>66714305</v>
      </c>
      <c r="D24" s="158">
        <f>SUM(D21:D23)</f>
        <v>71499556</v>
      </c>
      <c r="E24" s="158">
        <f>+D24-C24</f>
        <v>4785251</v>
      </c>
      <c r="F24" s="159">
        <f>IF(C24=0,0,E24/C24)</f>
        <v>7.172751031431715E-2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5166564</v>
      </c>
      <c r="D27" s="157">
        <v>3542565</v>
      </c>
      <c r="E27" s="157">
        <f>+D27-C27</f>
        <v>-1623999</v>
      </c>
      <c r="F27" s="161">
        <f>IF(C27=0,0,E27/C27)</f>
        <v>-0.31432863311090309</v>
      </c>
    </row>
    <row r="28" spans="1:6" ht="15" customHeight="1" x14ac:dyDescent="0.2">
      <c r="A28" s="147">
        <v>2</v>
      </c>
      <c r="B28" s="160" t="s">
        <v>167</v>
      </c>
      <c r="C28" s="157">
        <v>47528057</v>
      </c>
      <c r="D28" s="157">
        <v>46353712</v>
      </c>
      <c r="E28" s="157">
        <f>+D28-C28</f>
        <v>-1174345</v>
      </c>
      <c r="F28" s="161">
        <f>IF(C28=0,0,E28/C28)</f>
        <v>-2.4708457995663489E-2</v>
      </c>
    </row>
    <row r="29" spans="1:6" ht="15" customHeight="1" x14ac:dyDescent="0.2">
      <c r="A29" s="147">
        <v>3</v>
      </c>
      <c r="B29" s="160" t="s">
        <v>168</v>
      </c>
      <c r="C29" s="157">
        <v>11723676</v>
      </c>
      <c r="D29" s="157">
        <v>12220820</v>
      </c>
      <c r="E29" s="157">
        <f>+D29-C29</f>
        <v>497144</v>
      </c>
      <c r="F29" s="161">
        <f>IF(C29=0,0,E29/C29)</f>
        <v>4.2405129585635089E-2</v>
      </c>
    </row>
    <row r="30" spans="1:6" ht="15.75" customHeight="1" x14ac:dyDescent="0.25">
      <c r="A30" s="147"/>
      <c r="B30" s="162" t="s">
        <v>169</v>
      </c>
      <c r="C30" s="158">
        <f>SUM(C27:C29)</f>
        <v>64418297</v>
      </c>
      <c r="D30" s="158">
        <f>SUM(D27:D29)</f>
        <v>62117097</v>
      </c>
      <c r="E30" s="158">
        <f>+D30-C30</f>
        <v>-2301200</v>
      </c>
      <c r="F30" s="159">
        <f>IF(C30=0,0,E30/C30)</f>
        <v>-3.572276988322122E-2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73466929</v>
      </c>
      <c r="D33" s="157">
        <v>72850402</v>
      </c>
      <c r="E33" s="157">
        <f>+D33-C33</f>
        <v>-616527</v>
      </c>
      <c r="F33" s="161">
        <f>IF(C33=0,0,E33/C33)</f>
        <v>-8.3918983465335814E-3</v>
      </c>
    </row>
    <row r="34" spans="1:6" ht="15" customHeight="1" x14ac:dyDescent="0.2">
      <c r="A34" s="147">
        <v>2</v>
      </c>
      <c r="B34" s="160" t="s">
        <v>173</v>
      </c>
      <c r="C34" s="157">
        <v>34921193</v>
      </c>
      <c r="D34" s="157">
        <v>28486899</v>
      </c>
      <c r="E34" s="157">
        <f>+D34-C34</f>
        <v>-6434294</v>
      </c>
      <c r="F34" s="161">
        <f>IF(C34=0,0,E34/C34)</f>
        <v>-0.18425183813164689</v>
      </c>
    </row>
    <row r="35" spans="1:6" ht="15.75" customHeight="1" x14ac:dyDescent="0.25">
      <c r="A35" s="147"/>
      <c r="B35" s="162" t="s">
        <v>174</v>
      </c>
      <c r="C35" s="158">
        <f>SUM(C33:C34)</f>
        <v>108388122</v>
      </c>
      <c r="D35" s="158">
        <f>SUM(D33:D34)</f>
        <v>101337301</v>
      </c>
      <c r="E35" s="158">
        <f>+D35-C35</f>
        <v>-7050821</v>
      </c>
      <c r="F35" s="159">
        <f>IF(C35=0,0,E35/C35)</f>
        <v>-6.5051602241064752E-2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13239936</v>
      </c>
      <c r="D38" s="157">
        <v>11551356</v>
      </c>
      <c r="E38" s="157">
        <f>+D38-C38</f>
        <v>-1688580</v>
      </c>
      <c r="F38" s="161">
        <f>IF(C38=0,0,E38/C38)</f>
        <v>-0.12753687026885929</v>
      </c>
    </row>
    <row r="39" spans="1:6" ht="15" customHeight="1" x14ac:dyDescent="0.2">
      <c r="A39" s="147">
        <v>2</v>
      </c>
      <c r="B39" s="160" t="s">
        <v>178</v>
      </c>
      <c r="C39" s="157">
        <v>21037464</v>
      </c>
      <c r="D39" s="157">
        <v>22837228</v>
      </c>
      <c r="E39" s="157">
        <f>+D39-C39</f>
        <v>1799764</v>
      </c>
      <c r="F39" s="161">
        <f>IF(C39=0,0,E39/C39)</f>
        <v>8.5550425659670762E-2</v>
      </c>
    </row>
    <row r="40" spans="1:6" ht="15" customHeight="1" x14ac:dyDescent="0.2">
      <c r="A40" s="147">
        <v>3</v>
      </c>
      <c r="B40" s="160" t="s">
        <v>179</v>
      </c>
      <c r="C40" s="157">
        <v>530394</v>
      </c>
      <c r="D40" s="157">
        <v>480993</v>
      </c>
      <c r="E40" s="157">
        <f>+D40-C40</f>
        <v>-49401</v>
      </c>
      <c r="F40" s="161">
        <f>IF(C40=0,0,E40/C40)</f>
        <v>-9.3140193893596082E-2</v>
      </c>
    </row>
    <row r="41" spans="1:6" ht="15.75" customHeight="1" x14ac:dyDescent="0.25">
      <c r="A41" s="147"/>
      <c r="B41" s="162" t="s">
        <v>180</v>
      </c>
      <c r="C41" s="158">
        <f>SUM(C38:C40)</f>
        <v>34807794</v>
      </c>
      <c r="D41" s="158">
        <f>SUM(D38:D40)</f>
        <v>34869577</v>
      </c>
      <c r="E41" s="158">
        <f>+D41-C41</f>
        <v>61783</v>
      </c>
      <c r="F41" s="159">
        <f>IF(C41=0,0,E41/C41)</f>
        <v>1.774976029793787E-3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18629069</v>
      </c>
      <c r="D44" s="157">
        <v>0</v>
      </c>
      <c r="E44" s="157">
        <f>+D44-C44</f>
        <v>-18629069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11964520</v>
      </c>
      <c r="D47" s="157">
        <v>11600890</v>
      </c>
      <c r="E47" s="157">
        <f>+D47-C47</f>
        <v>-363630</v>
      </c>
      <c r="F47" s="161">
        <f>IF(C47=0,0,E47/C47)</f>
        <v>-3.0392360077963847E-2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13797528</v>
      </c>
      <c r="D50" s="157">
        <v>8725455</v>
      </c>
      <c r="E50" s="157">
        <f>+D50-C50</f>
        <v>-5072073</v>
      </c>
      <c r="F50" s="161">
        <f>IF(C50=0,0,E50/C50)</f>
        <v>-0.36760737140739991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674769</v>
      </c>
      <c r="D53" s="157">
        <v>997285</v>
      </c>
      <c r="E53" s="157">
        <f t="shared" ref="E53:E59" si="0">+D53-C53</f>
        <v>322516</v>
      </c>
      <c r="F53" s="161">
        <f t="shared" ref="F53:F59" si="1">IF(C53=0,0,E53/C53)</f>
        <v>0.47796505174363374</v>
      </c>
    </row>
    <row r="54" spans="1:6" ht="15" customHeight="1" x14ac:dyDescent="0.2">
      <c r="A54" s="147">
        <v>2</v>
      </c>
      <c r="B54" s="160" t="s">
        <v>189</v>
      </c>
      <c r="C54" s="157">
        <v>2850186</v>
      </c>
      <c r="D54" s="157">
        <v>3235430</v>
      </c>
      <c r="E54" s="157">
        <f t="shared" si="0"/>
        <v>385244</v>
      </c>
      <c r="F54" s="161">
        <f t="shared" si="1"/>
        <v>0.13516451207044031</v>
      </c>
    </row>
    <row r="55" spans="1:6" ht="15" customHeight="1" x14ac:dyDescent="0.2">
      <c r="A55" s="147">
        <v>3</v>
      </c>
      <c r="B55" s="160" t="s">
        <v>190</v>
      </c>
      <c r="C55" s="157">
        <v>51658</v>
      </c>
      <c r="D55" s="157">
        <v>6497</v>
      </c>
      <c r="E55" s="157">
        <f t="shared" si="0"/>
        <v>-45161</v>
      </c>
      <c r="F55" s="161">
        <f t="shared" si="1"/>
        <v>-0.87423051608656932</v>
      </c>
    </row>
    <row r="56" spans="1:6" ht="15" customHeight="1" x14ac:dyDescent="0.2">
      <c r="A56" s="147">
        <v>4</v>
      </c>
      <c r="B56" s="160" t="s">
        <v>191</v>
      </c>
      <c r="C56" s="157">
        <v>6888595</v>
      </c>
      <c r="D56" s="157">
        <v>7012124</v>
      </c>
      <c r="E56" s="157">
        <f t="shared" si="0"/>
        <v>123529</v>
      </c>
      <c r="F56" s="161">
        <f t="shared" si="1"/>
        <v>1.7932394051326867E-2</v>
      </c>
    </row>
    <row r="57" spans="1:6" ht="15" customHeight="1" x14ac:dyDescent="0.2">
      <c r="A57" s="147">
        <v>5</v>
      </c>
      <c r="B57" s="160" t="s">
        <v>192</v>
      </c>
      <c r="C57" s="157">
        <v>1755876</v>
      </c>
      <c r="D57" s="157">
        <v>1614253</v>
      </c>
      <c r="E57" s="157">
        <f t="shared" si="0"/>
        <v>-141623</v>
      </c>
      <c r="F57" s="161">
        <f t="shared" si="1"/>
        <v>-8.0656606730771421E-2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12221084</v>
      </c>
      <c r="D59" s="158">
        <f>SUM(D53:D58)</f>
        <v>12865589</v>
      </c>
      <c r="E59" s="158">
        <f t="shared" si="0"/>
        <v>644505</v>
      </c>
      <c r="F59" s="159">
        <f t="shared" si="1"/>
        <v>5.2737138538610812E-2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359175</v>
      </c>
      <c r="D62" s="157">
        <v>655312</v>
      </c>
      <c r="E62" s="157">
        <f t="shared" ref="E62:E90" si="2">+D62-C62</f>
        <v>296137</v>
      </c>
      <c r="F62" s="161">
        <f t="shared" ref="F62:F90" si="3">IF(C62=0,0,E62/C62)</f>
        <v>0.82449223915918424</v>
      </c>
    </row>
    <row r="63" spans="1:6" ht="15" customHeight="1" x14ac:dyDescent="0.2">
      <c r="A63" s="147">
        <v>2</v>
      </c>
      <c r="B63" s="160" t="s">
        <v>198</v>
      </c>
      <c r="C63" s="157">
        <v>2844059</v>
      </c>
      <c r="D63" s="157">
        <v>2470838</v>
      </c>
      <c r="E63" s="157">
        <f t="shared" si="2"/>
        <v>-373221</v>
      </c>
      <c r="F63" s="161">
        <f t="shared" si="3"/>
        <v>-0.13122829027105273</v>
      </c>
    </row>
    <row r="64" spans="1:6" ht="15" customHeight="1" x14ac:dyDescent="0.2">
      <c r="A64" s="147">
        <v>3</v>
      </c>
      <c r="B64" s="160" t="s">
        <v>199</v>
      </c>
      <c r="C64" s="157">
        <v>8729154</v>
      </c>
      <c r="D64" s="157">
        <v>5837461</v>
      </c>
      <c r="E64" s="157">
        <f t="shared" si="2"/>
        <v>-2891693</v>
      </c>
      <c r="F64" s="161">
        <f t="shared" si="3"/>
        <v>-0.33126841386920197</v>
      </c>
    </row>
    <row r="65" spans="1:6" ht="15" customHeight="1" x14ac:dyDescent="0.2">
      <c r="A65" s="147">
        <v>4</v>
      </c>
      <c r="B65" s="160" t="s">
        <v>200</v>
      </c>
      <c r="C65" s="157">
        <v>1858541</v>
      </c>
      <c r="D65" s="157">
        <v>2082231</v>
      </c>
      <c r="E65" s="157">
        <f t="shared" si="2"/>
        <v>223690</v>
      </c>
      <c r="F65" s="161">
        <f t="shared" si="3"/>
        <v>0.12035785059355698</v>
      </c>
    </row>
    <row r="66" spans="1:6" ht="15" customHeight="1" x14ac:dyDescent="0.2">
      <c r="A66" s="147">
        <v>5</v>
      </c>
      <c r="B66" s="160" t="s">
        <v>201</v>
      </c>
      <c r="C66" s="157">
        <v>2934566</v>
      </c>
      <c r="D66" s="157">
        <v>3158687</v>
      </c>
      <c r="E66" s="157">
        <f t="shared" si="2"/>
        <v>224121</v>
      </c>
      <c r="F66" s="161">
        <f t="shared" si="3"/>
        <v>7.6372792433361522E-2</v>
      </c>
    </row>
    <row r="67" spans="1:6" ht="15" customHeight="1" x14ac:dyDescent="0.2">
      <c r="A67" s="147">
        <v>6</v>
      </c>
      <c r="B67" s="160" t="s">
        <v>202</v>
      </c>
      <c r="C67" s="157">
        <v>3285222</v>
      </c>
      <c r="D67" s="157">
        <v>3550677</v>
      </c>
      <c r="E67" s="157">
        <f t="shared" si="2"/>
        <v>265455</v>
      </c>
      <c r="F67" s="161">
        <f t="shared" si="3"/>
        <v>8.080275853503964E-2</v>
      </c>
    </row>
    <row r="68" spans="1:6" ht="15" customHeight="1" x14ac:dyDescent="0.2">
      <c r="A68" s="147">
        <v>7</v>
      </c>
      <c r="B68" s="160" t="s">
        <v>203</v>
      </c>
      <c r="C68" s="157">
        <v>14126454</v>
      </c>
      <c r="D68" s="157">
        <v>13963405</v>
      </c>
      <c r="E68" s="157">
        <f t="shared" si="2"/>
        <v>-163049</v>
      </c>
      <c r="F68" s="161">
        <f t="shared" si="3"/>
        <v>-1.1542103913692708E-2</v>
      </c>
    </row>
    <row r="69" spans="1:6" ht="15" customHeight="1" x14ac:dyDescent="0.2">
      <c r="A69" s="147">
        <v>8</v>
      </c>
      <c r="B69" s="160" t="s">
        <v>204</v>
      </c>
      <c r="C69" s="157">
        <v>1085396</v>
      </c>
      <c r="D69" s="157">
        <v>1165297</v>
      </c>
      <c r="E69" s="157">
        <f t="shared" si="2"/>
        <v>79901</v>
      </c>
      <c r="F69" s="161">
        <f t="shared" si="3"/>
        <v>7.3614607019005046E-2</v>
      </c>
    </row>
    <row r="70" spans="1:6" ht="15" customHeight="1" x14ac:dyDescent="0.2">
      <c r="A70" s="147">
        <v>9</v>
      </c>
      <c r="B70" s="160" t="s">
        <v>205</v>
      </c>
      <c r="C70" s="157">
        <v>959694</v>
      </c>
      <c r="D70" s="157">
        <v>930925</v>
      </c>
      <c r="E70" s="157">
        <f t="shared" si="2"/>
        <v>-28769</v>
      </c>
      <c r="F70" s="161">
        <f t="shared" si="3"/>
        <v>-2.9977263586101404E-2</v>
      </c>
    </row>
    <row r="71" spans="1:6" ht="15" customHeight="1" x14ac:dyDescent="0.2">
      <c r="A71" s="147">
        <v>10</v>
      </c>
      <c r="B71" s="160" t="s">
        <v>206</v>
      </c>
      <c r="C71" s="157">
        <v>901222</v>
      </c>
      <c r="D71" s="157">
        <v>646027</v>
      </c>
      <c r="E71" s="157">
        <f t="shared" si="2"/>
        <v>-255195</v>
      </c>
      <c r="F71" s="161">
        <f t="shared" si="3"/>
        <v>-0.28316552414388463</v>
      </c>
    </row>
    <row r="72" spans="1:6" ht="15" customHeight="1" x14ac:dyDescent="0.2">
      <c r="A72" s="147">
        <v>11</v>
      </c>
      <c r="B72" s="160" t="s">
        <v>207</v>
      </c>
      <c r="C72" s="157">
        <v>1562599</v>
      </c>
      <c r="D72" s="157">
        <v>1666131</v>
      </c>
      <c r="E72" s="157">
        <f t="shared" si="2"/>
        <v>103532</v>
      </c>
      <c r="F72" s="161">
        <f t="shared" si="3"/>
        <v>6.6256282001972353E-2</v>
      </c>
    </row>
    <row r="73" spans="1:6" ht="15" customHeight="1" x14ac:dyDescent="0.2">
      <c r="A73" s="147">
        <v>12</v>
      </c>
      <c r="B73" s="160" t="s">
        <v>208</v>
      </c>
      <c r="C73" s="157">
        <v>4173957</v>
      </c>
      <c r="D73" s="157">
        <v>4110828</v>
      </c>
      <c r="E73" s="157">
        <f t="shared" si="2"/>
        <v>-63129</v>
      </c>
      <c r="F73" s="161">
        <f t="shared" si="3"/>
        <v>-1.5124496970141283E-2</v>
      </c>
    </row>
    <row r="74" spans="1:6" ht="15" customHeight="1" x14ac:dyDescent="0.2">
      <c r="A74" s="147">
        <v>13</v>
      </c>
      <c r="B74" s="160" t="s">
        <v>209</v>
      </c>
      <c r="C74" s="157">
        <v>616567</v>
      </c>
      <c r="D74" s="157">
        <v>572407</v>
      </c>
      <c r="E74" s="157">
        <f t="shared" si="2"/>
        <v>-44160</v>
      </c>
      <c r="F74" s="161">
        <f t="shared" si="3"/>
        <v>-7.1622386537067345E-2</v>
      </c>
    </row>
    <row r="75" spans="1:6" ht="15" customHeight="1" x14ac:dyDescent="0.2">
      <c r="A75" s="147">
        <v>14</v>
      </c>
      <c r="B75" s="160" t="s">
        <v>210</v>
      </c>
      <c r="C75" s="157">
        <v>600720</v>
      </c>
      <c r="D75" s="157">
        <v>166601</v>
      </c>
      <c r="E75" s="157">
        <f t="shared" si="2"/>
        <v>-434119</v>
      </c>
      <c r="F75" s="161">
        <f t="shared" si="3"/>
        <v>-0.72266446930350248</v>
      </c>
    </row>
    <row r="76" spans="1:6" ht="15" customHeight="1" x14ac:dyDescent="0.2">
      <c r="A76" s="147">
        <v>15</v>
      </c>
      <c r="B76" s="160" t="s">
        <v>211</v>
      </c>
      <c r="C76" s="157">
        <v>1990339</v>
      </c>
      <c r="D76" s="157">
        <v>1983278</v>
      </c>
      <c r="E76" s="157">
        <f t="shared" si="2"/>
        <v>-7061</v>
      </c>
      <c r="F76" s="161">
        <f t="shared" si="3"/>
        <v>-3.5476368598515128E-3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7247879</v>
      </c>
      <c r="D78" s="157">
        <v>8975558</v>
      </c>
      <c r="E78" s="157">
        <f t="shared" si="2"/>
        <v>1727679</v>
      </c>
      <c r="F78" s="161">
        <f t="shared" si="3"/>
        <v>0.23837028736268914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868</v>
      </c>
      <c r="E79" s="157">
        <f t="shared" si="2"/>
        <v>868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4121397</v>
      </c>
      <c r="D80" s="157">
        <v>3169031</v>
      </c>
      <c r="E80" s="157">
        <f t="shared" si="2"/>
        <v>-952366</v>
      </c>
      <c r="F80" s="161">
        <f t="shared" si="3"/>
        <v>-0.23107844257663118</v>
      </c>
    </row>
    <row r="81" spans="1:6" ht="15" customHeight="1" x14ac:dyDescent="0.2">
      <c r="A81" s="147">
        <v>20</v>
      </c>
      <c r="B81" s="160" t="s">
        <v>216</v>
      </c>
      <c r="C81" s="157">
        <v>6040336</v>
      </c>
      <c r="D81" s="157">
        <v>6279212</v>
      </c>
      <c r="E81" s="157">
        <f t="shared" si="2"/>
        <v>238876</v>
      </c>
      <c r="F81" s="161">
        <f t="shared" si="3"/>
        <v>3.9546806667708552E-2</v>
      </c>
    </row>
    <row r="82" spans="1:6" ht="15" customHeight="1" x14ac:dyDescent="0.2">
      <c r="A82" s="147">
        <v>21</v>
      </c>
      <c r="B82" s="160" t="s">
        <v>217</v>
      </c>
      <c r="C82" s="157">
        <v>2293879</v>
      </c>
      <c r="D82" s="157">
        <v>2119971</v>
      </c>
      <c r="E82" s="157">
        <f t="shared" si="2"/>
        <v>-173908</v>
      </c>
      <c r="F82" s="161">
        <f t="shared" si="3"/>
        <v>-7.581393787553746E-2</v>
      </c>
    </row>
    <row r="83" spans="1:6" ht="15" customHeight="1" x14ac:dyDescent="0.2">
      <c r="A83" s="147">
        <v>22</v>
      </c>
      <c r="B83" s="160" t="s">
        <v>218</v>
      </c>
      <c r="C83" s="157">
        <v>834604</v>
      </c>
      <c r="D83" s="157">
        <v>890018</v>
      </c>
      <c r="E83" s="157">
        <f t="shared" si="2"/>
        <v>55414</v>
      </c>
      <c r="F83" s="161">
        <f t="shared" si="3"/>
        <v>6.6395560050035704E-2</v>
      </c>
    </row>
    <row r="84" spans="1:6" ht="15" customHeight="1" x14ac:dyDescent="0.2">
      <c r="A84" s="147">
        <v>23</v>
      </c>
      <c r="B84" s="160" t="s">
        <v>219</v>
      </c>
      <c r="C84" s="157">
        <v>2678</v>
      </c>
      <c r="D84" s="157">
        <v>676327</v>
      </c>
      <c r="E84" s="157">
        <f t="shared" si="2"/>
        <v>673649</v>
      </c>
      <c r="F84" s="161">
        <f t="shared" si="3"/>
        <v>251.54929051530993</v>
      </c>
    </row>
    <row r="85" spans="1:6" ht="15" customHeight="1" x14ac:dyDescent="0.2">
      <c r="A85" s="147">
        <v>24</v>
      </c>
      <c r="B85" s="160" t="s">
        <v>220</v>
      </c>
      <c r="C85" s="157">
        <v>10409</v>
      </c>
      <c r="D85" s="157">
        <v>1120810</v>
      </c>
      <c r="E85" s="157">
        <f t="shared" si="2"/>
        <v>1110401</v>
      </c>
      <c r="F85" s="161">
        <f t="shared" si="3"/>
        <v>106.67701027956576</v>
      </c>
    </row>
    <row r="86" spans="1:6" ht="15" customHeight="1" x14ac:dyDescent="0.2">
      <c r="A86" s="147">
        <v>25</v>
      </c>
      <c r="B86" s="160" t="s">
        <v>221</v>
      </c>
      <c r="C86" s="157">
        <v>13147</v>
      </c>
      <c r="D86" s="157">
        <v>16721</v>
      </c>
      <c r="E86" s="157">
        <f t="shared" si="2"/>
        <v>3574</v>
      </c>
      <c r="F86" s="161">
        <f t="shared" si="3"/>
        <v>0.27184909104738725</v>
      </c>
    </row>
    <row r="87" spans="1:6" ht="15" customHeight="1" x14ac:dyDescent="0.2">
      <c r="A87" s="147">
        <v>26</v>
      </c>
      <c r="B87" s="160" t="s">
        <v>222</v>
      </c>
      <c r="C87" s="157">
        <v>217257</v>
      </c>
      <c r="D87" s="157">
        <v>530483</v>
      </c>
      <c r="E87" s="157">
        <f t="shared" si="2"/>
        <v>313226</v>
      </c>
      <c r="F87" s="161">
        <f t="shared" si="3"/>
        <v>1.4417303009799454</v>
      </c>
    </row>
    <row r="88" spans="1:6" ht="15" customHeight="1" x14ac:dyDescent="0.2">
      <c r="A88" s="147">
        <v>27</v>
      </c>
      <c r="B88" s="160" t="s">
        <v>223</v>
      </c>
      <c r="C88" s="157">
        <v>330880</v>
      </c>
      <c r="D88" s="157">
        <v>2715112</v>
      </c>
      <c r="E88" s="157">
        <f t="shared" si="2"/>
        <v>2384232</v>
      </c>
      <c r="F88" s="161">
        <f t="shared" si="3"/>
        <v>7.2057301740812383</v>
      </c>
    </row>
    <row r="89" spans="1:6" ht="15" customHeight="1" x14ac:dyDescent="0.2">
      <c r="A89" s="147">
        <v>28</v>
      </c>
      <c r="B89" s="160" t="s">
        <v>224</v>
      </c>
      <c r="C89" s="157">
        <v>2366140</v>
      </c>
      <c r="D89" s="157">
        <v>6616333</v>
      </c>
      <c r="E89" s="157">
        <f t="shared" si="2"/>
        <v>4250193</v>
      </c>
      <c r="F89" s="161">
        <f t="shared" si="3"/>
        <v>1.7962559273753878</v>
      </c>
    </row>
    <row r="90" spans="1:6" ht="15.75" customHeight="1" x14ac:dyDescent="0.25">
      <c r="A90" s="147"/>
      <c r="B90" s="162" t="s">
        <v>225</v>
      </c>
      <c r="C90" s="158">
        <f>SUM(C62:C89)</f>
        <v>69506271</v>
      </c>
      <c r="D90" s="158">
        <f>SUM(D62:D89)</f>
        <v>76070549</v>
      </c>
      <c r="E90" s="158">
        <f t="shared" si="2"/>
        <v>6564278</v>
      </c>
      <c r="F90" s="159">
        <f t="shared" si="3"/>
        <v>9.4441521686582777E-2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30433946</v>
      </c>
      <c r="D93" s="157">
        <v>34613155</v>
      </c>
      <c r="E93" s="157">
        <f>+D93-C93</f>
        <v>4179209</v>
      </c>
      <c r="F93" s="161">
        <f>IF(C93=0,0,E93/C93)</f>
        <v>0.13732064189113038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674830699</v>
      </c>
      <c r="D95" s="158">
        <f>+D93+D90+D59+D50+D47+D44+D41+D35+D30+D24+D18</f>
        <v>666258533</v>
      </c>
      <c r="E95" s="158">
        <f>+D95-C95</f>
        <v>-8572166</v>
      </c>
      <c r="F95" s="159">
        <f>IF(C95=0,0,E95/C95)</f>
        <v>-1.2702691227151775E-2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111105982</v>
      </c>
      <c r="D103" s="157">
        <v>85489289</v>
      </c>
      <c r="E103" s="157">
        <f t="shared" ref="E103:E121" si="4">D103-C103</f>
        <v>-25616693</v>
      </c>
      <c r="F103" s="161">
        <f t="shared" ref="F103:F121" si="5">IF(C103=0,0,E103/C103)</f>
        <v>-0.23056088015134954</v>
      </c>
    </row>
    <row r="104" spans="1:6" ht="15" customHeight="1" x14ac:dyDescent="0.2">
      <c r="A104" s="147">
        <v>2</v>
      </c>
      <c r="B104" s="169" t="s">
        <v>234</v>
      </c>
      <c r="C104" s="157">
        <v>2293844</v>
      </c>
      <c r="D104" s="157">
        <v>2370358</v>
      </c>
      <c r="E104" s="157">
        <f t="shared" si="4"/>
        <v>76514</v>
      </c>
      <c r="F104" s="161">
        <f t="shared" si="5"/>
        <v>3.3356235210415357E-2</v>
      </c>
    </row>
    <row r="105" spans="1:6" ht="15" customHeight="1" x14ac:dyDescent="0.2">
      <c r="A105" s="147">
        <v>3</v>
      </c>
      <c r="B105" s="169" t="s">
        <v>235</v>
      </c>
      <c r="C105" s="157">
        <v>7591741</v>
      </c>
      <c r="D105" s="157">
        <v>7559191</v>
      </c>
      <c r="E105" s="157">
        <f t="shared" si="4"/>
        <v>-32550</v>
      </c>
      <c r="F105" s="161">
        <f t="shared" si="5"/>
        <v>-4.287554066978839E-3</v>
      </c>
    </row>
    <row r="106" spans="1:6" ht="15" customHeight="1" x14ac:dyDescent="0.2">
      <c r="A106" s="147">
        <v>4</v>
      </c>
      <c r="B106" s="169" t="s">
        <v>236</v>
      </c>
      <c r="C106" s="157">
        <v>3237908</v>
      </c>
      <c r="D106" s="157">
        <v>3334173</v>
      </c>
      <c r="E106" s="157">
        <f t="shared" si="4"/>
        <v>96265</v>
      </c>
      <c r="F106" s="161">
        <f t="shared" si="5"/>
        <v>2.9730616187983106E-2</v>
      </c>
    </row>
    <row r="107" spans="1:6" ht="15" customHeight="1" x14ac:dyDescent="0.2">
      <c r="A107" s="147">
        <v>5</v>
      </c>
      <c r="B107" s="169" t="s">
        <v>237</v>
      </c>
      <c r="C107" s="157">
        <v>14973122</v>
      </c>
      <c r="D107" s="157">
        <v>13867724</v>
      </c>
      <c r="E107" s="157">
        <f t="shared" si="4"/>
        <v>-1105398</v>
      </c>
      <c r="F107" s="161">
        <f t="shared" si="5"/>
        <v>-7.3825485426486204E-2</v>
      </c>
    </row>
    <row r="108" spans="1:6" ht="15" customHeight="1" x14ac:dyDescent="0.2">
      <c r="A108" s="147">
        <v>6</v>
      </c>
      <c r="B108" s="169" t="s">
        <v>238</v>
      </c>
      <c r="C108" s="157">
        <v>12146281</v>
      </c>
      <c r="D108" s="157">
        <v>12620241</v>
      </c>
      <c r="E108" s="157">
        <f t="shared" si="4"/>
        <v>473960</v>
      </c>
      <c r="F108" s="161">
        <f t="shared" si="5"/>
        <v>3.9020997455929102E-2</v>
      </c>
    </row>
    <row r="109" spans="1:6" ht="15" customHeight="1" x14ac:dyDescent="0.2">
      <c r="A109" s="147">
        <v>7</v>
      </c>
      <c r="B109" s="169" t="s">
        <v>239</v>
      </c>
      <c r="C109" s="157">
        <v>8051391</v>
      </c>
      <c r="D109" s="157">
        <v>6227048</v>
      </c>
      <c r="E109" s="157">
        <f t="shared" si="4"/>
        <v>-1824343</v>
      </c>
      <c r="F109" s="161">
        <f t="shared" si="5"/>
        <v>-0.22658730646667141</v>
      </c>
    </row>
    <row r="110" spans="1:6" ht="15" customHeight="1" x14ac:dyDescent="0.2">
      <c r="A110" s="147">
        <v>8</v>
      </c>
      <c r="B110" s="169" t="s">
        <v>240</v>
      </c>
      <c r="C110" s="157">
        <v>2663985</v>
      </c>
      <c r="D110" s="157">
        <v>2468633</v>
      </c>
      <c r="E110" s="157">
        <f t="shared" si="4"/>
        <v>-195352</v>
      </c>
      <c r="F110" s="161">
        <f t="shared" si="5"/>
        <v>-7.3330743228659317E-2</v>
      </c>
    </row>
    <row r="111" spans="1:6" ht="15" customHeight="1" x14ac:dyDescent="0.2">
      <c r="A111" s="147">
        <v>9</v>
      </c>
      <c r="B111" s="169" t="s">
        <v>241</v>
      </c>
      <c r="C111" s="157">
        <v>2845719</v>
      </c>
      <c r="D111" s="157">
        <v>3223871</v>
      </c>
      <c r="E111" s="157">
        <f t="shared" si="4"/>
        <v>378152</v>
      </c>
      <c r="F111" s="161">
        <f t="shared" si="5"/>
        <v>0.13288451881580718</v>
      </c>
    </row>
    <row r="112" spans="1:6" ht="15" customHeight="1" x14ac:dyDescent="0.2">
      <c r="A112" s="147">
        <v>10</v>
      </c>
      <c r="B112" s="169" t="s">
        <v>242</v>
      </c>
      <c r="C112" s="157">
        <v>6872663</v>
      </c>
      <c r="D112" s="157">
        <v>6487725</v>
      </c>
      <c r="E112" s="157">
        <f t="shared" si="4"/>
        <v>-384938</v>
      </c>
      <c r="F112" s="161">
        <f t="shared" si="5"/>
        <v>-5.6010021151917389E-2</v>
      </c>
    </row>
    <row r="113" spans="1:6" ht="15" customHeight="1" x14ac:dyDescent="0.2">
      <c r="A113" s="147">
        <v>11</v>
      </c>
      <c r="B113" s="169" t="s">
        <v>243</v>
      </c>
      <c r="C113" s="157">
        <v>8481997</v>
      </c>
      <c r="D113" s="157">
        <v>9128435</v>
      </c>
      <c r="E113" s="157">
        <f t="shared" si="4"/>
        <v>646438</v>
      </c>
      <c r="F113" s="161">
        <f t="shared" si="5"/>
        <v>7.6212948436553324E-2</v>
      </c>
    </row>
    <row r="114" spans="1:6" ht="15" customHeight="1" x14ac:dyDescent="0.2">
      <c r="A114" s="147">
        <v>12</v>
      </c>
      <c r="B114" s="169" t="s">
        <v>244</v>
      </c>
      <c r="C114" s="157">
        <v>4509282</v>
      </c>
      <c r="D114" s="157">
        <v>4258954</v>
      </c>
      <c r="E114" s="157">
        <f t="shared" si="4"/>
        <v>-250328</v>
      </c>
      <c r="F114" s="161">
        <f t="shared" si="5"/>
        <v>-5.5513937695624273E-2</v>
      </c>
    </row>
    <row r="115" spans="1:6" ht="15" customHeight="1" x14ac:dyDescent="0.2">
      <c r="A115" s="147">
        <v>13</v>
      </c>
      <c r="B115" s="169" t="s">
        <v>245</v>
      </c>
      <c r="C115" s="157">
        <v>16670831</v>
      </c>
      <c r="D115" s="157">
        <v>17750881</v>
      </c>
      <c r="E115" s="157">
        <f t="shared" si="4"/>
        <v>1080050</v>
      </c>
      <c r="F115" s="161">
        <f t="shared" si="5"/>
        <v>6.4786812367061963E-2</v>
      </c>
    </row>
    <row r="116" spans="1:6" ht="15" customHeight="1" x14ac:dyDescent="0.2">
      <c r="A116" s="147">
        <v>14</v>
      </c>
      <c r="B116" s="169" t="s">
        <v>246</v>
      </c>
      <c r="C116" s="157">
        <v>2801767</v>
      </c>
      <c r="D116" s="157">
        <v>3246583</v>
      </c>
      <c r="E116" s="157">
        <f t="shared" si="4"/>
        <v>444816</v>
      </c>
      <c r="F116" s="161">
        <f t="shared" si="5"/>
        <v>0.15876266656006727</v>
      </c>
    </row>
    <row r="117" spans="1:6" ht="15" customHeight="1" x14ac:dyDescent="0.2">
      <c r="A117" s="147">
        <v>15</v>
      </c>
      <c r="B117" s="169" t="s">
        <v>203</v>
      </c>
      <c r="C117" s="157">
        <v>7474267</v>
      </c>
      <c r="D117" s="157">
        <v>8154005</v>
      </c>
      <c r="E117" s="157">
        <f t="shared" si="4"/>
        <v>679738</v>
      </c>
      <c r="F117" s="161">
        <f t="shared" si="5"/>
        <v>9.0943767462414712E-2</v>
      </c>
    </row>
    <row r="118" spans="1:6" ht="15" customHeight="1" x14ac:dyDescent="0.2">
      <c r="A118" s="147">
        <v>16</v>
      </c>
      <c r="B118" s="169" t="s">
        <v>247</v>
      </c>
      <c r="C118" s="157">
        <v>4583850</v>
      </c>
      <c r="D118" s="157">
        <v>4690776</v>
      </c>
      <c r="E118" s="157">
        <f t="shared" si="4"/>
        <v>106926</v>
      </c>
      <c r="F118" s="161">
        <f t="shared" si="5"/>
        <v>2.3326679537942995E-2</v>
      </c>
    </row>
    <row r="119" spans="1:6" ht="15" customHeight="1" x14ac:dyDescent="0.2">
      <c r="A119" s="147">
        <v>17</v>
      </c>
      <c r="B119" s="169" t="s">
        <v>248</v>
      </c>
      <c r="C119" s="157">
        <v>36450886</v>
      </c>
      <c r="D119" s="157">
        <v>35748657</v>
      </c>
      <c r="E119" s="157">
        <f t="shared" si="4"/>
        <v>-702229</v>
      </c>
      <c r="F119" s="161">
        <f t="shared" si="5"/>
        <v>-1.9265073556785424E-2</v>
      </c>
    </row>
    <row r="120" spans="1:6" ht="15" customHeight="1" x14ac:dyDescent="0.2">
      <c r="A120" s="147">
        <v>18</v>
      </c>
      <c r="B120" s="169" t="s">
        <v>249</v>
      </c>
      <c r="C120" s="157">
        <v>69242840</v>
      </c>
      <c r="D120" s="157">
        <v>74822384</v>
      </c>
      <c r="E120" s="157">
        <f t="shared" si="4"/>
        <v>5579544</v>
      </c>
      <c r="F120" s="161">
        <f t="shared" si="5"/>
        <v>8.0579363873578835E-2</v>
      </c>
    </row>
    <row r="121" spans="1:6" ht="15.75" customHeight="1" x14ac:dyDescent="0.25">
      <c r="A121" s="147"/>
      <c r="B121" s="165" t="s">
        <v>250</v>
      </c>
      <c r="C121" s="158">
        <f>SUM(C103:C120)</f>
        <v>321998356</v>
      </c>
      <c r="D121" s="158">
        <f>SUM(D103:D120)</f>
        <v>301448928</v>
      </c>
      <c r="E121" s="158">
        <f t="shared" si="4"/>
        <v>-20549428</v>
      </c>
      <c r="F121" s="159">
        <f t="shared" si="5"/>
        <v>-6.3818425209599516E-2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28038950</v>
      </c>
      <c r="D124" s="157">
        <v>27261650</v>
      </c>
      <c r="E124" s="157">
        <f t="shared" ref="E124:E130" si="6">D124-C124</f>
        <v>-777300</v>
      </c>
      <c r="F124" s="161">
        <f t="shared" ref="F124:F130" si="7">IF(C124=0,0,E124/C124)</f>
        <v>-2.7722150793806473E-2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7763750</v>
      </c>
      <c r="D126" s="157">
        <v>8024696</v>
      </c>
      <c r="E126" s="157">
        <f t="shared" si="6"/>
        <v>260946</v>
      </c>
      <c r="F126" s="161">
        <f t="shared" si="7"/>
        <v>3.3610819513765898E-2</v>
      </c>
    </row>
    <row r="127" spans="1:6" ht="15" customHeight="1" x14ac:dyDescent="0.2">
      <c r="A127" s="147">
        <v>4</v>
      </c>
      <c r="B127" s="169" t="s">
        <v>255</v>
      </c>
      <c r="C127" s="157">
        <v>6499072</v>
      </c>
      <c r="D127" s="157">
        <v>6743315</v>
      </c>
      <c r="E127" s="157">
        <f t="shared" si="6"/>
        <v>244243</v>
      </c>
      <c r="F127" s="161">
        <f t="shared" si="7"/>
        <v>3.7581211594516876E-2</v>
      </c>
    </row>
    <row r="128" spans="1:6" ht="15" customHeight="1" x14ac:dyDescent="0.2">
      <c r="A128" s="147">
        <v>5</v>
      </c>
      <c r="B128" s="169" t="s">
        <v>256</v>
      </c>
      <c r="C128" s="157">
        <v>4726695</v>
      </c>
      <c r="D128" s="157">
        <v>5137094</v>
      </c>
      <c r="E128" s="157">
        <f t="shared" si="6"/>
        <v>410399</v>
      </c>
      <c r="F128" s="161">
        <f t="shared" si="7"/>
        <v>8.6825784189587016E-2</v>
      </c>
    </row>
    <row r="129" spans="1:6" ht="15" customHeight="1" x14ac:dyDescent="0.2">
      <c r="A129" s="147">
        <v>6</v>
      </c>
      <c r="B129" s="169" t="s">
        <v>257</v>
      </c>
      <c r="C129" s="157">
        <v>22867770</v>
      </c>
      <c r="D129" s="157">
        <v>24251674</v>
      </c>
      <c r="E129" s="157">
        <f t="shared" si="6"/>
        <v>1383904</v>
      </c>
      <c r="F129" s="161">
        <f t="shared" si="7"/>
        <v>6.0517663069026846E-2</v>
      </c>
    </row>
    <row r="130" spans="1:6" ht="15.75" customHeight="1" x14ac:dyDescent="0.25">
      <c r="A130" s="147"/>
      <c r="B130" s="165" t="s">
        <v>258</v>
      </c>
      <c r="C130" s="158">
        <f>SUM(C124:C129)</f>
        <v>69896237</v>
      </c>
      <c r="D130" s="158">
        <f>SUM(D124:D129)</f>
        <v>71418429</v>
      </c>
      <c r="E130" s="158">
        <f t="shared" si="6"/>
        <v>1522192</v>
      </c>
      <c r="F130" s="159">
        <f t="shared" si="7"/>
        <v>2.1777881976679229E-2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49428644</v>
      </c>
      <c r="D133" s="157">
        <v>48611781</v>
      </c>
      <c r="E133" s="157">
        <f t="shared" ref="E133:E167" si="8">D133-C133</f>
        <v>-816863</v>
      </c>
      <c r="F133" s="161">
        <f t="shared" ref="F133:F167" si="9">IF(C133=0,0,E133/C133)</f>
        <v>-1.6526105794041204E-2</v>
      </c>
    </row>
    <row r="134" spans="1:6" ht="15" customHeight="1" x14ac:dyDescent="0.2">
      <c r="A134" s="147">
        <v>2</v>
      </c>
      <c r="B134" s="169" t="s">
        <v>261</v>
      </c>
      <c r="C134" s="157">
        <v>3234552</v>
      </c>
      <c r="D134" s="157">
        <v>3247386</v>
      </c>
      <c r="E134" s="157">
        <f t="shared" si="8"/>
        <v>12834</v>
      </c>
      <c r="F134" s="161">
        <f t="shared" si="9"/>
        <v>3.967782864520342E-3</v>
      </c>
    </row>
    <row r="135" spans="1:6" ht="15" customHeight="1" x14ac:dyDescent="0.2">
      <c r="A135" s="147">
        <v>3</v>
      </c>
      <c r="B135" s="169" t="s">
        <v>262</v>
      </c>
      <c r="C135" s="157">
        <v>3429341</v>
      </c>
      <c r="D135" s="157">
        <v>3398863</v>
      </c>
      <c r="E135" s="157">
        <f t="shared" si="8"/>
        <v>-30478</v>
      </c>
      <c r="F135" s="161">
        <f t="shared" si="9"/>
        <v>-8.8874218107793893E-3</v>
      </c>
    </row>
    <row r="136" spans="1:6" ht="15" customHeight="1" x14ac:dyDescent="0.2">
      <c r="A136" s="147">
        <v>4</v>
      </c>
      <c r="B136" s="169" t="s">
        <v>263</v>
      </c>
      <c r="C136" s="157">
        <v>5127813</v>
      </c>
      <c r="D136" s="157">
        <v>5100869</v>
      </c>
      <c r="E136" s="157">
        <f t="shared" si="8"/>
        <v>-26944</v>
      </c>
      <c r="F136" s="161">
        <f t="shared" si="9"/>
        <v>-5.2544817839496093E-3</v>
      </c>
    </row>
    <row r="137" spans="1:6" ht="15" customHeight="1" x14ac:dyDescent="0.2">
      <c r="A137" s="147">
        <v>5</v>
      </c>
      <c r="B137" s="169" t="s">
        <v>264</v>
      </c>
      <c r="C137" s="157">
        <v>9497128</v>
      </c>
      <c r="D137" s="157">
        <v>9915899</v>
      </c>
      <c r="E137" s="157">
        <f t="shared" si="8"/>
        <v>418771</v>
      </c>
      <c r="F137" s="161">
        <f t="shared" si="9"/>
        <v>4.4094488354795257E-2</v>
      </c>
    </row>
    <row r="138" spans="1:6" ht="15" customHeight="1" x14ac:dyDescent="0.2">
      <c r="A138" s="147">
        <v>6</v>
      </c>
      <c r="B138" s="169" t="s">
        <v>265</v>
      </c>
      <c r="C138" s="157">
        <v>2459323</v>
      </c>
      <c r="D138" s="157">
        <v>2392496</v>
      </c>
      <c r="E138" s="157">
        <f t="shared" si="8"/>
        <v>-66827</v>
      </c>
      <c r="F138" s="161">
        <f t="shared" si="9"/>
        <v>-2.7172925231862589E-2</v>
      </c>
    </row>
    <row r="139" spans="1:6" ht="15" customHeight="1" x14ac:dyDescent="0.2">
      <c r="A139" s="147">
        <v>7</v>
      </c>
      <c r="B139" s="169" t="s">
        <v>266</v>
      </c>
      <c r="C139" s="157">
        <v>4106199</v>
      </c>
      <c r="D139" s="157">
        <v>4451237</v>
      </c>
      <c r="E139" s="157">
        <f t="shared" si="8"/>
        <v>345038</v>
      </c>
      <c r="F139" s="161">
        <f t="shared" si="9"/>
        <v>8.4028562668297377E-2</v>
      </c>
    </row>
    <row r="140" spans="1:6" ht="15" customHeight="1" x14ac:dyDescent="0.2">
      <c r="A140" s="147">
        <v>8</v>
      </c>
      <c r="B140" s="169" t="s">
        <v>267</v>
      </c>
      <c r="C140" s="157">
        <v>1450856</v>
      </c>
      <c r="D140" s="157">
        <v>1544983</v>
      </c>
      <c r="E140" s="157">
        <f t="shared" si="8"/>
        <v>94127</v>
      </c>
      <c r="F140" s="161">
        <f t="shared" si="9"/>
        <v>6.4876872687572029E-2</v>
      </c>
    </row>
    <row r="141" spans="1:6" ht="15" customHeight="1" x14ac:dyDescent="0.2">
      <c r="A141" s="147">
        <v>9</v>
      </c>
      <c r="B141" s="169" t="s">
        <v>268</v>
      </c>
      <c r="C141" s="157">
        <v>2154752</v>
      </c>
      <c r="D141" s="157">
        <v>2394350</v>
      </c>
      <c r="E141" s="157">
        <f t="shared" si="8"/>
        <v>239598</v>
      </c>
      <c r="F141" s="161">
        <f t="shared" si="9"/>
        <v>0.11119516306284899</v>
      </c>
    </row>
    <row r="142" spans="1:6" ht="15" customHeight="1" x14ac:dyDescent="0.2">
      <c r="A142" s="147">
        <v>10</v>
      </c>
      <c r="B142" s="169" t="s">
        <v>269</v>
      </c>
      <c r="C142" s="157">
        <v>25010722</v>
      </c>
      <c r="D142" s="157">
        <v>25705135</v>
      </c>
      <c r="E142" s="157">
        <f t="shared" si="8"/>
        <v>694413</v>
      </c>
      <c r="F142" s="161">
        <f t="shared" si="9"/>
        <v>2.7764612313071171E-2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16219418</v>
      </c>
      <c r="D144" s="157">
        <v>18988555</v>
      </c>
      <c r="E144" s="157">
        <f t="shared" si="8"/>
        <v>2769137</v>
      </c>
      <c r="F144" s="161">
        <f t="shared" si="9"/>
        <v>0.17072973888458884</v>
      </c>
    </row>
    <row r="145" spans="1:6" ht="15" customHeight="1" x14ac:dyDescent="0.2">
      <c r="A145" s="147">
        <v>13</v>
      </c>
      <c r="B145" s="169" t="s">
        <v>272</v>
      </c>
      <c r="C145" s="157">
        <v>409572</v>
      </c>
      <c r="D145" s="157">
        <v>436518</v>
      </c>
      <c r="E145" s="157">
        <f t="shared" si="8"/>
        <v>26946</v>
      </c>
      <c r="F145" s="161">
        <f t="shared" si="9"/>
        <v>6.5790630218862611E-2</v>
      </c>
    </row>
    <row r="146" spans="1:6" ht="15" customHeight="1" x14ac:dyDescent="0.2">
      <c r="A146" s="147">
        <v>14</v>
      </c>
      <c r="B146" s="169" t="s">
        <v>273</v>
      </c>
      <c r="C146" s="157">
        <v>1062788</v>
      </c>
      <c r="D146" s="157">
        <v>894832</v>
      </c>
      <c r="E146" s="157">
        <f t="shared" si="8"/>
        <v>-167956</v>
      </c>
      <c r="F146" s="161">
        <f t="shared" si="9"/>
        <v>-0.15803339894692073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3206953</v>
      </c>
      <c r="D150" s="157">
        <v>3462699</v>
      </c>
      <c r="E150" s="157">
        <f t="shared" si="8"/>
        <v>255746</v>
      </c>
      <c r="F150" s="161">
        <f t="shared" si="9"/>
        <v>7.9747348963330619E-2</v>
      </c>
    </row>
    <row r="151" spans="1:6" ht="15" customHeight="1" x14ac:dyDescent="0.2">
      <c r="A151" s="147">
        <v>19</v>
      </c>
      <c r="B151" s="169" t="s">
        <v>278</v>
      </c>
      <c r="C151" s="157">
        <v>1622752</v>
      </c>
      <c r="D151" s="157">
        <v>1545860</v>
      </c>
      <c r="E151" s="157">
        <f t="shared" si="8"/>
        <v>-76892</v>
      </c>
      <c r="F151" s="161">
        <f t="shared" si="9"/>
        <v>-4.7383703732917906E-2</v>
      </c>
    </row>
    <row r="152" spans="1:6" ht="15" customHeight="1" x14ac:dyDescent="0.2">
      <c r="A152" s="147">
        <v>20</v>
      </c>
      <c r="B152" s="169" t="s">
        <v>279</v>
      </c>
      <c r="C152" s="157">
        <v>1605454</v>
      </c>
      <c r="D152" s="157">
        <v>1591857</v>
      </c>
      <c r="E152" s="157">
        <f t="shared" si="8"/>
        <v>-13597</v>
      </c>
      <c r="F152" s="161">
        <f t="shared" si="9"/>
        <v>-8.4692554255680948E-3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688732</v>
      </c>
      <c r="D154" s="157">
        <v>672534</v>
      </c>
      <c r="E154" s="157">
        <f t="shared" si="8"/>
        <v>-16198</v>
      </c>
      <c r="F154" s="161">
        <f t="shared" si="9"/>
        <v>-2.3518581973830169E-2</v>
      </c>
    </row>
    <row r="155" spans="1:6" ht="15" customHeight="1" x14ac:dyDescent="0.2">
      <c r="A155" s="147">
        <v>23</v>
      </c>
      <c r="B155" s="169" t="s">
        <v>282</v>
      </c>
      <c r="C155" s="157">
        <v>1672770</v>
      </c>
      <c r="D155" s="157">
        <v>1408315</v>
      </c>
      <c r="E155" s="157">
        <f t="shared" si="8"/>
        <v>-264455</v>
      </c>
      <c r="F155" s="161">
        <f t="shared" si="9"/>
        <v>-0.15809405955391356</v>
      </c>
    </row>
    <row r="156" spans="1:6" ht="15" customHeight="1" x14ac:dyDescent="0.2">
      <c r="A156" s="147">
        <v>24</v>
      </c>
      <c r="B156" s="169" t="s">
        <v>283</v>
      </c>
      <c r="C156" s="157">
        <v>15987594</v>
      </c>
      <c r="D156" s="157">
        <v>17534926</v>
      </c>
      <c r="E156" s="157">
        <f t="shared" si="8"/>
        <v>1547332</v>
      </c>
      <c r="F156" s="161">
        <f t="shared" si="9"/>
        <v>9.6783293346078214E-2</v>
      </c>
    </row>
    <row r="157" spans="1:6" ht="15" customHeight="1" x14ac:dyDescent="0.2">
      <c r="A157" s="147">
        <v>25</v>
      </c>
      <c r="B157" s="169" t="s">
        <v>284</v>
      </c>
      <c r="C157" s="157">
        <v>2470034</v>
      </c>
      <c r="D157" s="157">
        <v>2540938</v>
      </c>
      <c r="E157" s="157">
        <f t="shared" si="8"/>
        <v>70904</v>
      </c>
      <c r="F157" s="161">
        <f t="shared" si="9"/>
        <v>2.8705677735610117E-2</v>
      </c>
    </row>
    <row r="158" spans="1:6" ht="15" customHeight="1" x14ac:dyDescent="0.2">
      <c r="A158" s="147">
        <v>26</v>
      </c>
      <c r="B158" s="169" t="s">
        <v>285</v>
      </c>
      <c r="C158" s="157">
        <v>575883</v>
      </c>
      <c r="D158" s="157">
        <v>484545</v>
      </c>
      <c r="E158" s="157">
        <f t="shared" si="8"/>
        <v>-91338</v>
      </c>
      <c r="F158" s="161">
        <f t="shared" si="9"/>
        <v>-0.1586051333343752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5292932</v>
      </c>
      <c r="D160" s="157">
        <v>5348557</v>
      </c>
      <c r="E160" s="157">
        <f t="shared" si="8"/>
        <v>55625</v>
      </c>
      <c r="F160" s="161">
        <f t="shared" si="9"/>
        <v>1.050929806013E-2</v>
      </c>
    </row>
    <row r="161" spans="1:6" ht="15" customHeight="1" x14ac:dyDescent="0.2">
      <c r="A161" s="147">
        <v>29</v>
      </c>
      <c r="B161" s="169" t="s">
        <v>288</v>
      </c>
      <c r="C161" s="157">
        <v>393568</v>
      </c>
      <c r="D161" s="157">
        <v>359834</v>
      </c>
      <c r="E161" s="157">
        <f t="shared" si="8"/>
        <v>-33734</v>
      </c>
      <c r="F161" s="161">
        <f t="shared" si="9"/>
        <v>-8.5713269371493622E-2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8506399</v>
      </c>
      <c r="D163" s="157">
        <v>8375996</v>
      </c>
      <c r="E163" s="157">
        <f t="shared" si="8"/>
        <v>-130403</v>
      </c>
      <c r="F163" s="161">
        <f t="shared" si="9"/>
        <v>-1.5329988635614201E-2</v>
      </c>
    </row>
    <row r="164" spans="1:6" ht="15" customHeight="1" x14ac:dyDescent="0.2">
      <c r="A164" s="147">
        <v>32</v>
      </c>
      <c r="B164" s="169" t="s">
        <v>291</v>
      </c>
      <c r="C164" s="157">
        <v>3322809</v>
      </c>
      <c r="D164" s="157">
        <v>3537348</v>
      </c>
      <c r="E164" s="157">
        <f t="shared" si="8"/>
        <v>214539</v>
      </c>
      <c r="F164" s="161">
        <f t="shared" si="9"/>
        <v>6.4565552819918326E-2</v>
      </c>
    </row>
    <row r="165" spans="1:6" ht="15" customHeight="1" x14ac:dyDescent="0.2">
      <c r="A165" s="147">
        <v>33</v>
      </c>
      <c r="B165" s="169" t="s">
        <v>292</v>
      </c>
      <c r="C165" s="157">
        <v>1335823</v>
      </c>
      <c r="D165" s="157">
        <v>1450361</v>
      </c>
      <c r="E165" s="157">
        <f t="shared" si="8"/>
        <v>114538</v>
      </c>
      <c r="F165" s="161">
        <f t="shared" si="9"/>
        <v>8.5743395644482842E-2</v>
      </c>
    </row>
    <row r="166" spans="1:6" ht="15" customHeight="1" x14ac:dyDescent="0.2">
      <c r="A166" s="147">
        <v>34</v>
      </c>
      <c r="B166" s="169" t="s">
        <v>293</v>
      </c>
      <c r="C166" s="157">
        <v>2642137</v>
      </c>
      <c r="D166" s="157">
        <v>3925772</v>
      </c>
      <c r="E166" s="157">
        <f t="shared" si="8"/>
        <v>1283635</v>
      </c>
      <c r="F166" s="161">
        <f t="shared" si="9"/>
        <v>0.48583211241506402</v>
      </c>
    </row>
    <row r="167" spans="1:6" ht="15.75" customHeight="1" x14ac:dyDescent="0.25">
      <c r="A167" s="147"/>
      <c r="B167" s="165" t="s">
        <v>294</v>
      </c>
      <c r="C167" s="158">
        <f>SUM(C133:C166)</f>
        <v>172914948</v>
      </c>
      <c r="D167" s="158">
        <f>SUM(D133:D166)</f>
        <v>179322446</v>
      </c>
      <c r="E167" s="158">
        <f t="shared" si="8"/>
        <v>6407498</v>
      </c>
      <c r="F167" s="159">
        <f t="shared" si="9"/>
        <v>3.7055778428132194E-2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56126124</v>
      </c>
      <c r="D170" s="157">
        <v>58393359</v>
      </c>
      <c r="E170" s="157">
        <f t="shared" ref="E170:E183" si="10">D170-C170</f>
        <v>2267235</v>
      </c>
      <c r="F170" s="161">
        <f t="shared" ref="F170:F183" si="11">IF(C170=0,0,E170/C170)</f>
        <v>4.0395360278219106E-2</v>
      </c>
    </row>
    <row r="171" spans="1:6" ht="15" customHeight="1" x14ac:dyDescent="0.2">
      <c r="A171" s="147">
        <v>2</v>
      </c>
      <c r="B171" s="169" t="s">
        <v>297</v>
      </c>
      <c r="C171" s="157">
        <v>7035590</v>
      </c>
      <c r="D171" s="157">
        <v>6869100</v>
      </c>
      <c r="E171" s="157">
        <f t="shared" si="10"/>
        <v>-166490</v>
      </c>
      <c r="F171" s="161">
        <f t="shared" si="11"/>
        <v>-2.3663971322945197E-2</v>
      </c>
    </row>
    <row r="172" spans="1:6" ht="15" customHeight="1" x14ac:dyDescent="0.2">
      <c r="A172" s="147">
        <v>3</v>
      </c>
      <c r="B172" s="169" t="s">
        <v>298</v>
      </c>
      <c r="C172" s="157">
        <v>5716176</v>
      </c>
      <c r="D172" s="157">
        <v>5886097</v>
      </c>
      <c r="E172" s="157">
        <f t="shared" si="10"/>
        <v>169921</v>
      </c>
      <c r="F172" s="161">
        <f t="shared" si="11"/>
        <v>2.9726341526223124E-2</v>
      </c>
    </row>
    <row r="173" spans="1:6" ht="15" customHeight="1" x14ac:dyDescent="0.2">
      <c r="A173" s="147">
        <v>4</v>
      </c>
      <c r="B173" s="169" t="s">
        <v>299</v>
      </c>
      <c r="C173" s="157">
        <v>7219759</v>
      </c>
      <c r="D173" s="157">
        <v>7274076</v>
      </c>
      <c r="E173" s="157">
        <f t="shared" si="10"/>
        <v>54317</v>
      </c>
      <c r="F173" s="161">
        <f t="shared" si="11"/>
        <v>7.523381320623029E-3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4358632</v>
      </c>
      <c r="D175" s="157">
        <v>3907867</v>
      </c>
      <c r="E175" s="157">
        <f t="shared" si="10"/>
        <v>-450765</v>
      </c>
      <c r="F175" s="161">
        <f t="shared" si="11"/>
        <v>-0.10341891676103879</v>
      </c>
    </row>
    <row r="176" spans="1:6" ht="15" customHeight="1" x14ac:dyDescent="0.2">
      <c r="A176" s="147">
        <v>7</v>
      </c>
      <c r="B176" s="169" t="s">
        <v>302</v>
      </c>
      <c r="C176" s="157">
        <v>45111</v>
      </c>
      <c r="D176" s="157">
        <v>441146</v>
      </c>
      <c r="E176" s="157">
        <f t="shared" si="10"/>
        <v>396035</v>
      </c>
      <c r="F176" s="161">
        <f t="shared" si="11"/>
        <v>8.7791226086763761</v>
      </c>
    </row>
    <row r="177" spans="1:6" ht="15" customHeight="1" x14ac:dyDescent="0.2">
      <c r="A177" s="147">
        <v>8</v>
      </c>
      <c r="B177" s="169" t="s">
        <v>303</v>
      </c>
      <c r="C177" s="157">
        <v>4421654</v>
      </c>
      <c r="D177" s="157">
        <v>4371491</v>
      </c>
      <c r="E177" s="157">
        <f t="shared" si="10"/>
        <v>-50163</v>
      </c>
      <c r="F177" s="161">
        <f t="shared" si="11"/>
        <v>-1.1344849687469892E-2</v>
      </c>
    </row>
    <row r="178" spans="1:6" ht="15" customHeight="1" x14ac:dyDescent="0.2">
      <c r="A178" s="147">
        <v>9</v>
      </c>
      <c r="B178" s="169" t="s">
        <v>304</v>
      </c>
      <c r="C178" s="157">
        <v>312</v>
      </c>
      <c r="D178" s="157">
        <v>0</v>
      </c>
      <c r="E178" s="157">
        <f t="shared" si="10"/>
        <v>-312</v>
      </c>
      <c r="F178" s="161">
        <f t="shared" si="11"/>
        <v>-1</v>
      </c>
    </row>
    <row r="179" spans="1:6" ht="15" customHeight="1" x14ac:dyDescent="0.2">
      <c r="A179" s="147">
        <v>10</v>
      </c>
      <c r="B179" s="169" t="s">
        <v>305</v>
      </c>
      <c r="C179" s="157">
        <v>11679713</v>
      </c>
      <c r="D179" s="157">
        <v>12060029</v>
      </c>
      <c r="E179" s="157">
        <f t="shared" si="10"/>
        <v>380316</v>
      </c>
      <c r="F179" s="161">
        <f t="shared" si="11"/>
        <v>3.2562101483144319E-2</v>
      </c>
    </row>
    <row r="180" spans="1:6" ht="15" customHeight="1" x14ac:dyDescent="0.2">
      <c r="A180" s="147">
        <v>11</v>
      </c>
      <c r="B180" s="169" t="s">
        <v>306</v>
      </c>
      <c r="C180" s="157">
        <v>700250</v>
      </c>
      <c r="D180" s="157">
        <v>638257</v>
      </c>
      <c r="E180" s="157">
        <f t="shared" si="10"/>
        <v>-61993</v>
      </c>
      <c r="F180" s="161">
        <f t="shared" si="11"/>
        <v>-8.8529810781863616E-2</v>
      </c>
    </row>
    <row r="181" spans="1:6" ht="15" customHeight="1" x14ac:dyDescent="0.2">
      <c r="A181" s="147">
        <v>12</v>
      </c>
      <c r="B181" s="169" t="s">
        <v>307</v>
      </c>
      <c r="C181" s="157">
        <v>5741000</v>
      </c>
      <c r="D181" s="157">
        <v>6650996</v>
      </c>
      <c r="E181" s="157">
        <f t="shared" si="10"/>
        <v>909996</v>
      </c>
      <c r="F181" s="161">
        <f t="shared" si="11"/>
        <v>0.15850827381989199</v>
      </c>
    </row>
    <row r="182" spans="1:6" ht="15" customHeight="1" x14ac:dyDescent="0.2">
      <c r="A182" s="147">
        <v>13</v>
      </c>
      <c r="B182" s="169" t="s">
        <v>308</v>
      </c>
      <c r="C182" s="157">
        <v>4471702</v>
      </c>
      <c r="D182" s="157">
        <v>5290416</v>
      </c>
      <c r="E182" s="157">
        <f t="shared" si="10"/>
        <v>818714</v>
      </c>
      <c r="F182" s="161">
        <f t="shared" si="11"/>
        <v>0.18308778178867913</v>
      </c>
    </row>
    <row r="183" spans="1:6" ht="15.75" customHeight="1" x14ac:dyDescent="0.25">
      <c r="A183" s="147"/>
      <c r="B183" s="165" t="s">
        <v>309</v>
      </c>
      <c r="C183" s="158">
        <f>SUM(C170:C182)</f>
        <v>107516023</v>
      </c>
      <c r="D183" s="158">
        <f>SUM(D170:D182)</f>
        <v>111782834</v>
      </c>
      <c r="E183" s="158">
        <f t="shared" si="10"/>
        <v>4266811</v>
      </c>
      <c r="F183" s="159">
        <f t="shared" si="11"/>
        <v>3.9685349968720474E-2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2505135</v>
      </c>
      <c r="D186" s="157">
        <v>2285896</v>
      </c>
      <c r="E186" s="157">
        <f>D186-C186</f>
        <v>-219239</v>
      </c>
      <c r="F186" s="161">
        <f>IF(C186=0,0,E186/C186)</f>
        <v>-8.7515842459588003E-2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674830699</v>
      </c>
      <c r="D188" s="158">
        <f>+D186+D183+D167+D130+D121</f>
        <v>666258533</v>
      </c>
      <c r="E188" s="158">
        <f>D188-C188</f>
        <v>-8572166</v>
      </c>
      <c r="F188" s="159">
        <f>IF(C188=0,0,E188/C188)</f>
        <v>-1.2702691227151775E-2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612741381</v>
      </c>
      <c r="D11" s="183">
        <v>645464533</v>
      </c>
      <c r="E11" s="76">
        <v>635118562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30869665</v>
      </c>
      <c r="D12" s="185">
        <v>37899033</v>
      </c>
      <c r="E12" s="185">
        <v>35327848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643611046</v>
      </c>
      <c r="D13" s="76">
        <f>+D11+D12</f>
        <v>683363566</v>
      </c>
      <c r="E13" s="76">
        <f>+E11+E12</f>
        <v>670446410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646777800</v>
      </c>
      <c r="D14" s="185">
        <v>674830699</v>
      </c>
      <c r="E14" s="185">
        <v>666258533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-3166754</v>
      </c>
      <c r="D15" s="76">
        <f>+D13-D14</f>
        <v>8532867</v>
      </c>
      <c r="E15" s="76">
        <f>+E13-E14</f>
        <v>4187877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-12703120</v>
      </c>
      <c r="D16" s="185">
        <v>-10794169</v>
      </c>
      <c r="E16" s="185">
        <v>24513453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-15869874</v>
      </c>
      <c r="D17" s="76">
        <f>D15+D16</f>
        <v>-2261302</v>
      </c>
      <c r="E17" s="76">
        <f>E15+E16</f>
        <v>28701330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-5.0193599881958057E-3</v>
      </c>
      <c r="D20" s="189">
        <f>IF(+D27=0,0,+D24/+D27)</f>
        <v>1.2686968866054428E-2</v>
      </c>
      <c r="E20" s="189">
        <f>IF(+E27=0,0,+E24/+E27)</f>
        <v>6.026070314221873E-3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-2.0134665418674737E-2</v>
      </c>
      <c r="D21" s="189">
        <f>IF(D27=0,0,+D26/D27)</f>
        <v>-1.6049152768691913E-2</v>
      </c>
      <c r="E21" s="189">
        <f>IF(E27=0,0,+E26/E27)</f>
        <v>3.5273192460612647E-2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-2.5154025406870541E-2</v>
      </c>
      <c r="D22" s="189">
        <f>IF(D27=0,0,+D28/D27)</f>
        <v>-3.3621839026374851E-3</v>
      </c>
      <c r="E22" s="189">
        <f>IF(E27=0,0,+E28/E27)</f>
        <v>4.1299262774834526E-2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-3166754</v>
      </c>
      <c r="D24" s="76">
        <f>+D15</f>
        <v>8532867</v>
      </c>
      <c r="E24" s="76">
        <f>+E15</f>
        <v>4187877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643611046</v>
      </c>
      <c r="D25" s="76">
        <f>+D13</f>
        <v>683363566</v>
      </c>
      <c r="E25" s="76">
        <f>+E13</f>
        <v>670446410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-12703120</v>
      </c>
      <c r="D26" s="76">
        <f>+D16</f>
        <v>-10794169</v>
      </c>
      <c r="E26" s="76">
        <f>+E16</f>
        <v>24513453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630907926</v>
      </c>
      <c r="D27" s="76">
        <f>+D25+D26</f>
        <v>672569397</v>
      </c>
      <c r="E27" s="76">
        <f>+E25+E26</f>
        <v>694959863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-15869874</v>
      </c>
      <c r="D28" s="76">
        <f>+D17</f>
        <v>-2261302</v>
      </c>
      <c r="E28" s="76">
        <f>+E17</f>
        <v>28701330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35068974</v>
      </c>
      <c r="D31" s="76">
        <v>5944000</v>
      </c>
      <c r="E31" s="76">
        <v>127892000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120216253</v>
      </c>
      <c r="D32" s="76">
        <v>103370000</v>
      </c>
      <c r="E32" s="76">
        <v>208956000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-50051163</v>
      </c>
      <c r="D33" s="76">
        <f>+D32-C32</f>
        <v>-16846253</v>
      </c>
      <c r="E33" s="76">
        <f>+E32-D32</f>
        <v>105586000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0.70599999999999996</v>
      </c>
      <c r="D34" s="193">
        <f>IF(C32=0,0,+D33/C32)</f>
        <v>-0.14013290698721079</v>
      </c>
      <c r="E34" s="193">
        <f>IF(D32=0,0,+E33/D32)</f>
        <v>1.0214375544161749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0.40604009286711801</v>
      </c>
      <c r="D38" s="195">
        <f>IF((D40+D41)=0,0,+D39/(D40+D41))</f>
        <v>0.37726514190133276</v>
      </c>
      <c r="E38" s="195">
        <f>IF((E40+E41)=0,0,+E39/(E40+E41))</f>
        <v>0.33960121945660399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646777800</v>
      </c>
      <c r="D39" s="76">
        <v>674830699</v>
      </c>
      <c r="E39" s="196">
        <v>666258533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1568373476</v>
      </c>
      <c r="D40" s="76">
        <v>1757658330</v>
      </c>
      <c r="E40" s="196">
        <v>1930957096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24517993</v>
      </c>
      <c r="D41" s="76">
        <v>31085511</v>
      </c>
      <c r="E41" s="196">
        <v>30927888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1.1996022846582</v>
      </c>
      <c r="D43" s="197">
        <f>IF(D38=0,0,IF((D46-D47)=0,0,((+D44-D45)/(D46-D47)/D38)))</f>
        <v>1.2818742431267691</v>
      </c>
      <c r="E43" s="197">
        <f>IF(E38=0,0,IF((E46-E47)=0,0,((+E44-E45)/(E46-E47)/E38)))</f>
        <v>1.4429500645110407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263474719</v>
      </c>
      <c r="D44" s="76">
        <v>280763754</v>
      </c>
      <c r="E44" s="196">
        <v>302880886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6374325</v>
      </c>
      <c r="D45" s="76">
        <v>976412</v>
      </c>
      <c r="E45" s="196">
        <v>942361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554709664</v>
      </c>
      <c r="D46" s="76">
        <v>611779200</v>
      </c>
      <c r="E46" s="196">
        <v>650907761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26876663</v>
      </c>
      <c r="D47" s="76">
        <v>33235776</v>
      </c>
      <c r="E47" s="76">
        <v>34741398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0.90623779874484012</v>
      </c>
      <c r="D49" s="198">
        <f>IF(D38=0,0,IF(D51=0,0,(D50/D51)/D38))</f>
        <v>0.91338213136287894</v>
      </c>
      <c r="E49" s="198">
        <f>IF(E38=0,0,IF(E51=0,0,(E50/E51)/E38))</f>
        <v>0.90012124858930542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258456391</v>
      </c>
      <c r="D50" s="199">
        <v>264981399</v>
      </c>
      <c r="E50" s="199">
        <v>260274962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702386547</v>
      </c>
      <c r="D51" s="199">
        <v>768982042</v>
      </c>
      <c r="E51" s="199">
        <v>851455856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0.6157600634328908</v>
      </c>
      <c r="D53" s="198">
        <f>IF(D38=0,0,IF(D55=0,0,(D54/D55)/D38))</f>
        <v>0.66983787871794243</v>
      </c>
      <c r="E53" s="198">
        <f>IF(E38=0,0,IF(E55=0,0,(E54/E55)/E38))</f>
        <v>0.65223763616134289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76586167</v>
      </c>
      <c r="D54" s="199">
        <v>94027452</v>
      </c>
      <c r="E54" s="199">
        <v>93910370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306316152</v>
      </c>
      <c r="D55" s="199">
        <v>372081678</v>
      </c>
      <c r="E55" s="199">
        <v>423973249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8328114.9656778034</v>
      </c>
      <c r="D57" s="88">
        <f>+D60*D38</f>
        <v>9333364.9368782714</v>
      </c>
      <c r="E57" s="88">
        <f>+E60*E38</f>
        <v>8834586.8272647951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5103750</v>
      </c>
      <c r="D58" s="199">
        <v>6110468</v>
      </c>
      <c r="E58" s="199">
        <v>5761205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15406823</v>
      </c>
      <c r="D59" s="199">
        <v>18629069</v>
      </c>
      <c r="E59" s="199">
        <v>20253386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20510573</v>
      </c>
      <c r="D60" s="76">
        <v>24739537</v>
      </c>
      <c r="E60" s="201">
        <v>26014591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1.2876315429623286E-2</v>
      </c>
      <c r="D62" s="202">
        <f>IF(D63=0,0,+D57/D63)</f>
        <v>1.3830676272891775E-2</v>
      </c>
      <c r="E62" s="202">
        <f>IF(E63=0,0,+E57/E63)</f>
        <v>1.3259998018314003E-2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646777800</v>
      </c>
      <c r="D63" s="199">
        <v>674830699</v>
      </c>
      <c r="E63" s="199">
        <v>666258533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2.1896270078843107</v>
      </c>
      <c r="D67" s="203">
        <f>IF(D69=0,0,D68/D69)</f>
        <v>2.2352429385454324</v>
      </c>
      <c r="E67" s="203">
        <f>IF(E69=0,0,E68/E69)</f>
        <v>2.0378455165533471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187252113</v>
      </c>
      <c r="D68" s="204">
        <v>182407000</v>
      </c>
      <c r="E68" s="204">
        <v>187924000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85517813</v>
      </c>
      <c r="D69" s="204">
        <v>81605000</v>
      </c>
      <c r="E69" s="204">
        <v>92217000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61.080154212550973</v>
      </c>
      <c r="D71" s="203">
        <f>IF((D77/365)=0,0,+D74/(D77/365))</f>
        <v>61.05318996356857</v>
      </c>
      <c r="E71" s="203">
        <f>IF((E77/365)=0,0,+E74/(E77/365))</f>
        <v>63.987688755202107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101981594</v>
      </c>
      <c r="D72" s="183">
        <v>73853000</v>
      </c>
      <c r="E72" s="183">
        <v>80260000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1406712</v>
      </c>
      <c r="D73" s="206">
        <v>33203000</v>
      </c>
      <c r="E73" s="206">
        <v>30428000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103388306</v>
      </c>
      <c r="D74" s="204">
        <f>+D72+D73</f>
        <v>107056000</v>
      </c>
      <c r="E74" s="204">
        <f>+E72+E73</f>
        <v>110688000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646777800</v>
      </c>
      <c r="D75" s="204">
        <f>+D14</f>
        <v>674830699</v>
      </c>
      <c r="E75" s="204">
        <f>+E14</f>
        <v>666258533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28954676</v>
      </c>
      <c r="D76" s="204">
        <v>34807794</v>
      </c>
      <c r="E76" s="204">
        <v>34869577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617823124</v>
      </c>
      <c r="D77" s="204">
        <f>+D75-D76</f>
        <v>640022905</v>
      </c>
      <c r="E77" s="204">
        <f>+E75-E76</f>
        <v>631388956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33.017377987402483</v>
      </c>
      <c r="D79" s="203">
        <f>IF((D84/365)=0,0,+D83/(D84/365))</f>
        <v>32.975080599819727</v>
      </c>
      <c r="E79" s="203">
        <f>IF((E84/365)=0,0,+E83/(E84/365))</f>
        <v>27.869875105303564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60533795</v>
      </c>
      <c r="D80" s="212">
        <v>60915000</v>
      </c>
      <c r="E80" s="212">
        <v>60969000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5106086</v>
      </c>
      <c r="D82" s="212">
        <v>2602000</v>
      </c>
      <c r="E82" s="212">
        <v>12474000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55427709</v>
      </c>
      <c r="D83" s="212">
        <f>+D80+D81-D82</f>
        <v>58313000</v>
      </c>
      <c r="E83" s="212">
        <f>+E80+E81-E82</f>
        <v>48495000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612741381</v>
      </c>
      <c r="D84" s="204">
        <f>+D11</f>
        <v>645464533</v>
      </c>
      <c r="E84" s="204">
        <f>+E11</f>
        <v>635118562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50.522553352988453</v>
      </c>
      <c r="D86" s="203">
        <f>IF((D90/365)=0,0,+D87/(D90/365))</f>
        <v>46.538685986558562</v>
      </c>
      <c r="E86" s="203">
        <f>IF((E90/365)=0,0,+E87/(E90/365))</f>
        <v>53.309777879611815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85517813</v>
      </c>
      <c r="D87" s="76">
        <f>+D69</f>
        <v>81605000</v>
      </c>
      <c r="E87" s="76">
        <f>+E69</f>
        <v>92217000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646777800</v>
      </c>
      <c r="D88" s="76">
        <f t="shared" si="0"/>
        <v>674830699</v>
      </c>
      <c r="E88" s="76">
        <f t="shared" si="0"/>
        <v>666258533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28954676</v>
      </c>
      <c r="D89" s="201">
        <f t="shared" si="0"/>
        <v>34807794</v>
      </c>
      <c r="E89" s="201">
        <f t="shared" si="0"/>
        <v>34869577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617823124</v>
      </c>
      <c r="D90" s="76">
        <f>+D88-D89</f>
        <v>640022905</v>
      </c>
      <c r="E90" s="76">
        <f>+E88-E89</f>
        <v>631388956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16.500991475310027</v>
      </c>
      <c r="D94" s="214">
        <f>IF(D96=0,0,(D95/D96)*100)</f>
        <v>14.142450610189897</v>
      </c>
      <c r="E94" s="214">
        <f>IF(E96=0,0,(E95/E96)*100)</f>
        <v>27.816812347407964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120216253</v>
      </c>
      <c r="D95" s="76">
        <f>+D32</f>
        <v>103370000</v>
      </c>
      <c r="E95" s="76">
        <f>+E32</f>
        <v>208956000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728539574</v>
      </c>
      <c r="D96" s="76">
        <v>730920000</v>
      </c>
      <c r="E96" s="76">
        <v>751186000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3.7223319339780145</v>
      </c>
      <c r="D98" s="214">
        <f>IF(D104=0,0,(D101/D104)*100)</f>
        <v>9.5564764952873116</v>
      </c>
      <c r="E98" s="214">
        <f>IF(E104=0,0,(E101/E104)*100)</f>
        <v>18.118906154696827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-15869874</v>
      </c>
      <c r="D99" s="76">
        <f>+D28</f>
        <v>-2261302</v>
      </c>
      <c r="E99" s="76">
        <f>+E28</f>
        <v>28701330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28954676</v>
      </c>
      <c r="D100" s="201">
        <f>+D76</f>
        <v>34807794</v>
      </c>
      <c r="E100" s="201">
        <f>+E76</f>
        <v>34869577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13084802</v>
      </c>
      <c r="D101" s="76">
        <f>+D99+D100</f>
        <v>32546492</v>
      </c>
      <c r="E101" s="76">
        <f>+E99+E100</f>
        <v>63570907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85517813</v>
      </c>
      <c r="D102" s="204">
        <f>+D69</f>
        <v>81605000</v>
      </c>
      <c r="E102" s="204">
        <f>+E69</f>
        <v>92217000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266003820</v>
      </c>
      <c r="D103" s="216">
        <v>258965000</v>
      </c>
      <c r="E103" s="216">
        <v>258637000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351521633</v>
      </c>
      <c r="D104" s="204">
        <f>+D102+D103</f>
        <v>340570000</v>
      </c>
      <c r="E104" s="204">
        <f>+E102+E103</f>
        <v>350854000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68.873639304604453</v>
      </c>
      <c r="D106" s="214">
        <f>IF(D109=0,0,(D107/D109)*100)</f>
        <v>71.471152386603549</v>
      </c>
      <c r="E106" s="214">
        <f>IF(E109=0,0,(E107/E109)*100)</f>
        <v>55.312419133733826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266003820</v>
      </c>
      <c r="D107" s="204">
        <f>+D103</f>
        <v>258965000</v>
      </c>
      <c r="E107" s="204">
        <f>+E103</f>
        <v>258637000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120216253</v>
      </c>
      <c r="D108" s="204">
        <f>+D32</f>
        <v>103370000</v>
      </c>
      <c r="E108" s="204">
        <f>+E32</f>
        <v>208956000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386220073</v>
      </c>
      <c r="D109" s="204">
        <f>+D107+D108</f>
        <v>362335000</v>
      </c>
      <c r="E109" s="204">
        <f>+E107+E108</f>
        <v>467593000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1.1003356253528187</v>
      </c>
      <c r="D111" s="214">
        <f>IF((+D113+D115)=0,0,((+D112+D113+D114)/(+D113+D115)))</f>
        <v>2.4464832012705813</v>
      </c>
      <c r="E111" s="214">
        <f>IF((+E113+E115)=0,0,((+E112+E113+E114)/(+E113+E115)))</f>
        <v>3.5148540531138468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-15869874</v>
      </c>
      <c r="D112" s="76">
        <f>+D17</f>
        <v>-2261302</v>
      </c>
      <c r="E112" s="76">
        <f>+E17</f>
        <v>28701330</v>
      </c>
    </row>
    <row r="113" spans="1:8" ht="24" customHeight="1" x14ac:dyDescent="0.2">
      <c r="A113" s="85">
        <v>17</v>
      </c>
      <c r="B113" s="75" t="s">
        <v>88</v>
      </c>
      <c r="C113" s="218">
        <v>9560860</v>
      </c>
      <c r="D113" s="76">
        <v>11964520</v>
      </c>
      <c r="E113" s="76">
        <v>11600890</v>
      </c>
    </row>
    <row r="114" spans="1:8" ht="24" customHeight="1" x14ac:dyDescent="0.2">
      <c r="A114" s="85">
        <v>18</v>
      </c>
      <c r="B114" s="75" t="s">
        <v>374</v>
      </c>
      <c r="C114" s="218">
        <v>28954676</v>
      </c>
      <c r="D114" s="76">
        <v>34807794</v>
      </c>
      <c r="E114" s="76">
        <v>34869577</v>
      </c>
    </row>
    <row r="115" spans="1:8" ht="24" customHeight="1" x14ac:dyDescent="0.2">
      <c r="A115" s="85">
        <v>19</v>
      </c>
      <c r="B115" s="75" t="s">
        <v>104</v>
      </c>
      <c r="C115" s="218">
        <v>11019826</v>
      </c>
      <c r="D115" s="76">
        <v>6229356</v>
      </c>
      <c r="E115" s="76">
        <v>9786000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16.594408412651553</v>
      </c>
      <c r="D119" s="214">
        <f>IF(+D121=0,0,(+D120)/(+D121))</f>
        <v>11.574936349025739</v>
      </c>
      <c r="E119" s="214">
        <f>IF(+E121=0,0,(+E120)/(+E121))</f>
        <v>10.21090677412003</v>
      </c>
    </row>
    <row r="120" spans="1:8" ht="24" customHeight="1" x14ac:dyDescent="0.2">
      <c r="A120" s="85">
        <v>21</v>
      </c>
      <c r="B120" s="75" t="s">
        <v>378</v>
      </c>
      <c r="C120" s="218">
        <v>480485719</v>
      </c>
      <c r="D120" s="218">
        <v>402898000</v>
      </c>
      <c r="E120" s="218">
        <v>356050000</v>
      </c>
    </row>
    <row r="121" spans="1:8" ht="24" customHeight="1" x14ac:dyDescent="0.2">
      <c r="A121" s="85">
        <v>22</v>
      </c>
      <c r="B121" s="75" t="s">
        <v>374</v>
      </c>
      <c r="C121" s="218">
        <v>28954676</v>
      </c>
      <c r="D121" s="218">
        <v>34807794</v>
      </c>
      <c r="E121" s="218">
        <v>34869577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157959</v>
      </c>
      <c r="D124" s="218">
        <v>157534</v>
      </c>
      <c r="E124" s="218">
        <v>159375</v>
      </c>
    </row>
    <row r="125" spans="1:8" ht="24" customHeight="1" x14ac:dyDescent="0.2">
      <c r="A125" s="85">
        <v>2</v>
      </c>
      <c r="B125" s="75" t="s">
        <v>381</v>
      </c>
      <c r="C125" s="218">
        <v>31842</v>
      </c>
      <c r="D125" s="218">
        <v>32111</v>
      </c>
      <c r="E125" s="218">
        <v>32366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4.9607122668174108</v>
      </c>
      <c r="D126" s="219">
        <f>IF(D125=0,0,D124/D125)</f>
        <v>4.9059200896888919</v>
      </c>
      <c r="E126" s="219">
        <f>IF(E125=0,0,E124/E125)</f>
        <v>4.9241487981214851</v>
      </c>
    </row>
    <row r="127" spans="1:8" ht="24" customHeight="1" x14ac:dyDescent="0.2">
      <c r="A127" s="85">
        <v>4</v>
      </c>
      <c r="B127" s="75" t="s">
        <v>383</v>
      </c>
      <c r="C127" s="218">
        <v>595</v>
      </c>
      <c r="D127" s="218">
        <v>595</v>
      </c>
      <c r="E127" s="218">
        <v>595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595</v>
      </c>
      <c r="E128" s="218">
        <v>595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595</v>
      </c>
      <c r="D129" s="218">
        <v>682</v>
      </c>
      <c r="E129" s="218">
        <v>682</v>
      </c>
    </row>
    <row r="130" spans="1:7" ht="24" customHeight="1" x14ac:dyDescent="0.2">
      <c r="A130" s="85">
        <v>7</v>
      </c>
      <c r="B130" s="75" t="s">
        <v>386</v>
      </c>
      <c r="C130" s="193">
        <v>0.72729999999999995</v>
      </c>
      <c r="D130" s="193">
        <v>0.72529999999999994</v>
      </c>
      <c r="E130" s="193">
        <v>0.73380000000000001</v>
      </c>
    </row>
    <row r="131" spans="1:7" ht="24" customHeight="1" x14ac:dyDescent="0.2">
      <c r="A131" s="85">
        <v>8</v>
      </c>
      <c r="B131" s="75" t="s">
        <v>387</v>
      </c>
      <c r="C131" s="193">
        <v>0.72729999999999995</v>
      </c>
      <c r="D131" s="193">
        <v>0.72529999999999994</v>
      </c>
      <c r="E131" s="193">
        <v>0.73380000000000001</v>
      </c>
    </row>
    <row r="132" spans="1:7" ht="24" customHeight="1" x14ac:dyDescent="0.2">
      <c r="A132" s="85">
        <v>9</v>
      </c>
      <c r="B132" s="75" t="s">
        <v>388</v>
      </c>
      <c r="C132" s="219">
        <v>3554.4</v>
      </c>
      <c r="D132" s="219">
        <v>3694.5</v>
      </c>
      <c r="E132" s="219">
        <v>3816.6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0.3365480283090429</v>
      </c>
      <c r="D135" s="227">
        <f>IF(D149=0,0,D143/D149)</f>
        <v>0.32915579445977988</v>
      </c>
      <c r="E135" s="227">
        <f>IF(E149=0,0,E143/E149)</f>
        <v>0.31909894024905877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0.44784393369835335</v>
      </c>
      <c r="D136" s="227">
        <f>IF(D149=0,0,D144/D149)</f>
        <v>0.43750371097436214</v>
      </c>
      <c r="E136" s="227">
        <f>IF(E149=0,0,E144/E149)</f>
        <v>0.44095016806111365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0.19530816906010975</v>
      </c>
      <c r="D137" s="227">
        <f>IF(D149=0,0,D145/D149)</f>
        <v>0.2116916989208022</v>
      </c>
      <c r="E137" s="227">
        <f>IF(E149=0,0,E145/E149)</f>
        <v>0.21956637456019376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1.713664724077494E-2</v>
      </c>
      <c r="D139" s="227">
        <f>IF(D149=0,0,D147/D149)</f>
        <v>1.8909122115900647E-2</v>
      </c>
      <c r="E139" s="227">
        <f>IF(E149=0,0,E147/E149)</f>
        <v>1.7991802133753881E-2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3.1632216917190457E-3</v>
      </c>
      <c r="D140" s="227">
        <f>IF(D149=0,0,D148/D149)</f>
        <v>2.7396735291551231E-3</v>
      </c>
      <c r="E140" s="227">
        <f>IF(E149=0,0,E148/E149)</f>
        <v>2.3927149958799499E-3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527833001</v>
      </c>
      <c r="D143" s="229">
        <f>+D46-D147</f>
        <v>578543424</v>
      </c>
      <c r="E143" s="229">
        <f>+E46-E147</f>
        <v>616166363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702386547</v>
      </c>
      <c r="D144" s="229">
        <f>+D51</f>
        <v>768982042</v>
      </c>
      <c r="E144" s="229">
        <f>+E51</f>
        <v>851455856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306316152</v>
      </c>
      <c r="D145" s="229">
        <f>+D55</f>
        <v>372081678</v>
      </c>
      <c r="E145" s="229">
        <f>+E55</f>
        <v>423973249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26876663</v>
      </c>
      <c r="D147" s="229">
        <f>+D47</f>
        <v>33235776</v>
      </c>
      <c r="E147" s="229">
        <f>+E47</f>
        <v>34741398</v>
      </c>
    </row>
    <row r="148" spans="1:7" ht="20.100000000000001" customHeight="1" x14ac:dyDescent="0.2">
      <c r="A148" s="226">
        <v>13</v>
      </c>
      <c r="B148" s="224" t="s">
        <v>402</v>
      </c>
      <c r="C148" s="230">
        <v>4961113</v>
      </c>
      <c r="D148" s="229">
        <v>4815410</v>
      </c>
      <c r="E148" s="229">
        <v>4620230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1568373476</v>
      </c>
      <c r="D149" s="229">
        <f>SUM(D143:D148)</f>
        <v>1757658330</v>
      </c>
      <c r="E149" s="229">
        <f>SUM(E143:E148)</f>
        <v>1930957096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0.42834425176048591</v>
      </c>
      <c r="D152" s="227">
        <f>IF(D166=0,0,D160/D166)</f>
        <v>0.43671252344690825</v>
      </c>
      <c r="E152" s="227">
        <f>IF(E166=0,0,E160/E166)</f>
        <v>0.45876090711322076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0.4306034218508844</v>
      </c>
      <c r="D153" s="227">
        <f>IF(D166=0,0,D161/D166)</f>
        <v>0.41360232595433877</v>
      </c>
      <c r="E153" s="227">
        <f>IF(E166=0,0,E161/E166)</f>
        <v>0.39545790874476539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0.1275970211030428</v>
      </c>
      <c r="D154" s="227">
        <f>IF(D166=0,0,D162/D166)</f>
        <v>0.14676491632063554</v>
      </c>
      <c r="E154" s="227">
        <f>IF(E166=0,0,E162/E166)</f>
        <v>0.14268602036967026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1.0619997231910736E-2</v>
      </c>
      <c r="D156" s="227">
        <f>IF(D166=0,0,D164/D166)</f>
        <v>1.5240551820383732E-3</v>
      </c>
      <c r="E156" s="227">
        <f>IF(E166=0,0,E164/E166)</f>
        <v>1.431809296902811E-3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2.8353080536761273E-3</v>
      </c>
      <c r="D157" s="227">
        <f>IF(D166=0,0,D165/D166)</f>
        <v>1.3961790960790898E-3</v>
      </c>
      <c r="E157" s="227">
        <f>IF(E166=0,0,E165/E166)</f>
        <v>1.6633544754407672E-3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257100394</v>
      </c>
      <c r="D160" s="229">
        <f>+D44-D164</f>
        <v>279787342</v>
      </c>
      <c r="E160" s="229">
        <f>+E44-E164</f>
        <v>301938525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258456391</v>
      </c>
      <c r="D161" s="229">
        <f>+D50</f>
        <v>264981399</v>
      </c>
      <c r="E161" s="229">
        <f>+E50</f>
        <v>260274962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76586167</v>
      </c>
      <c r="D162" s="229">
        <f>+D54</f>
        <v>94027452</v>
      </c>
      <c r="E162" s="229">
        <f>+E54</f>
        <v>93910370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6374325</v>
      </c>
      <c r="D164" s="229">
        <f>+D45</f>
        <v>976412</v>
      </c>
      <c r="E164" s="229">
        <f>+E45</f>
        <v>942361</v>
      </c>
    </row>
    <row r="165" spans="1:6" ht="20.100000000000001" customHeight="1" x14ac:dyDescent="0.2">
      <c r="A165" s="226">
        <v>13</v>
      </c>
      <c r="B165" s="224" t="s">
        <v>417</v>
      </c>
      <c r="C165" s="230">
        <v>1701806</v>
      </c>
      <c r="D165" s="229">
        <v>894486</v>
      </c>
      <c r="E165" s="229">
        <v>1094755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600219083</v>
      </c>
      <c r="D166" s="229">
        <f>SUM(D160:D165)</f>
        <v>640667091</v>
      </c>
      <c r="E166" s="229">
        <f>SUM(E160:E165)</f>
        <v>658160973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10615</v>
      </c>
      <c r="D169" s="218">
        <v>10289</v>
      </c>
      <c r="E169" s="218">
        <v>10159</v>
      </c>
    </row>
    <row r="170" spans="1:6" ht="20.100000000000001" customHeight="1" x14ac:dyDescent="0.2">
      <c r="A170" s="226">
        <v>2</v>
      </c>
      <c r="B170" s="224" t="s">
        <v>420</v>
      </c>
      <c r="C170" s="218">
        <v>13685</v>
      </c>
      <c r="D170" s="218">
        <v>13861</v>
      </c>
      <c r="E170" s="218">
        <v>14271</v>
      </c>
    </row>
    <row r="171" spans="1:6" ht="20.100000000000001" customHeight="1" x14ac:dyDescent="0.2">
      <c r="A171" s="226">
        <v>3</v>
      </c>
      <c r="B171" s="224" t="s">
        <v>421</v>
      </c>
      <c r="C171" s="218">
        <v>7447</v>
      </c>
      <c r="D171" s="218">
        <v>7872</v>
      </c>
      <c r="E171" s="218">
        <v>7857</v>
      </c>
    </row>
    <row r="172" spans="1:6" ht="20.100000000000001" customHeight="1" x14ac:dyDescent="0.2">
      <c r="A172" s="226">
        <v>4</v>
      </c>
      <c r="B172" s="224" t="s">
        <v>422</v>
      </c>
      <c r="C172" s="218">
        <v>7447</v>
      </c>
      <c r="D172" s="218">
        <v>7872</v>
      </c>
      <c r="E172" s="218">
        <v>7857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95</v>
      </c>
      <c r="D174" s="218">
        <v>89</v>
      </c>
      <c r="E174" s="218">
        <v>79</v>
      </c>
    </row>
    <row r="175" spans="1:6" ht="20.100000000000001" customHeight="1" x14ac:dyDescent="0.2">
      <c r="A175" s="226">
        <v>7</v>
      </c>
      <c r="B175" s="224" t="s">
        <v>425</v>
      </c>
      <c r="C175" s="218">
        <v>219</v>
      </c>
      <c r="D175" s="218">
        <v>253</v>
      </c>
      <c r="E175" s="218">
        <v>281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31842</v>
      </c>
      <c r="D176" s="218">
        <f>+D169+D170+D171+D174</f>
        <v>32111</v>
      </c>
      <c r="E176" s="218">
        <f>+E169+E170+E171+E174</f>
        <v>32366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1.3818999999999999</v>
      </c>
      <c r="D179" s="231">
        <v>1.4084000000000001</v>
      </c>
      <c r="E179" s="231">
        <v>1.4196</v>
      </c>
    </row>
    <row r="180" spans="1:6" ht="20.100000000000001" customHeight="1" x14ac:dyDescent="0.2">
      <c r="A180" s="226">
        <v>2</v>
      </c>
      <c r="B180" s="224" t="s">
        <v>420</v>
      </c>
      <c r="C180" s="231">
        <v>1.7552000000000001</v>
      </c>
      <c r="D180" s="231">
        <v>1.7150000000000001</v>
      </c>
      <c r="E180" s="231">
        <v>1.6898</v>
      </c>
    </row>
    <row r="181" spans="1:6" ht="20.100000000000001" customHeight="1" x14ac:dyDescent="0.2">
      <c r="A181" s="226">
        <v>3</v>
      </c>
      <c r="B181" s="224" t="s">
        <v>421</v>
      </c>
      <c r="C181" s="231">
        <v>1.0757000000000001</v>
      </c>
      <c r="D181" s="231">
        <v>1.1131</v>
      </c>
      <c r="E181" s="231">
        <v>1.1608000000000001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1.0757000000000001</v>
      </c>
      <c r="D182" s="231">
        <v>1.1131</v>
      </c>
      <c r="E182" s="231">
        <v>1.1608000000000001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1.2850999999999999</v>
      </c>
      <c r="D184" s="231">
        <v>1.1055999999999999</v>
      </c>
      <c r="E184" s="231">
        <v>1.0992</v>
      </c>
    </row>
    <row r="185" spans="1:6" ht="20.100000000000001" customHeight="1" x14ac:dyDescent="0.2">
      <c r="A185" s="226">
        <v>7</v>
      </c>
      <c r="B185" s="224" t="s">
        <v>425</v>
      </c>
      <c r="C185" s="231">
        <v>1.2093</v>
      </c>
      <c r="D185" s="231">
        <v>1.2406999999999999</v>
      </c>
      <c r="E185" s="231">
        <v>1.2102999999999999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1.4704349999999999</v>
      </c>
      <c r="D186" s="231">
        <v>1.467514</v>
      </c>
      <c r="E186" s="231">
        <v>1.475131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15872</v>
      </c>
      <c r="D189" s="218">
        <v>16654</v>
      </c>
      <c r="E189" s="218">
        <v>17868</v>
      </c>
    </row>
    <row r="190" spans="1:6" ht="20.100000000000001" customHeight="1" x14ac:dyDescent="0.2">
      <c r="A190" s="226">
        <v>2</v>
      </c>
      <c r="B190" s="224" t="s">
        <v>433</v>
      </c>
      <c r="C190" s="218">
        <v>56997</v>
      </c>
      <c r="D190" s="218">
        <v>62547</v>
      </c>
      <c r="E190" s="218">
        <v>63204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72869</v>
      </c>
      <c r="D191" s="218">
        <f>+D190+D189</f>
        <v>79201</v>
      </c>
      <c r="E191" s="218">
        <f>+E190+E189</f>
        <v>81072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6856766</v>
      </c>
      <c r="D14" s="258">
        <v>7916801</v>
      </c>
      <c r="E14" s="258">
        <f t="shared" ref="E14:E24" si="0">D14-C14</f>
        <v>1060035</v>
      </c>
      <c r="F14" s="259">
        <f t="shared" ref="F14:F24" si="1">IF(C14=0,0,E14/C14)</f>
        <v>0.15459693388982504</v>
      </c>
    </row>
    <row r="15" spans="1:7" ht="20.25" customHeight="1" x14ac:dyDescent="0.3">
      <c r="A15" s="256">
        <v>2</v>
      </c>
      <c r="B15" s="257" t="s">
        <v>442</v>
      </c>
      <c r="C15" s="258">
        <v>2587294</v>
      </c>
      <c r="D15" s="258">
        <v>2434962</v>
      </c>
      <c r="E15" s="258">
        <f t="shared" si="0"/>
        <v>-152332</v>
      </c>
      <c r="F15" s="259">
        <f t="shared" si="1"/>
        <v>-5.8876957933655778E-2</v>
      </c>
    </row>
    <row r="16" spans="1:7" ht="20.25" customHeight="1" x14ac:dyDescent="0.3">
      <c r="A16" s="256">
        <v>3</v>
      </c>
      <c r="B16" s="257" t="s">
        <v>443</v>
      </c>
      <c r="C16" s="258">
        <v>3513791</v>
      </c>
      <c r="D16" s="258">
        <v>5331972</v>
      </c>
      <c r="E16" s="258">
        <f t="shared" si="0"/>
        <v>1818181</v>
      </c>
      <c r="F16" s="259">
        <f t="shared" si="1"/>
        <v>0.51744141868426441</v>
      </c>
    </row>
    <row r="17" spans="1:6" ht="20.25" customHeight="1" x14ac:dyDescent="0.3">
      <c r="A17" s="256">
        <v>4</v>
      </c>
      <c r="B17" s="257" t="s">
        <v>444</v>
      </c>
      <c r="C17" s="258">
        <v>1221719</v>
      </c>
      <c r="D17" s="258">
        <v>1618281</v>
      </c>
      <c r="E17" s="258">
        <f t="shared" si="0"/>
        <v>396562</v>
      </c>
      <c r="F17" s="259">
        <f t="shared" si="1"/>
        <v>0.32459346216273954</v>
      </c>
    </row>
    <row r="18" spans="1:6" ht="20.25" customHeight="1" x14ac:dyDescent="0.3">
      <c r="A18" s="256">
        <v>5</v>
      </c>
      <c r="B18" s="257" t="s">
        <v>381</v>
      </c>
      <c r="C18" s="260">
        <v>171</v>
      </c>
      <c r="D18" s="260">
        <v>192</v>
      </c>
      <c r="E18" s="260">
        <f t="shared" si="0"/>
        <v>21</v>
      </c>
      <c r="F18" s="259">
        <f t="shared" si="1"/>
        <v>0.12280701754385964</v>
      </c>
    </row>
    <row r="19" spans="1:6" ht="20.25" customHeight="1" x14ac:dyDescent="0.3">
      <c r="A19" s="256">
        <v>6</v>
      </c>
      <c r="B19" s="257" t="s">
        <v>380</v>
      </c>
      <c r="C19" s="260">
        <v>1023</v>
      </c>
      <c r="D19" s="260">
        <v>1084</v>
      </c>
      <c r="E19" s="260">
        <f t="shared" si="0"/>
        <v>61</v>
      </c>
      <c r="F19" s="259">
        <f t="shared" si="1"/>
        <v>5.9628543499511244E-2</v>
      </c>
    </row>
    <row r="20" spans="1:6" ht="20.25" customHeight="1" x14ac:dyDescent="0.3">
      <c r="A20" s="256">
        <v>7</v>
      </c>
      <c r="B20" s="257" t="s">
        <v>445</v>
      </c>
      <c r="C20" s="260">
        <v>877</v>
      </c>
      <c r="D20" s="260">
        <v>1197</v>
      </c>
      <c r="E20" s="260">
        <f t="shared" si="0"/>
        <v>320</v>
      </c>
      <c r="F20" s="259">
        <f t="shared" si="1"/>
        <v>0.36488027366020526</v>
      </c>
    </row>
    <row r="21" spans="1:6" ht="20.25" customHeight="1" x14ac:dyDescent="0.3">
      <c r="A21" s="256">
        <v>8</v>
      </c>
      <c r="B21" s="257" t="s">
        <v>446</v>
      </c>
      <c r="C21" s="260">
        <v>196</v>
      </c>
      <c r="D21" s="260">
        <v>239</v>
      </c>
      <c r="E21" s="260">
        <f t="shared" si="0"/>
        <v>43</v>
      </c>
      <c r="F21" s="259">
        <f t="shared" si="1"/>
        <v>0.21938775510204081</v>
      </c>
    </row>
    <row r="22" spans="1:6" ht="20.25" customHeight="1" x14ac:dyDescent="0.3">
      <c r="A22" s="256">
        <v>9</v>
      </c>
      <c r="B22" s="257" t="s">
        <v>447</v>
      </c>
      <c r="C22" s="260">
        <v>118</v>
      </c>
      <c r="D22" s="260">
        <v>139</v>
      </c>
      <c r="E22" s="260">
        <f t="shared" si="0"/>
        <v>21</v>
      </c>
      <c r="F22" s="259">
        <f t="shared" si="1"/>
        <v>0.17796610169491525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10370557</v>
      </c>
      <c r="D23" s="263">
        <f>+D14+D16</f>
        <v>13248773</v>
      </c>
      <c r="E23" s="263">
        <f t="shared" si="0"/>
        <v>2878216</v>
      </c>
      <c r="F23" s="264">
        <f t="shared" si="1"/>
        <v>0.27753726246333732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3809013</v>
      </c>
      <c r="D24" s="263">
        <f>+D15+D17</f>
        <v>4053243</v>
      </c>
      <c r="E24" s="263">
        <f t="shared" si="0"/>
        <v>244230</v>
      </c>
      <c r="F24" s="264">
        <f t="shared" si="1"/>
        <v>6.4118972552732162E-2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32771224</v>
      </c>
      <c r="D40" s="258">
        <v>38475876</v>
      </c>
      <c r="E40" s="258">
        <f t="shared" ref="E40:E50" si="4">D40-C40</f>
        <v>5704652</v>
      </c>
      <c r="F40" s="259">
        <f t="shared" ref="F40:F50" si="5">IF(C40=0,0,E40/C40)</f>
        <v>0.17407503607433156</v>
      </c>
    </row>
    <row r="41" spans="1:6" ht="20.25" customHeight="1" x14ac:dyDescent="0.3">
      <c r="A41" s="256">
        <v>2</v>
      </c>
      <c r="B41" s="257" t="s">
        <v>442</v>
      </c>
      <c r="C41" s="258">
        <v>13383434</v>
      </c>
      <c r="D41" s="258">
        <v>14586590</v>
      </c>
      <c r="E41" s="258">
        <f t="shared" si="4"/>
        <v>1203156</v>
      </c>
      <c r="F41" s="259">
        <f t="shared" si="5"/>
        <v>8.9898900386851388E-2</v>
      </c>
    </row>
    <row r="42" spans="1:6" ht="20.25" customHeight="1" x14ac:dyDescent="0.3">
      <c r="A42" s="256">
        <v>3</v>
      </c>
      <c r="B42" s="257" t="s">
        <v>443</v>
      </c>
      <c r="C42" s="258">
        <v>17610617</v>
      </c>
      <c r="D42" s="258">
        <v>21049496</v>
      </c>
      <c r="E42" s="258">
        <f t="shared" si="4"/>
        <v>3438879</v>
      </c>
      <c r="F42" s="259">
        <f t="shared" si="5"/>
        <v>0.19527305602069478</v>
      </c>
    </row>
    <row r="43" spans="1:6" ht="20.25" customHeight="1" x14ac:dyDescent="0.3">
      <c r="A43" s="256">
        <v>4</v>
      </c>
      <c r="B43" s="257" t="s">
        <v>444</v>
      </c>
      <c r="C43" s="258">
        <v>3769901</v>
      </c>
      <c r="D43" s="258">
        <v>5427268</v>
      </c>
      <c r="E43" s="258">
        <f t="shared" si="4"/>
        <v>1657367</v>
      </c>
      <c r="F43" s="259">
        <f t="shared" si="5"/>
        <v>0.43963143859745918</v>
      </c>
    </row>
    <row r="44" spans="1:6" ht="20.25" customHeight="1" x14ac:dyDescent="0.3">
      <c r="A44" s="256">
        <v>5</v>
      </c>
      <c r="B44" s="257" t="s">
        <v>381</v>
      </c>
      <c r="C44" s="260">
        <v>804</v>
      </c>
      <c r="D44" s="260">
        <v>849</v>
      </c>
      <c r="E44" s="260">
        <f t="shared" si="4"/>
        <v>45</v>
      </c>
      <c r="F44" s="259">
        <f t="shared" si="5"/>
        <v>5.5970149253731345E-2</v>
      </c>
    </row>
    <row r="45" spans="1:6" ht="20.25" customHeight="1" x14ac:dyDescent="0.3">
      <c r="A45" s="256">
        <v>6</v>
      </c>
      <c r="B45" s="257" t="s">
        <v>380</v>
      </c>
      <c r="C45" s="260">
        <v>4157</v>
      </c>
      <c r="D45" s="260">
        <v>4562</v>
      </c>
      <c r="E45" s="260">
        <f t="shared" si="4"/>
        <v>405</v>
      </c>
      <c r="F45" s="259">
        <f t="shared" si="5"/>
        <v>9.7426028385855179E-2</v>
      </c>
    </row>
    <row r="46" spans="1:6" ht="20.25" customHeight="1" x14ac:dyDescent="0.3">
      <c r="A46" s="256">
        <v>7</v>
      </c>
      <c r="B46" s="257" t="s">
        <v>445</v>
      </c>
      <c r="C46" s="260">
        <v>3591</v>
      </c>
      <c r="D46" s="260">
        <v>3761</v>
      </c>
      <c r="E46" s="260">
        <f t="shared" si="4"/>
        <v>170</v>
      </c>
      <c r="F46" s="259">
        <f t="shared" si="5"/>
        <v>4.7340573656363127E-2</v>
      </c>
    </row>
    <row r="47" spans="1:6" ht="20.25" customHeight="1" x14ac:dyDescent="0.3">
      <c r="A47" s="256">
        <v>8</v>
      </c>
      <c r="B47" s="257" t="s">
        <v>446</v>
      </c>
      <c r="C47" s="260">
        <v>490</v>
      </c>
      <c r="D47" s="260">
        <v>513</v>
      </c>
      <c r="E47" s="260">
        <f t="shared" si="4"/>
        <v>23</v>
      </c>
      <c r="F47" s="259">
        <f t="shared" si="5"/>
        <v>4.6938775510204082E-2</v>
      </c>
    </row>
    <row r="48" spans="1:6" ht="20.25" customHeight="1" x14ac:dyDescent="0.3">
      <c r="A48" s="256">
        <v>9</v>
      </c>
      <c r="B48" s="257" t="s">
        <v>447</v>
      </c>
      <c r="C48" s="260">
        <v>416</v>
      </c>
      <c r="D48" s="260">
        <v>492</v>
      </c>
      <c r="E48" s="260">
        <f t="shared" si="4"/>
        <v>76</v>
      </c>
      <c r="F48" s="259">
        <f t="shared" si="5"/>
        <v>0.18269230769230768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50381841</v>
      </c>
      <c r="D49" s="263">
        <f>+D40+D42</f>
        <v>59525372</v>
      </c>
      <c r="E49" s="263">
        <f t="shared" si="4"/>
        <v>9143531</v>
      </c>
      <c r="F49" s="264">
        <f t="shared" si="5"/>
        <v>0.18148465436187614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17153335</v>
      </c>
      <c r="D50" s="263">
        <f>+D41+D43</f>
        <v>20013858</v>
      </c>
      <c r="E50" s="263">
        <f t="shared" si="4"/>
        <v>2860523</v>
      </c>
      <c r="F50" s="264">
        <f t="shared" si="5"/>
        <v>0.16676191539429505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1552151</v>
      </c>
      <c r="D66" s="258">
        <v>1361169</v>
      </c>
      <c r="E66" s="258">
        <f t="shared" ref="E66:E76" si="8">D66-C66</f>
        <v>-190982</v>
      </c>
      <c r="F66" s="259">
        <f t="shared" ref="F66:F76" si="9">IF(C66=0,0,E66/C66)</f>
        <v>-0.12304344100541764</v>
      </c>
    </row>
    <row r="67" spans="1:6" ht="20.25" customHeight="1" x14ac:dyDescent="0.3">
      <c r="A67" s="256">
        <v>2</v>
      </c>
      <c r="B67" s="257" t="s">
        <v>442</v>
      </c>
      <c r="C67" s="258">
        <v>325994</v>
      </c>
      <c r="D67" s="258">
        <v>1127244</v>
      </c>
      <c r="E67" s="258">
        <f t="shared" si="8"/>
        <v>801250</v>
      </c>
      <c r="F67" s="259">
        <f t="shared" si="9"/>
        <v>2.4578673227114609</v>
      </c>
    </row>
    <row r="68" spans="1:6" ht="20.25" customHeight="1" x14ac:dyDescent="0.3">
      <c r="A68" s="256">
        <v>3</v>
      </c>
      <c r="B68" s="257" t="s">
        <v>443</v>
      </c>
      <c r="C68" s="258">
        <v>785113</v>
      </c>
      <c r="D68" s="258">
        <v>788470</v>
      </c>
      <c r="E68" s="258">
        <f t="shared" si="8"/>
        <v>3357</v>
      </c>
      <c r="F68" s="259">
        <f t="shared" si="9"/>
        <v>4.2758176211577185E-3</v>
      </c>
    </row>
    <row r="69" spans="1:6" ht="20.25" customHeight="1" x14ac:dyDescent="0.3">
      <c r="A69" s="256">
        <v>4</v>
      </c>
      <c r="B69" s="257" t="s">
        <v>444</v>
      </c>
      <c r="C69" s="258">
        <v>227123</v>
      </c>
      <c r="D69" s="258">
        <v>295104</v>
      </c>
      <c r="E69" s="258">
        <f t="shared" si="8"/>
        <v>67981</v>
      </c>
      <c r="F69" s="259">
        <f t="shared" si="9"/>
        <v>0.29931358779163714</v>
      </c>
    </row>
    <row r="70" spans="1:6" ht="20.25" customHeight="1" x14ac:dyDescent="0.3">
      <c r="A70" s="256">
        <v>5</v>
      </c>
      <c r="B70" s="257" t="s">
        <v>381</v>
      </c>
      <c r="C70" s="260">
        <v>67</v>
      </c>
      <c r="D70" s="260">
        <v>66</v>
      </c>
      <c r="E70" s="260">
        <f t="shared" si="8"/>
        <v>-1</v>
      </c>
      <c r="F70" s="259">
        <f t="shared" si="9"/>
        <v>-1.4925373134328358E-2</v>
      </c>
    </row>
    <row r="71" spans="1:6" ht="20.25" customHeight="1" x14ac:dyDescent="0.3">
      <c r="A71" s="256">
        <v>6</v>
      </c>
      <c r="B71" s="257" t="s">
        <v>380</v>
      </c>
      <c r="C71" s="260">
        <v>206</v>
      </c>
      <c r="D71" s="260">
        <v>354</v>
      </c>
      <c r="E71" s="260">
        <f t="shared" si="8"/>
        <v>148</v>
      </c>
      <c r="F71" s="259">
        <f t="shared" si="9"/>
        <v>0.71844660194174759</v>
      </c>
    </row>
    <row r="72" spans="1:6" ht="20.25" customHeight="1" x14ac:dyDescent="0.3">
      <c r="A72" s="256">
        <v>7</v>
      </c>
      <c r="B72" s="257" t="s">
        <v>445</v>
      </c>
      <c r="C72" s="260">
        <v>130</v>
      </c>
      <c r="D72" s="260">
        <v>106</v>
      </c>
      <c r="E72" s="260">
        <f t="shared" si="8"/>
        <v>-24</v>
      </c>
      <c r="F72" s="259">
        <f t="shared" si="9"/>
        <v>-0.18461538461538463</v>
      </c>
    </row>
    <row r="73" spans="1:6" ht="20.25" customHeight="1" x14ac:dyDescent="0.3">
      <c r="A73" s="256">
        <v>8</v>
      </c>
      <c r="B73" s="257" t="s">
        <v>446</v>
      </c>
      <c r="C73" s="260">
        <v>85</v>
      </c>
      <c r="D73" s="260">
        <v>69</v>
      </c>
      <c r="E73" s="260">
        <f t="shared" si="8"/>
        <v>-16</v>
      </c>
      <c r="F73" s="259">
        <f t="shared" si="9"/>
        <v>-0.18823529411764706</v>
      </c>
    </row>
    <row r="74" spans="1:6" ht="20.25" customHeight="1" x14ac:dyDescent="0.3">
      <c r="A74" s="256">
        <v>9</v>
      </c>
      <c r="B74" s="257" t="s">
        <v>447</v>
      </c>
      <c r="C74" s="260">
        <v>46</v>
      </c>
      <c r="D74" s="260">
        <v>49</v>
      </c>
      <c r="E74" s="260">
        <f t="shared" si="8"/>
        <v>3</v>
      </c>
      <c r="F74" s="259">
        <f t="shared" si="9"/>
        <v>6.5217391304347824E-2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2337264</v>
      </c>
      <c r="D75" s="263">
        <f>+D66+D68</f>
        <v>2149639</v>
      </c>
      <c r="E75" s="263">
        <f t="shared" si="8"/>
        <v>-187625</v>
      </c>
      <c r="F75" s="264">
        <f t="shared" si="9"/>
        <v>-8.027548449811403E-2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553117</v>
      </c>
      <c r="D76" s="263">
        <f>+D67+D69</f>
        <v>1422348</v>
      </c>
      <c r="E76" s="263">
        <f t="shared" si="8"/>
        <v>869231</v>
      </c>
      <c r="F76" s="264">
        <f t="shared" si="9"/>
        <v>1.5715138026855078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10012496</v>
      </c>
      <c r="D105" s="258">
        <v>13273609</v>
      </c>
      <c r="E105" s="258">
        <f t="shared" ref="E105:E115" si="14">D105-C105</f>
        <v>3261113</v>
      </c>
      <c r="F105" s="259">
        <f t="shared" ref="F105:F115" si="15">IF(C105=0,0,E105/C105)</f>
        <v>0.32570429990683641</v>
      </c>
    </row>
    <row r="106" spans="1:6" ht="20.25" customHeight="1" x14ac:dyDescent="0.3">
      <c r="A106" s="256">
        <v>2</v>
      </c>
      <c r="B106" s="257" t="s">
        <v>442</v>
      </c>
      <c r="C106" s="258">
        <v>3700108</v>
      </c>
      <c r="D106" s="258">
        <v>4711692</v>
      </c>
      <c r="E106" s="258">
        <f t="shared" si="14"/>
        <v>1011584</v>
      </c>
      <c r="F106" s="259">
        <f t="shared" si="15"/>
        <v>0.27339310095813418</v>
      </c>
    </row>
    <row r="107" spans="1:6" ht="20.25" customHeight="1" x14ac:dyDescent="0.3">
      <c r="A107" s="256">
        <v>3</v>
      </c>
      <c r="B107" s="257" t="s">
        <v>443</v>
      </c>
      <c r="C107" s="258">
        <v>7615537</v>
      </c>
      <c r="D107" s="258">
        <v>10066684</v>
      </c>
      <c r="E107" s="258">
        <f t="shared" si="14"/>
        <v>2451147</v>
      </c>
      <c r="F107" s="259">
        <f t="shared" si="15"/>
        <v>0.32186134740071515</v>
      </c>
    </row>
    <row r="108" spans="1:6" ht="20.25" customHeight="1" x14ac:dyDescent="0.3">
      <c r="A108" s="256">
        <v>4</v>
      </c>
      <c r="B108" s="257" t="s">
        <v>444</v>
      </c>
      <c r="C108" s="258">
        <v>1735231</v>
      </c>
      <c r="D108" s="258">
        <v>1754059</v>
      </c>
      <c r="E108" s="258">
        <f t="shared" si="14"/>
        <v>18828</v>
      </c>
      <c r="F108" s="259">
        <f t="shared" si="15"/>
        <v>1.0850428559655746E-2</v>
      </c>
    </row>
    <row r="109" spans="1:6" ht="20.25" customHeight="1" x14ac:dyDescent="0.3">
      <c r="A109" s="256">
        <v>5</v>
      </c>
      <c r="B109" s="257" t="s">
        <v>381</v>
      </c>
      <c r="C109" s="260">
        <v>307</v>
      </c>
      <c r="D109" s="260">
        <v>392</v>
      </c>
      <c r="E109" s="260">
        <f t="shared" si="14"/>
        <v>85</v>
      </c>
      <c r="F109" s="259">
        <f t="shared" si="15"/>
        <v>0.27687296416938112</v>
      </c>
    </row>
    <row r="110" spans="1:6" ht="20.25" customHeight="1" x14ac:dyDescent="0.3">
      <c r="A110" s="256">
        <v>6</v>
      </c>
      <c r="B110" s="257" t="s">
        <v>380</v>
      </c>
      <c r="C110" s="260">
        <v>1548</v>
      </c>
      <c r="D110" s="260">
        <v>1937</v>
      </c>
      <c r="E110" s="260">
        <f t="shared" si="14"/>
        <v>389</v>
      </c>
      <c r="F110" s="259">
        <f t="shared" si="15"/>
        <v>0.25129198966408267</v>
      </c>
    </row>
    <row r="111" spans="1:6" ht="20.25" customHeight="1" x14ac:dyDescent="0.3">
      <c r="A111" s="256">
        <v>7</v>
      </c>
      <c r="B111" s="257" t="s">
        <v>445</v>
      </c>
      <c r="C111" s="260">
        <v>2697</v>
      </c>
      <c r="D111" s="260">
        <v>3419</v>
      </c>
      <c r="E111" s="260">
        <f t="shared" si="14"/>
        <v>722</v>
      </c>
      <c r="F111" s="259">
        <f t="shared" si="15"/>
        <v>0.26770485724879495</v>
      </c>
    </row>
    <row r="112" spans="1:6" ht="20.25" customHeight="1" x14ac:dyDescent="0.3">
      <c r="A112" s="256">
        <v>8</v>
      </c>
      <c r="B112" s="257" t="s">
        <v>446</v>
      </c>
      <c r="C112" s="260">
        <v>656</v>
      </c>
      <c r="D112" s="260">
        <v>889</v>
      </c>
      <c r="E112" s="260">
        <f t="shared" si="14"/>
        <v>233</v>
      </c>
      <c r="F112" s="259">
        <f t="shared" si="15"/>
        <v>0.35518292682926828</v>
      </c>
    </row>
    <row r="113" spans="1:6" ht="20.25" customHeight="1" x14ac:dyDescent="0.3">
      <c r="A113" s="256">
        <v>9</v>
      </c>
      <c r="B113" s="257" t="s">
        <v>447</v>
      </c>
      <c r="C113" s="260">
        <v>253</v>
      </c>
      <c r="D113" s="260">
        <v>343</v>
      </c>
      <c r="E113" s="260">
        <f t="shared" si="14"/>
        <v>90</v>
      </c>
      <c r="F113" s="259">
        <f t="shared" si="15"/>
        <v>0.35573122529644269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17628033</v>
      </c>
      <c r="D114" s="263">
        <f>+D105+D107</f>
        <v>23340293</v>
      </c>
      <c r="E114" s="263">
        <f t="shared" si="14"/>
        <v>5712260</v>
      </c>
      <c r="F114" s="264">
        <f t="shared" si="15"/>
        <v>0.32404409499346865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5435339</v>
      </c>
      <c r="D115" s="263">
        <f>+D106+D108</f>
        <v>6465751</v>
      </c>
      <c r="E115" s="263">
        <f t="shared" si="14"/>
        <v>1030412</v>
      </c>
      <c r="F115" s="264">
        <f t="shared" si="15"/>
        <v>0.18957639992648112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13052974</v>
      </c>
      <c r="D118" s="258">
        <v>15030451</v>
      </c>
      <c r="E118" s="258">
        <f t="shared" ref="E118:E128" si="16">D118-C118</f>
        <v>1977477</v>
      </c>
      <c r="F118" s="259">
        <f t="shared" ref="F118:F128" si="17">IF(C118=0,0,E118/C118)</f>
        <v>0.15149627969840437</v>
      </c>
    </row>
    <row r="119" spans="1:6" ht="20.25" customHeight="1" x14ac:dyDescent="0.3">
      <c r="A119" s="256">
        <v>2</v>
      </c>
      <c r="B119" s="257" t="s">
        <v>442</v>
      </c>
      <c r="C119" s="258">
        <v>4114125</v>
      </c>
      <c r="D119" s="258">
        <v>4626084</v>
      </c>
      <c r="E119" s="258">
        <f t="shared" si="16"/>
        <v>511959</v>
      </c>
      <c r="F119" s="259">
        <f t="shared" si="17"/>
        <v>0.12443934007838847</v>
      </c>
    </row>
    <row r="120" spans="1:6" ht="20.25" customHeight="1" x14ac:dyDescent="0.3">
      <c r="A120" s="256">
        <v>3</v>
      </c>
      <c r="B120" s="257" t="s">
        <v>443</v>
      </c>
      <c r="C120" s="258">
        <v>6480348</v>
      </c>
      <c r="D120" s="258">
        <v>8836481</v>
      </c>
      <c r="E120" s="258">
        <f t="shared" si="16"/>
        <v>2356133</v>
      </c>
      <c r="F120" s="259">
        <f t="shared" si="17"/>
        <v>0.36358124594543378</v>
      </c>
    </row>
    <row r="121" spans="1:6" ht="20.25" customHeight="1" x14ac:dyDescent="0.3">
      <c r="A121" s="256">
        <v>4</v>
      </c>
      <c r="B121" s="257" t="s">
        <v>444</v>
      </c>
      <c r="C121" s="258">
        <v>984771</v>
      </c>
      <c r="D121" s="258">
        <v>1892298</v>
      </c>
      <c r="E121" s="258">
        <f t="shared" si="16"/>
        <v>907527</v>
      </c>
      <c r="F121" s="259">
        <f t="shared" si="17"/>
        <v>0.92156145946621093</v>
      </c>
    </row>
    <row r="122" spans="1:6" ht="20.25" customHeight="1" x14ac:dyDescent="0.3">
      <c r="A122" s="256">
        <v>5</v>
      </c>
      <c r="B122" s="257" t="s">
        <v>381</v>
      </c>
      <c r="C122" s="260">
        <v>312</v>
      </c>
      <c r="D122" s="260">
        <v>393</v>
      </c>
      <c r="E122" s="260">
        <f t="shared" si="16"/>
        <v>81</v>
      </c>
      <c r="F122" s="259">
        <f t="shared" si="17"/>
        <v>0.25961538461538464</v>
      </c>
    </row>
    <row r="123" spans="1:6" ht="20.25" customHeight="1" x14ac:dyDescent="0.3">
      <c r="A123" s="256">
        <v>6</v>
      </c>
      <c r="B123" s="257" t="s">
        <v>380</v>
      </c>
      <c r="C123" s="260">
        <v>1799</v>
      </c>
      <c r="D123" s="260">
        <v>1907</v>
      </c>
      <c r="E123" s="260">
        <f t="shared" si="16"/>
        <v>108</v>
      </c>
      <c r="F123" s="259">
        <f t="shared" si="17"/>
        <v>6.0033351862145638E-2</v>
      </c>
    </row>
    <row r="124" spans="1:6" ht="20.25" customHeight="1" x14ac:dyDescent="0.3">
      <c r="A124" s="256">
        <v>7</v>
      </c>
      <c r="B124" s="257" t="s">
        <v>445</v>
      </c>
      <c r="C124" s="260">
        <v>1197</v>
      </c>
      <c r="D124" s="260">
        <v>1710</v>
      </c>
      <c r="E124" s="260">
        <f t="shared" si="16"/>
        <v>513</v>
      </c>
      <c r="F124" s="259">
        <f t="shared" si="17"/>
        <v>0.42857142857142855</v>
      </c>
    </row>
    <row r="125" spans="1:6" ht="20.25" customHeight="1" x14ac:dyDescent="0.3">
      <c r="A125" s="256">
        <v>8</v>
      </c>
      <c r="B125" s="257" t="s">
        <v>446</v>
      </c>
      <c r="C125" s="260">
        <v>233</v>
      </c>
      <c r="D125" s="260">
        <v>376</v>
      </c>
      <c r="E125" s="260">
        <f t="shared" si="16"/>
        <v>143</v>
      </c>
      <c r="F125" s="259">
        <f t="shared" si="17"/>
        <v>0.61373390557939911</v>
      </c>
    </row>
    <row r="126" spans="1:6" ht="20.25" customHeight="1" x14ac:dyDescent="0.3">
      <c r="A126" s="256">
        <v>9</v>
      </c>
      <c r="B126" s="257" t="s">
        <v>447</v>
      </c>
      <c r="C126" s="260">
        <v>219</v>
      </c>
      <c r="D126" s="260">
        <v>267</v>
      </c>
      <c r="E126" s="260">
        <f t="shared" si="16"/>
        <v>48</v>
      </c>
      <c r="F126" s="259">
        <f t="shared" si="17"/>
        <v>0.21917808219178081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19533322</v>
      </c>
      <c r="D127" s="263">
        <f>+D118+D120</f>
        <v>23866932</v>
      </c>
      <c r="E127" s="263">
        <f t="shared" si="16"/>
        <v>4333610</v>
      </c>
      <c r="F127" s="264">
        <f t="shared" si="17"/>
        <v>0.22185729595815806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5098896</v>
      </c>
      <c r="D128" s="263">
        <f>+D119+D121</f>
        <v>6518382</v>
      </c>
      <c r="E128" s="263">
        <f t="shared" si="16"/>
        <v>1419486</v>
      </c>
      <c r="F128" s="264">
        <f t="shared" si="17"/>
        <v>0.27839085166671373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52538865</v>
      </c>
      <c r="D183" s="258">
        <v>56747101</v>
      </c>
      <c r="E183" s="258">
        <f t="shared" ref="E183:E193" si="26">D183-C183</f>
        <v>4208236</v>
      </c>
      <c r="F183" s="259">
        <f t="shared" ref="F183:F193" si="27">IF(C183=0,0,E183/C183)</f>
        <v>8.0097581095442391E-2</v>
      </c>
    </row>
    <row r="184" spans="1:6" ht="20.25" customHeight="1" x14ac:dyDescent="0.3">
      <c r="A184" s="256">
        <v>2</v>
      </c>
      <c r="B184" s="257" t="s">
        <v>442</v>
      </c>
      <c r="C184" s="258">
        <v>19176738</v>
      </c>
      <c r="D184" s="258">
        <v>18899031</v>
      </c>
      <c r="E184" s="258">
        <f t="shared" si="26"/>
        <v>-277707</v>
      </c>
      <c r="F184" s="259">
        <f t="shared" si="27"/>
        <v>-1.4481451433502403E-2</v>
      </c>
    </row>
    <row r="185" spans="1:6" ht="20.25" customHeight="1" x14ac:dyDescent="0.3">
      <c r="A185" s="256">
        <v>3</v>
      </c>
      <c r="B185" s="257" t="s">
        <v>443</v>
      </c>
      <c r="C185" s="258">
        <v>29332627</v>
      </c>
      <c r="D185" s="258">
        <v>28806019</v>
      </c>
      <c r="E185" s="258">
        <f t="shared" si="26"/>
        <v>-526608</v>
      </c>
      <c r="F185" s="259">
        <f t="shared" si="27"/>
        <v>-1.7952977754089328E-2</v>
      </c>
    </row>
    <row r="186" spans="1:6" ht="20.25" customHeight="1" x14ac:dyDescent="0.3">
      <c r="A186" s="256">
        <v>4</v>
      </c>
      <c r="B186" s="257" t="s">
        <v>444</v>
      </c>
      <c r="C186" s="258">
        <v>7013372</v>
      </c>
      <c r="D186" s="258">
        <v>5851920</v>
      </c>
      <c r="E186" s="258">
        <f t="shared" si="26"/>
        <v>-1161452</v>
      </c>
      <c r="F186" s="259">
        <f t="shared" si="27"/>
        <v>-0.1656053607309009</v>
      </c>
    </row>
    <row r="187" spans="1:6" ht="20.25" customHeight="1" x14ac:dyDescent="0.3">
      <c r="A187" s="256">
        <v>5</v>
      </c>
      <c r="B187" s="257" t="s">
        <v>381</v>
      </c>
      <c r="C187" s="260">
        <v>1363</v>
      </c>
      <c r="D187" s="260">
        <v>1299</v>
      </c>
      <c r="E187" s="260">
        <f t="shared" si="26"/>
        <v>-64</v>
      </c>
      <c r="F187" s="259">
        <f t="shared" si="27"/>
        <v>-4.6955245781364639E-2</v>
      </c>
    </row>
    <row r="188" spans="1:6" ht="20.25" customHeight="1" x14ac:dyDescent="0.3">
      <c r="A188" s="256">
        <v>6</v>
      </c>
      <c r="B188" s="257" t="s">
        <v>380</v>
      </c>
      <c r="C188" s="260">
        <v>7663</v>
      </c>
      <c r="D188" s="260">
        <v>7610</v>
      </c>
      <c r="E188" s="260">
        <f t="shared" si="26"/>
        <v>-53</v>
      </c>
      <c r="F188" s="259">
        <f t="shared" si="27"/>
        <v>-6.9163512984470833E-3</v>
      </c>
    </row>
    <row r="189" spans="1:6" ht="20.25" customHeight="1" x14ac:dyDescent="0.3">
      <c r="A189" s="256">
        <v>7</v>
      </c>
      <c r="B189" s="257" t="s">
        <v>445</v>
      </c>
      <c r="C189" s="260">
        <v>7469</v>
      </c>
      <c r="D189" s="260">
        <v>7008</v>
      </c>
      <c r="E189" s="260">
        <f t="shared" si="26"/>
        <v>-461</v>
      </c>
      <c r="F189" s="259">
        <f t="shared" si="27"/>
        <v>-6.1721783371267908E-2</v>
      </c>
    </row>
    <row r="190" spans="1:6" ht="20.25" customHeight="1" x14ac:dyDescent="0.3">
      <c r="A190" s="256">
        <v>8</v>
      </c>
      <c r="B190" s="257" t="s">
        <v>446</v>
      </c>
      <c r="C190" s="260">
        <v>1720</v>
      </c>
      <c r="D190" s="260">
        <v>1333</v>
      </c>
      <c r="E190" s="260">
        <f t="shared" si="26"/>
        <v>-387</v>
      </c>
      <c r="F190" s="259">
        <f t="shared" si="27"/>
        <v>-0.22500000000000001</v>
      </c>
    </row>
    <row r="191" spans="1:6" ht="20.25" customHeight="1" x14ac:dyDescent="0.3">
      <c r="A191" s="256">
        <v>9</v>
      </c>
      <c r="B191" s="257" t="s">
        <v>447</v>
      </c>
      <c r="C191" s="260">
        <v>977</v>
      </c>
      <c r="D191" s="260">
        <v>962</v>
      </c>
      <c r="E191" s="260">
        <f t="shared" si="26"/>
        <v>-15</v>
      </c>
      <c r="F191" s="259">
        <f t="shared" si="27"/>
        <v>-1.5353121801432957E-2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81871492</v>
      </c>
      <c r="D192" s="263">
        <f>+D183+D185</f>
        <v>85553120</v>
      </c>
      <c r="E192" s="263">
        <f t="shared" si="26"/>
        <v>3681628</v>
      </c>
      <c r="F192" s="264">
        <f t="shared" si="27"/>
        <v>4.4968375561056102E-2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26190110</v>
      </c>
      <c r="D193" s="263">
        <f>+D184+D186</f>
        <v>24750951</v>
      </c>
      <c r="E193" s="263">
        <f t="shared" si="26"/>
        <v>-1439159</v>
      </c>
      <c r="F193" s="264">
        <f t="shared" si="27"/>
        <v>-5.4950475580285839E-2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116784476</v>
      </c>
      <c r="D198" s="263">
        <f t="shared" si="28"/>
        <v>132805007</v>
      </c>
      <c r="E198" s="263">
        <f t="shared" ref="E198:E208" si="29">D198-C198</f>
        <v>16020531</v>
      </c>
      <c r="F198" s="273">
        <f t="shared" ref="F198:F208" si="30">IF(C198=0,0,E198/C198)</f>
        <v>0.1371803132464284</v>
      </c>
    </row>
    <row r="199" spans="1:9" ht="20.25" customHeight="1" x14ac:dyDescent="0.3">
      <c r="A199" s="271"/>
      <c r="B199" s="272" t="s">
        <v>466</v>
      </c>
      <c r="C199" s="263">
        <f t="shared" si="28"/>
        <v>43287693</v>
      </c>
      <c r="D199" s="263">
        <f t="shared" si="28"/>
        <v>46385603</v>
      </c>
      <c r="E199" s="263">
        <f t="shared" si="29"/>
        <v>3097910</v>
      </c>
      <c r="F199" s="273">
        <f t="shared" si="30"/>
        <v>7.1565606418433986E-2</v>
      </c>
    </row>
    <row r="200" spans="1:9" ht="20.25" customHeight="1" x14ac:dyDescent="0.3">
      <c r="A200" s="271"/>
      <c r="B200" s="272" t="s">
        <v>467</v>
      </c>
      <c r="C200" s="263">
        <f t="shared" si="28"/>
        <v>65338033</v>
      </c>
      <c r="D200" s="263">
        <f t="shared" si="28"/>
        <v>74879122</v>
      </c>
      <c r="E200" s="263">
        <f t="shared" si="29"/>
        <v>9541089</v>
      </c>
      <c r="F200" s="273">
        <f t="shared" si="30"/>
        <v>0.14602657230284236</v>
      </c>
    </row>
    <row r="201" spans="1:9" ht="20.25" customHeight="1" x14ac:dyDescent="0.3">
      <c r="A201" s="271"/>
      <c r="B201" s="272" t="s">
        <v>468</v>
      </c>
      <c r="C201" s="263">
        <f t="shared" si="28"/>
        <v>14952117</v>
      </c>
      <c r="D201" s="263">
        <f t="shared" si="28"/>
        <v>16838930</v>
      </c>
      <c r="E201" s="263">
        <f t="shared" si="29"/>
        <v>1886813</v>
      </c>
      <c r="F201" s="273">
        <f t="shared" si="30"/>
        <v>0.12619035819476265</v>
      </c>
    </row>
    <row r="202" spans="1:9" ht="20.25" customHeight="1" x14ac:dyDescent="0.3">
      <c r="A202" s="271"/>
      <c r="B202" s="272" t="s">
        <v>138</v>
      </c>
      <c r="C202" s="274">
        <f t="shared" si="28"/>
        <v>3024</v>
      </c>
      <c r="D202" s="274">
        <f t="shared" si="28"/>
        <v>3191</v>
      </c>
      <c r="E202" s="274">
        <f t="shared" si="29"/>
        <v>167</v>
      </c>
      <c r="F202" s="273">
        <f t="shared" si="30"/>
        <v>5.5224867724867725E-2</v>
      </c>
    </row>
    <row r="203" spans="1:9" ht="20.25" customHeight="1" x14ac:dyDescent="0.3">
      <c r="A203" s="271"/>
      <c r="B203" s="272" t="s">
        <v>140</v>
      </c>
      <c r="C203" s="274">
        <f t="shared" si="28"/>
        <v>16396</v>
      </c>
      <c r="D203" s="274">
        <f t="shared" si="28"/>
        <v>17454</v>
      </c>
      <c r="E203" s="274">
        <f t="shared" si="29"/>
        <v>1058</v>
      </c>
      <c r="F203" s="273">
        <f t="shared" si="30"/>
        <v>6.4527933642351792E-2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15961</v>
      </c>
      <c r="D204" s="274">
        <f t="shared" si="28"/>
        <v>17201</v>
      </c>
      <c r="E204" s="274">
        <f t="shared" si="29"/>
        <v>1240</v>
      </c>
      <c r="F204" s="273">
        <f t="shared" si="30"/>
        <v>7.7689367834095607E-2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3380</v>
      </c>
      <c r="D205" s="274">
        <f t="shared" si="28"/>
        <v>3419</v>
      </c>
      <c r="E205" s="274">
        <f t="shared" si="29"/>
        <v>39</v>
      </c>
      <c r="F205" s="273">
        <f t="shared" si="30"/>
        <v>1.1538461538461539E-2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2029</v>
      </c>
      <c r="D206" s="274">
        <f t="shared" si="28"/>
        <v>2252</v>
      </c>
      <c r="E206" s="274">
        <f t="shared" si="29"/>
        <v>223</v>
      </c>
      <c r="F206" s="273">
        <f t="shared" si="30"/>
        <v>0.10990635781172992</v>
      </c>
    </row>
    <row r="207" spans="1:9" ht="20.25" customHeight="1" x14ac:dyDescent="0.3">
      <c r="A207" s="271"/>
      <c r="B207" s="262" t="s">
        <v>471</v>
      </c>
      <c r="C207" s="263">
        <f>+C198+C200</f>
        <v>182122509</v>
      </c>
      <c r="D207" s="263">
        <f>+D198+D200</f>
        <v>207684129</v>
      </c>
      <c r="E207" s="263">
        <f t="shared" si="29"/>
        <v>25561620</v>
      </c>
      <c r="F207" s="273">
        <f t="shared" si="30"/>
        <v>0.14035398556913137</v>
      </c>
    </row>
    <row r="208" spans="1:9" ht="20.25" customHeight="1" x14ac:dyDescent="0.3">
      <c r="A208" s="271"/>
      <c r="B208" s="262" t="s">
        <v>472</v>
      </c>
      <c r="C208" s="263">
        <f>+C199+C201</f>
        <v>58239810</v>
      </c>
      <c r="D208" s="263">
        <f>+D199+D201</f>
        <v>63224533</v>
      </c>
      <c r="E208" s="263">
        <f t="shared" si="29"/>
        <v>4984723</v>
      </c>
      <c r="F208" s="273">
        <f t="shared" si="30"/>
        <v>8.5589616449641581E-2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8606166</v>
      </c>
      <c r="D26" s="258">
        <v>0</v>
      </c>
      <c r="E26" s="258">
        <f t="shared" ref="E26:E36" si="2">D26-C26</f>
        <v>-8606166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1857085</v>
      </c>
      <c r="D27" s="258">
        <v>0</v>
      </c>
      <c r="E27" s="258">
        <f t="shared" si="2"/>
        <v>-1857085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8310654</v>
      </c>
      <c r="D28" s="258">
        <v>0</v>
      </c>
      <c r="E28" s="258">
        <f t="shared" si="2"/>
        <v>-8310654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1300577</v>
      </c>
      <c r="D29" s="258">
        <v>0</v>
      </c>
      <c r="E29" s="258">
        <f t="shared" si="2"/>
        <v>-1300577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421</v>
      </c>
      <c r="D30" s="260">
        <v>0</v>
      </c>
      <c r="E30" s="260">
        <f t="shared" si="2"/>
        <v>-421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1828</v>
      </c>
      <c r="D31" s="260">
        <v>0</v>
      </c>
      <c r="E31" s="260">
        <f t="shared" si="2"/>
        <v>-1828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5063</v>
      </c>
      <c r="D32" s="260">
        <v>0</v>
      </c>
      <c r="E32" s="260">
        <f t="shared" si="2"/>
        <v>-5063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1424</v>
      </c>
      <c r="D33" s="260">
        <v>0</v>
      </c>
      <c r="E33" s="260">
        <f t="shared" si="2"/>
        <v>-1424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58</v>
      </c>
      <c r="D34" s="260">
        <v>0</v>
      </c>
      <c r="E34" s="260">
        <f t="shared" si="2"/>
        <v>-58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16916820</v>
      </c>
      <c r="D35" s="263">
        <f>+D26+D28</f>
        <v>0</v>
      </c>
      <c r="E35" s="263">
        <f t="shared" si="2"/>
        <v>-16916820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3157662</v>
      </c>
      <c r="D36" s="263">
        <f>+D27+D29</f>
        <v>0</v>
      </c>
      <c r="E36" s="263">
        <f t="shared" si="2"/>
        <v>-3157662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3234214</v>
      </c>
      <c r="D50" s="258">
        <v>0</v>
      </c>
      <c r="E50" s="258">
        <f t="shared" ref="E50:E60" si="6">D50-C50</f>
        <v>-3234214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1135648</v>
      </c>
      <c r="D51" s="258">
        <v>0</v>
      </c>
      <c r="E51" s="258">
        <f t="shared" si="6"/>
        <v>-1135648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83821</v>
      </c>
      <c r="D52" s="258">
        <v>0</v>
      </c>
      <c r="E52" s="258">
        <f t="shared" si="6"/>
        <v>-83821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83821</v>
      </c>
      <c r="D53" s="258">
        <v>0</v>
      </c>
      <c r="E53" s="258">
        <f t="shared" si="6"/>
        <v>-83821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245</v>
      </c>
      <c r="D54" s="260">
        <v>0</v>
      </c>
      <c r="E54" s="260">
        <f t="shared" si="6"/>
        <v>-245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1742</v>
      </c>
      <c r="D55" s="260">
        <v>0</v>
      </c>
      <c r="E55" s="260">
        <f t="shared" si="6"/>
        <v>-1742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18</v>
      </c>
      <c r="D56" s="260">
        <v>0</v>
      </c>
      <c r="E56" s="260">
        <f t="shared" si="6"/>
        <v>-18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56</v>
      </c>
      <c r="D57" s="260">
        <v>0</v>
      </c>
      <c r="E57" s="260">
        <f t="shared" si="6"/>
        <v>-56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208</v>
      </c>
      <c r="D58" s="260">
        <v>0</v>
      </c>
      <c r="E58" s="260">
        <f t="shared" si="6"/>
        <v>-208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3318035</v>
      </c>
      <c r="D59" s="263">
        <f>+D50+D52</f>
        <v>0</v>
      </c>
      <c r="E59" s="263">
        <f t="shared" si="6"/>
        <v>-3318035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1219469</v>
      </c>
      <c r="D60" s="263">
        <f>+D51+D53</f>
        <v>0</v>
      </c>
      <c r="E60" s="263">
        <f t="shared" si="6"/>
        <v>-1219469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2253709</v>
      </c>
      <c r="D86" s="258">
        <v>0</v>
      </c>
      <c r="E86" s="258">
        <f t="shared" ref="E86:E96" si="12">D86-C86</f>
        <v>-2253709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613187</v>
      </c>
      <c r="D87" s="258">
        <v>0</v>
      </c>
      <c r="E87" s="258">
        <f t="shared" si="12"/>
        <v>-613187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2290141</v>
      </c>
      <c r="D88" s="258">
        <v>0</v>
      </c>
      <c r="E88" s="258">
        <f t="shared" si="12"/>
        <v>-2290141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350098</v>
      </c>
      <c r="D89" s="258">
        <v>0</v>
      </c>
      <c r="E89" s="258">
        <f t="shared" si="12"/>
        <v>-350098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108</v>
      </c>
      <c r="D90" s="260">
        <v>0</v>
      </c>
      <c r="E90" s="260">
        <f t="shared" si="12"/>
        <v>-108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518</v>
      </c>
      <c r="D91" s="260">
        <v>0</v>
      </c>
      <c r="E91" s="260">
        <f t="shared" si="12"/>
        <v>-518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1492</v>
      </c>
      <c r="D92" s="260">
        <v>0</v>
      </c>
      <c r="E92" s="260">
        <f t="shared" si="12"/>
        <v>-1492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475</v>
      </c>
      <c r="D93" s="260">
        <v>0</v>
      </c>
      <c r="E93" s="260">
        <f t="shared" si="12"/>
        <v>-475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8</v>
      </c>
      <c r="D94" s="260">
        <v>0</v>
      </c>
      <c r="E94" s="260">
        <f t="shared" si="12"/>
        <v>-8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4543850</v>
      </c>
      <c r="D95" s="263">
        <f>+D86+D88</f>
        <v>0</v>
      </c>
      <c r="E95" s="263">
        <f t="shared" si="12"/>
        <v>-4543850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963285</v>
      </c>
      <c r="D96" s="263">
        <f>+D87+D89</f>
        <v>0</v>
      </c>
      <c r="E96" s="263">
        <f t="shared" si="12"/>
        <v>-963285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3867556</v>
      </c>
      <c r="D98" s="258">
        <v>0</v>
      </c>
      <c r="E98" s="258">
        <f t="shared" ref="E98:E108" si="14">D98-C98</f>
        <v>-3867556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1706950</v>
      </c>
      <c r="D99" s="258">
        <v>0</v>
      </c>
      <c r="E99" s="258">
        <f t="shared" si="14"/>
        <v>-1706950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4027121</v>
      </c>
      <c r="D100" s="258">
        <v>0</v>
      </c>
      <c r="E100" s="258">
        <f t="shared" si="14"/>
        <v>-4027121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253997</v>
      </c>
      <c r="D101" s="258">
        <v>0</v>
      </c>
      <c r="E101" s="258">
        <f t="shared" si="14"/>
        <v>-253997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226</v>
      </c>
      <c r="D102" s="260">
        <v>0</v>
      </c>
      <c r="E102" s="260">
        <f t="shared" si="14"/>
        <v>-226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868</v>
      </c>
      <c r="D103" s="260">
        <v>0</v>
      </c>
      <c r="E103" s="260">
        <f t="shared" si="14"/>
        <v>-868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2309</v>
      </c>
      <c r="D104" s="260">
        <v>0</v>
      </c>
      <c r="E104" s="260">
        <f t="shared" si="14"/>
        <v>-2309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686</v>
      </c>
      <c r="D105" s="260">
        <v>0</v>
      </c>
      <c r="E105" s="260">
        <f t="shared" si="14"/>
        <v>-686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26</v>
      </c>
      <c r="D106" s="260">
        <v>0</v>
      </c>
      <c r="E106" s="260">
        <f t="shared" si="14"/>
        <v>-26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7894677</v>
      </c>
      <c r="D107" s="263">
        <f>+D98+D100</f>
        <v>0</v>
      </c>
      <c r="E107" s="263">
        <f t="shared" si="14"/>
        <v>-7894677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1960947</v>
      </c>
      <c r="D108" s="263">
        <f>+D99+D101</f>
        <v>0</v>
      </c>
      <c r="E108" s="263">
        <f t="shared" si="14"/>
        <v>-1960947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17961645</v>
      </c>
      <c r="D112" s="263">
        <f t="shared" si="16"/>
        <v>0</v>
      </c>
      <c r="E112" s="263">
        <f t="shared" ref="E112:E122" si="17">D112-C112</f>
        <v>-17961645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5312870</v>
      </c>
      <c r="D113" s="263">
        <f t="shared" si="16"/>
        <v>0</v>
      </c>
      <c r="E113" s="263">
        <f t="shared" si="17"/>
        <v>-5312870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14711737</v>
      </c>
      <c r="D114" s="263">
        <f t="shared" si="16"/>
        <v>0</v>
      </c>
      <c r="E114" s="263">
        <f t="shared" si="17"/>
        <v>-14711737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1988493</v>
      </c>
      <c r="D115" s="263">
        <f t="shared" si="16"/>
        <v>0</v>
      </c>
      <c r="E115" s="263">
        <f t="shared" si="17"/>
        <v>-1988493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1000</v>
      </c>
      <c r="D116" s="287">
        <f t="shared" si="16"/>
        <v>0</v>
      </c>
      <c r="E116" s="287">
        <f t="shared" si="17"/>
        <v>-1000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4956</v>
      </c>
      <c r="D117" s="287">
        <f t="shared" si="16"/>
        <v>0</v>
      </c>
      <c r="E117" s="287">
        <f t="shared" si="17"/>
        <v>-4956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8882</v>
      </c>
      <c r="D118" s="287">
        <f t="shared" si="16"/>
        <v>0</v>
      </c>
      <c r="E118" s="287">
        <f t="shared" si="17"/>
        <v>-8882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2641</v>
      </c>
      <c r="D119" s="287">
        <f t="shared" si="16"/>
        <v>0</v>
      </c>
      <c r="E119" s="287">
        <f t="shared" si="17"/>
        <v>-2641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300</v>
      </c>
      <c r="D120" s="287">
        <f t="shared" si="16"/>
        <v>0</v>
      </c>
      <c r="E120" s="287">
        <f t="shared" si="17"/>
        <v>-300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32673382</v>
      </c>
      <c r="D121" s="263">
        <f>+D112+D114</f>
        <v>0</v>
      </c>
      <c r="E121" s="263">
        <f t="shared" si="17"/>
        <v>-32673382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7301363</v>
      </c>
      <c r="D122" s="263">
        <f>+D113+D115</f>
        <v>0</v>
      </c>
      <c r="E122" s="263">
        <f t="shared" si="17"/>
        <v>-7301363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89328000</v>
      </c>
      <c r="D13" s="22">
        <v>97524000</v>
      </c>
      <c r="E13" s="22">
        <f t="shared" ref="E13:E22" si="0">D13-C13</f>
        <v>8196000</v>
      </c>
      <c r="F13" s="306">
        <f t="shared" ref="F13:F22" si="1">IF(C13=0,0,E13/C13)</f>
        <v>9.1751746372917789E-2</v>
      </c>
    </row>
    <row r="14" spans="1:8" ht="24" customHeight="1" x14ac:dyDescent="0.2">
      <c r="A14" s="304">
        <v>2</v>
      </c>
      <c r="B14" s="305" t="s">
        <v>17</v>
      </c>
      <c r="C14" s="22">
        <v>53728000</v>
      </c>
      <c r="D14" s="22">
        <v>50685000</v>
      </c>
      <c r="E14" s="22">
        <f t="shared" si="0"/>
        <v>-3043000</v>
      </c>
      <c r="F14" s="306">
        <f t="shared" si="1"/>
        <v>-5.6637135199523528E-2</v>
      </c>
    </row>
    <row r="15" spans="1:8" ht="35.1" customHeight="1" x14ac:dyDescent="0.2">
      <c r="A15" s="304">
        <v>3</v>
      </c>
      <c r="B15" s="305" t="s">
        <v>18</v>
      </c>
      <c r="C15" s="22">
        <v>69853000</v>
      </c>
      <c r="D15" s="22">
        <v>72901000</v>
      </c>
      <c r="E15" s="22">
        <f t="shared" si="0"/>
        <v>3048000</v>
      </c>
      <c r="F15" s="306">
        <f t="shared" si="1"/>
        <v>4.3634489570956149E-2</v>
      </c>
    </row>
    <row r="16" spans="1:8" ht="35.1" customHeight="1" x14ac:dyDescent="0.2">
      <c r="A16" s="304">
        <v>4</v>
      </c>
      <c r="B16" s="305" t="s">
        <v>19</v>
      </c>
      <c r="C16" s="22">
        <v>5076000</v>
      </c>
      <c r="D16" s="22">
        <v>4883000</v>
      </c>
      <c r="E16" s="22">
        <f t="shared" si="0"/>
        <v>-193000</v>
      </c>
      <c r="F16" s="306">
        <f t="shared" si="1"/>
        <v>-3.8022064617809298E-2</v>
      </c>
    </row>
    <row r="17" spans="1:11" ht="24" customHeight="1" x14ac:dyDescent="0.2">
      <c r="A17" s="304">
        <v>5</v>
      </c>
      <c r="B17" s="305" t="s">
        <v>20</v>
      </c>
      <c r="C17" s="22">
        <v>351000</v>
      </c>
      <c r="D17" s="22">
        <v>1812000</v>
      </c>
      <c r="E17" s="22">
        <f t="shared" si="0"/>
        <v>1461000</v>
      </c>
      <c r="F17" s="306">
        <f t="shared" si="1"/>
        <v>4.1623931623931627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7162000</v>
      </c>
      <c r="D19" s="22">
        <v>7209000</v>
      </c>
      <c r="E19" s="22">
        <f t="shared" si="0"/>
        <v>47000</v>
      </c>
      <c r="F19" s="306">
        <f t="shared" si="1"/>
        <v>6.5624127338732201E-3</v>
      </c>
    </row>
    <row r="20" spans="1:11" ht="24" customHeight="1" x14ac:dyDescent="0.2">
      <c r="A20" s="304">
        <v>8</v>
      </c>
      <c r="B20" s="305" t="s">
        <v>23</v>
      </c>
      <c r="C20" s="22">
        <v>6122000</v>
      </c>
      <c r="D20" s="22">
        <v>5829000</v>
      </c>
      <c r="E20" s="22">
        <f t="shared" si="0"/>
        <v>-293000</v>
      </c>
      <c r="F20" s="306">
        <f t="shared" si="1"/>
        <v>-4.7860176412936946E-2</v>
      </c>
    </row>
    <row r="21" spans="1:11" ht="24" customHeight="1" x14ac:dyDescent="0.2">
      <c r="A21" s="304">
        <v>9</v>
      </c>
      <c r="B21" s="305" t="s">
        <v>24</v>
      </c>
      <c r="C21" s="22">
        <v>4886000</v>
      </c>
      <c r="D21" s="22">
        <v>5889000</v>
      </c>
      <c r="E21" s="22">
        <f t="shared" si="0"/>
        <v>1003000</v>
      </c>
      <c r="F21" s="306">
        <f t="shared" si="1"/>
        <v>0.20528039295947606</v>
      </c>
    </row>
    <row r="22" spans="1:11" ht="24" customHeight="1" x14ac:dyDescent="0.25">
      <c r="A22" s="307"/>
      <c r="B22" s="308" t="s">
        <v>25</v>
      </c>
      <c r="C22" s="309">
        <f>SUM(C13:C21)</f>
        <v>236506000</v>
      </c>
      <c r="D22" s="309">
        <f>SUM(D13:D21)</f>
        <v>246732000</v>
      </c>
      <c r="E22" s="309">
        <f t="shared" si="0"/>
        <v>10226000</v>
      </c>
      <c r="F22" s="310">
        <f t="shared" si="1"/>
        <v>4.3237803692083923E-2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48538000</v>
      </c>
      <c r="D25" s="22">
        <v>51164000</v>
      </c>
      <c r="E25" s="22">
        <f>D25-C25</f>
        <v>2626000</v>
      </c>
      <c r="F25" s="306">
        <f>IF(C25=0,0,E25/C25)</f>
        <v>5.4101940747455599E-2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42302000</v>
      </c>
      <c r="D26" s="22">
        <v>51522000</v>
      </c>
      <c r="E26" s="22">
        <f>D26-C26</f>
        <v>9220000</v>
      </c>
      <c r="F26" s="306">
        <f>IF(C26=0,0,E26/C26)</f>
        <v>0.21795659779679447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5203000</v>
      </c>
      <c r="D28" s="22">
        <v>4167000</v>
      </c>
      <c r="E28" s="22">
        <f>D28-C28</f>
        <v>-1036000</v>
      </c>
      <c r="F28" s="306">
        <f>IF(C28=0,0,E28/C28)</f>
        <v>-0.19911589467614838</v>
      </c>
    </row>
    <row r="29" spans="1:11" ht="35.1" customHeight="1" x14ac:dyDescent="0.25">
      <c r="A29" s="307"/>
      <c r="B29" s="308" t="s">
        <v>32</v>
      </c>
      <c r="C29" s="309">
        <f>SUM(C25:C28)</f>
        <v>96043000</v>
      </c>
      <c r="D29" s="309">
        <f>SUM(D25:D28)</f>
        <v>106853000</v>
      </c>
      <c r="E29" s="309">
        <f>D29-C29</f>
        <v>10810000</v>
      </c>
      <c r="F29" s="310">
        <f>IF(C29=0,0,E29/C29)</f>
        <v>0.11255375196526556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15025000</v>
      </c>
      <c r="D32" s="22">
        <v>15209000</v>
      </c>
      <c r="E32" s="22">
        <f>D32-C32</f>
        <v>184000</v>
      </c>
      <c r="F32" s="306">
        <f>IF(C32=0,0,E32/C32)</f>
        <v>1.2246256239600666E-2</v>
      </c>
    </row>
    <row r="33" spans="1:8" ht="24" customHeight="1" x14ac:dyDescent="0.2">
      <c r="A33" s="304">
        <v>7</v>
      </c>
      <c r="B33" s="305" t="s">
        <v>35</v>
      </c>
      <c r="C33" s="22">
        <v>17035000</v>
      </c>
      <c r="D33" s="22">
        <v>18549000</v>
      </c>
      <c r="E33" s="22">
        <f>D33-C33</f>
        <v>1514000</v>
      </c>
      <c r="F33" s="306">
        <f>IF(C33=0,0,E33/C33)</f>
        <v>8.8875843850895211E-2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867830000</v>
      </c>
      <c r="D36" s="22">
        <v>807881000</v>
      </c>
      <c r="E36" s="22">
        <f>D36-C36</f>
        <v>-59949000</v>
      </c>
      <c r="F36" s="306">
        <f>IF(C36=0,0,E36/C36)</f>
        <v>-6.907919753868845E-2</v>
      </c>
    </row>
    <row r="37" spans="1:8" ht="24" customHeight="1" x14ac:dyDescent="0.2">
      <c r="A37" s="304">
        <v>2</v>
      </c>
      <c r="B37" s="305" t="s">
        <v>39</v>
      </c>
      <c r="C37" s="22">
        <v>424957000</v>
      </c>
      <c r="D37" s="22">
        <v>379697000</v>
      </c>
      <c r="E37" s="22">
        <f>D37-C37</f>
        <v>-45260000</v>
      </c>
      <c r="F37" s="22">
        <f>IF(C37=0,0,E37/C37)</f>
        <v>-0.10650489343627709</v>
      </c>
    </row>
    <row r="38" spans="1:8" ht="24" customHeight="1" x14ac:dyDescent="0.25">
      <c r="A38" s="307"/>
      <c r="B38" s="308" t="s">
        <v>40</v>
      </c>
      <c r="C38" s="309">
        <f>C36-C37</f>
        <v>442873000</v>
      </c>
      <c r="D38" s="309">
        <f>D36-D37</f>
        <v>428184000</v>
      </c>
      <c r="E38" s="309">
        <f>D38-C38</f>
        <v>-14689000</v>
      </c>
      <c r="F38" s="310">
        <f>IF(C38=0,0,E38/C38)</f>
        <v>-3.3167522066145372E-2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15793000</v>
      </c>
      <c r="D40" s="22">
        <v>40032000</v>
      </c>
      <c r="E40" s="22">
        <f>D40-C40</f>
        <v>24239000</v>
      </c>
      <c r="F40" s="306">
        <f>IF(C40=0,0,E40/C40)</f>
        <v>1.5347938960298866</v>
      </c>
    </row>
    <row r="41" spans="1:8" ht="24" customHeight="1" x14ac:dyDescent="0.25">
      <c r="A41" s="307"/>
      <c r="B41" s="308" t="s">
        <v>42</v>
      </c>
      <c r="C41" s="309">
        <f>+C38+C40</f>
        <v>458666000</v>
      </c>
      <c r="D41" s="309">
        <f>+D38+D40</f>
        <v>468216000</v>
      </c>
      <c r="E41" s="309">
        <f>D41-C41</f>
        <v>9550000</v>
      </c>
      <c r="F41" s="310">
        <f>IF(C41=0,0,E41/C41)</f>
        <v>2.0821251193679061E-2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823275000</v>
      </c>
      <c r="D43" s="309">
        <f>D22+D29+D31+D32+D33+D41</f>
        <v>855559000</v>
      </c>
      <c r="E43" s="309">
        <f>D43-C43</f>
        <v>32284000</v>
      </c>
      <c r="F43" s="310">
        <f>IF(C43=0,0,E43/C43)</f>
        <v>3.9214114360329171E-2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38031000</v>
      </c>
      <c r="D49" s="22">
        <v>37123000</v>
      </c>
      <c r="E49" s="22">
        <f t="shared" ref="E49:E56" si="2">D49-C49</f>
        <v>-908000</v>
      </c>
      <c r="F49" s="306">
        <f t="shared" ref="F49:F56" si="3">IF(C49=0,0,E49/C49)</f>
        <v>-2.3875259656595933E-2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46231000</v>
      </c>
      <c r="D50" s="22">
        <v>46219000</v>
      </c>
      <c r="E50" s="22">
        <f t="shared" si="2"/>
        <v>-12000</v>
      </c>
      <c r="F50" s="306">
        <f t="shared" si="3"/>
        <v>-2.5956609201617964E-4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2994000</v>
      </c>
      <c r="D51" s="22">
        <v>14021000</v>
      </c>
      <c r="E51" s="22">
        <f t="shared" si="2"/>
        <v>11027000</v>
      </c>
      <c r="F51" s="306">
        <f t="shared" si="3"/>
        <v>3.6830327321309286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6950000</v>
      </c>
      <c r="D53" s="22">
        <v>8819000</v>
      </c>
      <c r="E53" s="22">
        <f t="shared" si="2"/>
        <v>1869000</v>
      </c>
      <c r="F53" s="306">
        <f t="shared" si="3"/>
        <v>0.2689208633093525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7120000</v>
      </c>
      <c r="D55" s="22">
        <v>6550000</v>
      </c>
      <c r="E55" s="22">
        <f t="shared" si="2"/>
        <v>-570000</v>
      </c>
      <c r="F55" s="306">
        <f t="shared" si="3"/>
        <v>-8.00561797752809E-2</v>
      </c>
    </row>
    <row r="56" spans="1:6" ht="24" customHeight="1" x14ac:dyDescent="0.25">
      <c r="A56" s="307"/>
      <c r="B56" s="308" t="s">
        <v>54</v>
      </c>
      <c r="C56" s="309">
        <f>SUM(C49:C55)</f>
        <v>101326000</v>
      </c>
      <c r="D56" s="309">
        <f>SUM(D49:D55)</f>
        <v>112732000</v>
      </c>
      <c r="E56" s="309">
        <f t="shared" si="2"/>
        <v>11406000</v>
      </c>
      <c r="F56" s="310">
        <f t="shared" si="3"/>
        <v>0.11256735684819297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258965000</v>
      </c>
      <c r="D59" s="22">
        <v>258637000</v>
      </c>
      <c r="E59" s="22">
        <f>D59-C59</f>
        <v>-328000</v>
      </c>
      <c r="F59" s="306">
        <f>IF(C59=0,0,E59/C59)</f>
        <v>-1.2665804259262834E-3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258965000</v>
      </c>
      <c r="D61" s="309">
        <f>SUM(D59:D60)</f>
        <v>258637000</v>
      </c>
      <c r="E61" s="309">
        <f>D61-C61</f>
        <v>-328000</v>
      </c>
      <c r="F61" s="310">
        <f>IF(C61=0,0,E61/C61)</f>
        <v>-1.2665804259262834E-3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318826000</v>
      </c>
      <c r="D63" s="22">
        <v>223617000</v>
      </c>
      <c r="E63" s="22">
        <f>D63-C63</f>
        <v>-95209000</v>
      </c>
      <c r="F63" s="306">
        <f>IF(C63=0,0,E63/C63)</f>
        <v>-0.29862370070195027</v>
      </c>
    </row>
    <row r="64" spans="1:6" ht="24" customHeight="1" x14ac:dyDescent="0.2">
      <c r="A64" s="304">
        <v>4</v>
      </c>
      <c r="B64" s="305" t="s">
        <v>60</v>
      </c>
      <c r="C64" s="22">
        <v>0</v>
      </c>
      <c r="D64" s="22">
        <v>0</v>
      </c>
      <c r="E64" s="22">
        <f>D64-C64</f>
        <v>0</v>
      </c>
      <c r="F64" s="306">
        <f>IF(C64=0,0,E64/C64)</f>
        <v>0</v>
      </c>
    </row>
    <row r="65" spans="1:6" ht="24" customHeight="1" x14ac:dyDescent="0.25">
      <c r="A65" s="307"/>
      <c r="B65" s="308" t="s">
        <v>61</v>
      </c>
      <c r="C65" s="309">
        <f>SUM(C61:C64)</f>
        <v>577791000</v>
      </c>
      <c r="D65" s="309">
        <f>SUM(D61:D64)</f>
        <v>482254000</v>
      </c>
      <c r="E65" s="309">
        <f>D65-C65</f>
        <v>-95537000</v>
      </c>
      <c r="F65" s="310">
        <f>IF(C65=0,0,E65/C65)</f>
        <v>-0.16534871605822868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45665000</v>
      </c>
      <c r="D70" s="22">
        <v>178467000</v>
      </c>
      <c r="E70" s="22">
        <f>D70-C70</f>
        <v>132802000</v>
      </c>
      <c r="F70" s="306">
        <f>IF(C70=0,0,E70/C70)</f>
        <v>2.9081791306252054</v>
      </c>
    </row>
    <row r="71" spans="1:6" ht="24" customHeight="1" x14ac:dyDescent="0.2">
      <c r="A71" s="304">
        <v>2</v>
      </c>
      <c r="B71" s="305" t="s">
        <v>65</v>
      </c>
      <c r="C71" s="22">
        <v>45669000</v>
      </c>
      <c r="D71" s="22">
        <v>26656000</v>
      </c>
      <c r="E71" s="22">
        <f>D71-C71</f>
        <v>-19013000</v>
      </c>
      <c r="F71" s="306">
        <f>IF(C71=0,0,E71/C71)</f>
        <v>-0.41632179377696032</v>
      </c>
    </row>
    <row r="72" spans="1:6" ht="24" customHeight="1" x14ac:dyDescent="0.2">
      <c r="A72" s="304">
        <v>3</v>
      </c>
      <c r="B72" s="305" t="s">
        <v>66</v>
      </c>
      <c r="C72" s="22">
        <v>52824000</v>
      </c>
      <c r="D72" s="22">
        <v>55450000</v>
      </c>
      <c r="E72" s="22">
        <f>D72-C72</f>
        <v>2626000</v>
      </c>
      <c r="F72" s="306">
        <f>IF(C72=0,0,E72/C72)</f>
        <v>4.971225200666364E-2</v>
      </c>
    </row>
    <row r="73" spans="1:6" ht="24" customHeight="1" x14ac:dyDescent="0.25">
      <c r="A73" s="304"/>
      <c r="B73" s="308" t="s">
        <v>67</v>
      </c>
      <c r="C73" s="309">
        <f>SUM(C70:C72)</f>
        <v>144158000</v>
      </c>
      <c r="D73" s="309">
        <f>SUM(D70:D72)</f>
        <v>260573000</v>
      </c>
      <c r="E73" s="309">
        <f>D73-C73</f>
        <v>116415000</v>
      </c>
      <c r="F73" s="310">
        <f>IF(C73=0,0,E73/C73)</f>
        <v>0.80755143661815509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823275000</v>
      </c>
      <c r="D75" s="309">
        <f>D56+D65+D67+D73</f>
        <v>855559000</v>
      </c>
      <c r="E75" s="309">
        <f>D75-C75</f>
        <v>32284000</v>
      </c>
      <c r="F75" s="310">
        <f>IF(C75=0,0,E75/C75)</f>
        <v>3.9214114360329171E-2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1987581000</v>
      </c>
      <c r="D11" s="76">
        <v>2200109000</v>
      </c>
      <c r="E11" s="76">
        <f t="shared" ref="E11:E20" si="0">D11-C11</f>
        <v>212528000</v>
      </c>
      <c r="F11" s="77">
        <f t="shared" ref="F11:F20" si="1">IF(C11=0,0,E11/C11)</f>
        <v>0.10692796922490203</v>
      </c>
    </row>
    <row r="12" spans="1:7" ht="23.1" customHeight="1" x14ac:dyDescent="0.2">
      <c r="A12" s="74">
        <v>2</v>
      </c>
      <c r="B12" s="75" t="s">
        <v>72</v>
      </c>
      <c r="C12" s="76">
        <v>1233692000</v>
      </c>
      <c r="D12" s="76">
        <v>1422379000</v>
      </c>
      <c r="E12" s="76">
        <f t="shared" si="0"/>
        <v>188687000</v>
      </c>
      <c r="F12" s="77">
        <f t="shared" si="1"/>
        <v>0.15294498140540752</v>
      </c>
    </row>
    <row r="13" spans="1:7" ht="23.1" customHeight="1" x14ac:dyDescent="0.2">
      <c r="A13" s="74">
        <v>3</v>
      </c>
      <c r="B13" s="75" t="s">
        <v>73</v>
      </c>
      <c r="C13" s="76">
        <v>19162000</v>
      </c>
      <c r="D13" s="76">
        <v>19567000</v>
      </c>
      <c r="E13" s="76">
        <f t="shared" si="0"/>
        <v>405000</v>
      </c>
      <c r="F13" s="77">
        <f t="shared" si="1"/>
        <v>2.1135580837073373E-2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734727000</v>
      </c>
      <c r="D15" s="79">
        <f>D11-D12-D13-D14</f>
        <v>758163000</v>
      </c>
      <c r="E15" s="79">
        <f t="shared" si="0"/>
        <v>23436000</v>
      </c>
      <c r="F15" s="80">
        <f t="shared" si="1"/>
        <v>3.1897561951582019E-2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23311000</v>
      </c>
      <c r="E16" s="76">
        <f t="shared" si="0"/>
        <v>23311000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734727000</v>
      </c>
      <c r="D17" s="79">
        <f>D15-D16</f>
        <v>734852000</v>
      </c>
      <c r="E17" s="79">
        <f t="shared" si="0"/>
        <v>125000</v>
      </c>
      <c r="F17" s="80">
        <f t="shared" si="1"/>
        <v>1.7013121880644103E-4</v>
      </c>
    </row>
    <row r="18" spans="1:7" ht="23.1" customHeight="1" x14ac:dyDescent="0.2">
      <c r="A18" s="74">
        <v>6</v>
      </c>
      <c r="B18" s="75" t="s">
        <v>78</v>
      </c>
      <c r="C18" s="76">
        <v>42797000</v>
      </c>
      <c r="D18" s="76">
        <v>39764000</v>
      </c>
      <c r="E18" s="76">
        <f t="shared" si="0"/>
        <v>-3033000</v>
      </c>
      <c r="F18" s="77">
        <f t="shared" si="1"/>
        <v>-7.086945346636446E-2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12525000</v>
      </c>
      <c r="D19" s="76">
        <v>9519000</v>
      </c>
      <c r="E19" s="76">
        <f t="shared" si="0"/>
        <v>-3006000</v>
      </c>
      <c r="F19" s="77">
        <f t="shared" si="1"/>
        <v>-0.24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790049000</v>
      </c>
      <c r="D20" s="79">
        <f>SUM(D17:D19)</f>
        <v>784135000</v>
      </c>
      <c r="E20" s="79">
        <f t="shared" si="0"/>
        <v>-5914000</v>
      </c>
      <c r="F20" s="80">
        <f t="shared" si="1"/>
        <v>-7.485611651935513E-3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329615000</v>
      </c>
      <c r="D23" s="76">
        <v>349214000</v>
      </c>
      <c r="E23" s="76">
        <f t="shared" ref="E23:E32" si="2">D23-C23</f>
        <v>19599000</v>
      </c>
      <c r="F23" s="77">
        <f t="shared" ref="F23:F32" si="3">IF(C23=0,0,E23/C23)</f>
        <v>5.9460279416895467E-2</v>
      </c>
    </row>
    <row r="24" spans="1:7" ht="23.1" customHeight="1" x14ac:dyDescent="0.2">
      <c r="A24" s="74">
        <v>2</v>
      </c>
      <c r="B24" s="75" t="s">
        <v>83</v>
      </c>
      <c r="C24" s="76">
        <v>81180000</v>
      </c>
      <c r="D24" s="76">
        <v>87301000</v>
      </c>
      <c r="E24" s="76">
        <f t="shared" si="2"/>
        <v>6121000</v>
      </c>
      <c r="F24" s="77">
        <f t="shared" si="3"/>
        <v>7.5400344912540038E-2</v>
      </c>
    </row>
    <row r="25" spans="1:7" ht="23.1" customHeight="1" x14ac:dyDescent="0.2">
      <c r="A25" s="74">
        <v>3</v>
      </c>
      <c r="B25" s="75" t="s">
        <v>84</v>
      </c>
      <c r="C25" s="76">
        <v>8926000</v>
      </c>
      <c r="D25" s="76">
        <v>8506000</v>
      </c>
      <c r="E25" s="76">
        <f t="shared" si="2"/>
        <v>-420000</v>
      </c>
      <c r="F25" s="77">
        <f t="shared" si="3"/>
        <v>-4.7053551422809772E-2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118893000</v>
      </c>
      <c r="D26" s="76">
        <v>120574000</v>
      </c>
      <c r="E26" s="76">
        <f t="shared" si="2"/>
        <v>1681000</v>
      </c>
      <c r="F26" s="77">
        <f t="shared" si="3"/>
        <v>1.4138763425937608E-2</v>
      </c>
    </row>
    <row r="27" spans="1:7" ht="23.1" customHeight="1" x14ac:dyDescent="0.2">
      <c r="A27" s="74">
        <v>5</v>
      </c>
      <c r="B27" s="75" t="s">
        <v>86</v>
      </c>
      <c r="C27" s="76">
        <v>36527000</v>
      </c>
      <c r="D27" s="76">
        <v>36733000</v>
      </c>
      <c r="E27" s="76">
        <f t="shared" si="2"/>
        <v>206000</v>
      </c>
      <c r="F27" s="77">
        <f t="shared" si="3"/>
        <v>5.6396638103320832E-3</v>
      </c>
    </row>
    <row r="28" spans="1:7" ht="23.1" customHeight="1" x14ac:dyDescent="0.2">
      <c r="A28" s="74">
        <v>6</v>
      </c>
      <c r="B28" s="75" t="s">
        <v>87</v>
      </c>
      <c r="C28" s="76">
        <v>22029000</v>
      </c>
      <c r="D28" s="76">
        <v>0</v>
      </c>
      <c r="E28" s="76">
        <f t="shared" si="2"/>
        <v>-22029000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11965000</v>
      </c>
      <c r="D29" s="76">
        <v>11601000</v>
      </c>
      <c r="E29" s="76">
        <f t="shared" si="2"/>
        <v>-364000</v>
      </c>
      <c r="F29" s="77">
        <f t="shared" si="3"/>
        <v>-3.0422064354366903E-2</v>
      </c>
    </row>
    <row r="30" spans="1:7" ht="23.1" customHeight="1" x14ac:dyDescent="0.2">
      <c r="A30" s="74">
        <v>8</v>
      </c>
      <c r="B30" s="75" t="s">
        <v>89</v>
      </c>
      <c r="C30" s="76">
        <v>15296000</v>
      </c>
      <c r="D30" s="76">
        <v>18323000</v>
      </c>
      <c r="E30" s="76">
        <f t="shared" si="2"/>
        <v>3027000</v>
      </c>
      <c r="F30" s="77">
        <f t="shared" si="3"/>
        <v>0.19789487447698745</v>
      </c>
    </row>
    <row r="31" spans="1:7" ht="23.1" customHeight="1" x14ac:dyDescent="0.2">
      <c r="A31" s="74">
        <v>9</v>
      </c>
      <c r="B31" s="75" t="s">
        <v>90</v>
      </c>
      <c r="C31" s="76">
        <v>150264000</v>
      </c>
      <c r="D31" s="76">
        <v>143657000</v>
      </c>
      <c r="E31" s="76">
        <f t="shared" si="2"/>
        <v>-6607000</v>
      </c>
      <c r="F31" s="77">
        <f t="shared" si="3"/>
        <v>-4.3969280732577332E-2</v>
      </c>
    </row>
    <row r="32" spans="1:7" ht="23.1" customHeight="1" x14ac:dyDescent="0.25">
      <c r="A32" s="71"/>
      <c r="B32" s="78" t="s">
        <v>91</v>
      </c>
      <c r="C32" s="79">
        <f>SUM(C23:C31)</f>
        <v>774695000</v>
      </c>
      <c r="D32" s="79">
        <f>SUM(D23:D31)</f>
        <v>775909000</v>
      </c>
      <c r="E32" s="79">
        <f t="shared" si="2"/>
        <v>1214000</v>
      </c>
      <c r="F32" s="80">
        <f t="shared" si="3"/>
        <v>1.5670683301170138E-3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15354000</v>
      </c>
      <c r="D34" s="79">
        <f>+D20-D32</f>
        <v>8226000</v>
      </c>
      <c r="E34" s="79">
        <f>D34-C34</f>
        <v>-7128000</v>
      </c>
      <c r="F34" s="80">
        <f>IF(C34=0,0,E34/C34)</f>
        <v>-0.46424384525205159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332000</v>
      </c>
      <c r="D37" s="76">
        <v>2299000</v>
      </c>
      <c r="E37" s="76">
        <f>D37-C37</f>
        <v>1967000</v>
      </c>
      <c r="F37" s="77">
        <f>IF(C37=0,0,E37/C37)</f>
        <v>5.9246987951807233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-11122000</v>
      </c>
      <c r="D39" s="76">
        <v>22218000</v>
      </c>
      <c r="E39" s="76">
        <f>D39-C39</f>
        <v>33340000</v>
      </c>
      <c r="F39" s="77">
        <f>IF(C39=0,0,E39/C39)</f>
        <v>-2.9976622909548643</v>
      </c>
    </row>
    <row r="40" spans="1:6" ht="23.1" customHeight="1" x14ac:dyDescent="0.25">
      <c r="A40" s="83"/>
      <c r="B40" s="78" t="s">
        <v>97</v>
      </c>
      <c r="C40" s="79">
        <f>SUM(C37:C39)</f>
        <v>-10790000</v>
      </c>
      <c r="D40" s="79">
        <f>SUM(D37:D39)</f>
        <v>24517000</v>
      </c>
      <c r="E40" s="79">
        <f>D40-C40</f>
        <v>35307000</v>
      </c>
      <c r="F40" s="80">
        <f>IF(C40=0,0,E40/C40)</f>
        <v>-3.2721964782205748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4564000</v>
      </c>
      <c r="D42" s="79">
        <f>D34+D40</f>
        <v>32743000</v>
      </c>
      <c r="E42" s="79">
        <f>D42-C42</f>
        <v>28179000</v>
      </c>
      <c r="F42" s="80">
        <f>IF(C42=0,0,E42/C42)</f>
        <v>6.1741893076248902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4564000</v>
      </c>
      <c r="D49" s="79">
        <f>D42+D47</f>
        <v>32743000</v>
      </c>
      <c r="E49" s="79">
        <f>D49-C49</f>
        <v>28179000</v>
      </c>
      <c r="F49" s="80">
        <f>IF(C49=0,0,E49/C49)</f>
        <v>6.1741893076248902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FRANCIS HOSPITAL AND MEDICAL CENTER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2014-10-07T13:33:26Z</cp:lastPrinted>
  <dcterms:created xsi:type="dcterms:W3CDTF">2014-10-06T18:56:49Z</dcterms:created>
  <dcterms:modified xsi:type="dcterms:W3CDTF">2014-10-09T18:57:42Z</dcterms:modified>
</cp:coreProperties>
</file>