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 activeTab="1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85" i="14"/>
  <c r="D203" i="14"/>
  <c r="D283" i="14"/>
  <c r="D198" i="14"/>
  <c r="D290" i="14"/>
  <c r="D191" i="14"/>
  <c r="D200" i="14"/>
  <c r="D189" i="14"/>
  <c r="D278" i="14"/>
  <c r="D188" i="14"/>
  <c r="D214" i="14"/>
  <c r="D180" i="14"/>
  <c r="D179" i="14"/>
  <c r="D171" i="14"/>
  <c r="D172" i="14"/>
  <c r="D173" i="14"/>
  <c r="D170" i="14"/>
  <c r="D165" i="14"/>
  <c r="D164" i="14"/>
  <c r="D159" i="14"/>
  <c r="D158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175" i="14"/>
  <c r="D176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D109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/>
  <c r="E54" i="19"/>
  <c r="E34" i="19"/>
  <c r="D12" i="19"/>
  <c r="D23" i="19"/>
  <c r="D46" i="19"/>
  <c r="D33" i="19"/>
  <c r="C12" i="19"/>
  <c r="C2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F45" i="17"/>
  <c r="D44" i="17"/>
  <c r="C44" i="17"/>
  <c r="E44" i="17"/>
  <c r="F44" i="17"/>
  <c r="D43" i="17"/>
  <c r="D46" i="17"/>
  <c r="C43" i="17"/>
  <c r="D36" i="17"/>
  <c r="D40" i="17"/>
  <c r="C36" i="17"/>
  <c r="E35" i="17"/>
  <c r="F35" i="17"/>
  <c r="E34" i="17"/>
  <c r="F34" i="17"/>
  <c r="E33" i="17"/>
  <c r="F33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C19" i="17"/>
  <c r="E18" i="17"/>
  <c r="F18" i="17"/>
  <c r="D16" i="17"/>
  <c r="C16" i="17"/>
  <c r="E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2" i="16"/>
  <c r="C21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C290" i="15"/>
  <c r="E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C280" i="15"/>
  <c r="E280" i="15"/>
  <c r="D279" i="15"/>
  <c r="C279" i="15"/>
  <c r="E279" i="15"/>
  <c r="D278" i="15"/>
  <c r="E278" i="15"/>
  <c r="C278" i="15"/>
  <c r="D277" i="15"/>
  <c r="E277" i="15"/>
  <c r="C277" i="15"/>
  <c r="D276" i="15"/>
  <c r="C276" i="15"/>
  <c r="E276" i="15"/>
  <c r="E270" i="15"/>
  <c r="D265" i="15"/>
  <c r="E265" i="15"/>
  <c r="C265" i="15"/>
  <c r="C302" i="15"/>
  <c r="C303" i="15"/>
  <c r="C306" i="15"/>
  <c r="C310" i="15"/>
  <c r="D262" i="15"/>
  <c r="C262" i="15"/>
  <c r="E262" i="15"/>
  <c r="D251" i="15"/>
  <c r="C251" i="15"/>
  <c r="D233" i="15"/>
  <c r="C233" i="15"/>
  <c r="D232" i="15"/>
  <c r="E232" i="15"/>
  <c r="C232" i="15"/>
  <c r="D231" i="15"/>
  <c r="E231" i="15"/>
  <c r="C231" i="15"/>
  <c r="D230" i="15"/>
  <c r="E230" i="15"/>
  <c r="C230" i="15"/>
  <c r="D228" i="15"/>
  <c r="E228" i="15"/>
  <c r="C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C219" i="15"/>
  <c r="E219" i="15"/>
  <c r="D218" i="15"/>
  <c r="D242" i="15"/>
  <c r="C218" i="15"/>
  <c r="D216" i="15"/>
  <c r="E216" i="15"/>
  <c r="C216" i="15"/>
  <c r="C222" i="15"/>
  <c r="D215" i="15"/>
  <c r="C215" i="15"/>
  <c r="C223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/>
  <c r="C188" i="15"/>
  <c r="C189" i="15"/>
  <c r="E186" i="15"/>
  <c r="E185" i="15"/>
  <c r="D179" i="15"/>
  <c r="C179" i="15"/>
  <c r="E179" i="15"/>
  <c r="D178" i="15"/>
  <c r="E178" i="15"/>
  <c r="C178" i="15"/>
  <c r="D177" i="15"/>
  <c r="E177" i="15"/>
  <c r="C177" i="15"/>
  <c r="D176" i="15"/>
  <c r="C176" i="15"/>
  <c r="E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C165" i="15"/>
  <c r="E165" i="15"/>
  <c r="D164" i="15"/>
  <c r="E164" i="15"/>
  <c r="C164" i="15"/>
  <c r="D162" i="15"/>
  <c r="E162" i="15"/>
  <c r="C162" i="15"/>
  <c r="D161" i="15"/>
  <c r="C161" i="15"/>
  <c r="E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E75" i="15"/>
  <c r="C75" i="15"/>
  <c r="D74" i="15"/>
  <c r="C74" i="15"/>
  <c r="E74" i="15"/>
  <c r="D73" i="15"/>
  <c r="C73" i="15"/>
  <c r="E73" i="15"/>
  <c r="D72" i="15"/>
  <c r="E72" i="15"/>
  <c r="C72" i="15"/>
  <c r="D70" i="15"/>
  <c r="C70" i="15"/>
  <c r="E69" i="15"/>
  <c r="D69" i="15"/>
  <c r="C69" i="15"/>
  <c r="E64" i="15"/>
  <c r="E63" i="15"/>
  <c r="E62" i="15"/>
  <c r="E61" i="15"/>
  <c r="D60" i="15"/>
  <c r="D289" i="15"/>
  <c r="C60" i="15"/>
  <c r="C71" i="15"/>
  <c r="E59" i="15"/>
  <c r="E58" i="15"/>
  <c r="D54" i="15"/>
  <c r="D55" i="15"/>
  <c r="E55" i="15"/>
  <c r="C54" i="15"/>
  <c r="C55" i="15"/>
  <c r="E53" i="15"/>
  <c r="E52" i="15"/>
  <c r="E51" i="15"/>
  <c r="E50" i="15"/>
  <c r="E49" i="15"/>
  <c r="E48" i="15"/>
  <c r="E47" i="15"/>
  <c r="D42" i="15"/>
  <c r="C42" i="15"/>
  <c r="E42" i="15"/>
  <c r="D41" i="15"/>
  <c r="C41" i="15"/>
  <c r="E41" i="15"/>
  <c r="D40" i="15"/>
  <c r="E40" i="15"/>
  <c r="C40" i="15"/>
  <c r="D39" i="15"/>
  <c r="C39" i="15"/>
  <c r="D38" i="15"/>
  <c r="C38" i="15"/>
  <c r="E38" i="15"/>
  <c r="D37" i="15"/>
  <c r="E37" i="15"/>
  <c r="C37" i="15"/>
  <c r="E36" i="15"/>
  <c r="D36" i="15"/>
  <c r="C36" i="15"/>
  <c r="D33" i="15"/>
  <c r="D32" i="15"/>
  <c r="C32" i="15"/>
  <c r="C33" i="15"/>
  <c r="E31" i="15"/>
  <c r="E30" i="15"/>
  <c r="E29" i="15"/>
  <c r="E28" i="15"/>
  <c r="E27" i="15"/>
  <c r="E26" i="15"/>
  <c r="E25" i="15"/>
  <c r="D21" i="15"/>
  <c r="C21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E332" i="14"/>
  <c r="F332" i="14"/>
  <c r="E331" i="14"/>
  <c r="F331" i="14"/>
  <c r="E330" i="14"/>
  <c r="F330" i="14"/>
  <c r="E329" i="14"/>
  <c r="F329" i="14"/>
  <c r="F316" i="14"/>
  <c r="E316" i="14"/>
  <c r="C311" i="14"/>
  <c r="E311" i="14"/>
  <c r="E308" i="14"/>
  <c r="F308" i="14"/>
  <c r="C307" i="14"/>
  <c r="C299" i="14"/>
  <c r="E298" i="14"/>
  <c r="C298" i="14"/>
  <c r="F298" i="14"/>
  <c r="C297" i="14"/>
  <c r="C296" i="14"/>
  <c r="C295" i="14"/>
  <c r="C294" i="14"/>
  <c r="E294" i="14"/>
  <c r="F294" i="14"/>
  <c r="C250" i="14"/>
  <c r="C306" i="14"/>
  <c r="F249" i="14"/>
  <c r="E249" i="14"/>
  <c r="E248" i="14"/>
  <c r="F248" i="14"/>
  <c r="F245" i="14"/>
  <c r="E245" i="14"/>
  <c r="E244" i="14"/>
  <c r="F244" i="14"/>
  <c r="F243" i="14"/>
  <c r="E243" i="14"/>
  <c r="C238" i="14"/>
  <c r="E237" i="14"/>
  <c r="C237" i="14"/>
  <c r="F237" i="14"/>
  <c r="F234" i="14"/>
  <c r="E234" i="14"/>
  <c r="F233" i="14"/>
  <c r="E233" i="14"/>
  <c r="C230" i="14"/>
  <c r="E230" i="14"/>
  <c r="C229" i="14"/>
  <c r="F228" i="14"/>
  <c r="E228" i="14"/>
  <c r="C226" i="14"/>
  <c r="E226" i="14"/>
  <c r="E225" i="14"/>
  <c r="F225" i="14"/>
  <c r="E224" i="14"/>
  <c r="F224" i="14"/>
  <c r="C223" i="14"/>
  <c r="E222" i="14"/>
  <c r="F222" i="14"/>
  <c r="E221" i="14"/>
  <c r="F221" i="14"/>
  <c r="C204" i="14"/>
  <c r="E204" i="14"/>
  <c r="C203" i="14"/>
  <c r="E198" i="14"/>
  <c r="C198" i="14"/>
  <c r="C290" i="14"/>
  <c r="C191" i="14"/>
  <c r="E191" i="14"/>
  <c r="F191" i="14"/>
  <c r="C280" i="14"/>
  <c r="C189" i="14"/>
  <c r="C278" i="14"/>
  <c r="E278" i="14"/>
  <c r="E188" i="14"/>
  <c r="C188" i="14"/>
  <c r="C277" i="14"/>
  <c r="C206" i="14"/>
  <c r="C180" i="14"/>
  <c r="C179" i="14"/>
  <c r="C181" i="14"/>
  <c r="C171" i="14"/>
  <c r="C170" i="14"/>
  <c r="E169" i="14"/>
  <c r="F169" i="14"/>
  <c r="E168" i="14"/>
  <c r="F168" i="14"/>
  <c r="C165" i="14"/>
  <c r="E164" i="14"/>
  <c r="C164" i="14"/>
  <c r="F164" i="14"/>
  <c r="E163" i="14"/>
  <c r="F163" i="14"/>
  <c r="C159" i="14"/>
  <c r="C158" i="14"/>
  <c r="E158" i="14"/>
  <c r="F158" i="14"/>
  <c r="E157" i="14"/>
  <c r="F157" i="14"/>
  <c r="F156" i="14"/>
  <c r="E156" i="14"/>
  <c r="C155" i="14"/>
  <c r="E154" i="14"/>
  <c r="F154" i="14"/>
  <c r="E153" i="14"/>
  <c r="F153" i="14"/>
  <c r="C145" i="14"/>
  <c r="E145" i="14"/>
  <c r="F145" i="14"/>
  <c r="C144" i="14"/>
  <c r="E144" i="14"/>
  <c r="C136" i="14"/>
  <c r="E136" i="14"/>
  <c r="F136" i="14"/>
  <c r="E135" i="14"/>
  <c r="C135" i="14"/>
  <c r="F135" i="14"/>
  <c r="E134" i="14"/>
  <c r="F134" i="14"/>
  <c r="F133" i="14"/>
  <c r="E133" i="14"/>
  <c r="C130" i="14"/>
  <c r="C129" i="14"/>
  <c r="E129" i="14"/>
  <c r="E128" i="14"/>
  <c r="F128" i="14"/>
  <c r="C123" i="14"/>
  <c r="E123" i="14"/>
  <c r="F123" i="14"/>
  <c r="E122" i="14"/>
  <c r="F122" i="14"/>
  <c r="E121" i="14"/>
  <c r="F121" i="14"/>
  <c r="C120" i="14"/>
  <c r="E119" i="14"/>
  <c r="F119" i="14"/>
  <c r="E118" i="14"/>
  <c r="F118" i="14"/>
  <c r="C110" i="14"/>
  <c r="E110" i="14"/>
  <c r="C109" i="14"/>
  <c r="E109" i="14"/>
  <c r="F109" i="14"/>
  <c r="C102" i="14"/>
  <c r="C103" i="14"/>
  <c r="E101" i="14"/>
  <c r="C101" i="14"/>
  <c r="C100" i="14"/>
  <c r="E100" i="14"/>
  <c r="E99" i="14"/>
  <c r="F99" i="14"/>
  <c r="E98" i="14"/>
  <c r="F98" i="14"/>
  <c r="C95" i="14"/>
  <c r="C94" i="14"/>
  <c r="E94" i="14"/>
  <c r="E93" i="14"/>
  <c r="F93" i="14"/>
  <c r="C88" i="14"/>
  <c r="C89" i="14"/>
  <c r="E89" i="14"/>
  <c r="F87" i="14"/>
  <c r="E87" i="14"/>
  <c r="E86" i="14"/>
  <c r="F86" i="14"/>
  <c r="C85" i="14"/>
  <c r="E85" i="14"/>
  <c r="E84" i="14"/>
  <c r="F84" i="14"/>
  <c r="E83" i="14"/>
  <c r="F83" i="14"/>
  <c r="C76" i="14"/>
  <c r="E74" i="14"/>
  <c r="F74" i="14"/>
  <c r="E73" i="14"/>
  <c r="F73" i="14"/>
  <c r="C67" i="14"/>
  <c r="E67" i="14"/>
  <c r="C66" i="14"/>
  <c r="E66" i="14"/>
  <c r="F66" i="14"/>
  <c r="C59" i="14"/>
  <c r="C60" i="14"/>
  <c r="E58" i="14"/>
  <c r="C58" i="14"/>
  <c r="F58" i="14"/>
  <c r="E57" i="14"/>
  <c r="F57" i="14"/>
  <c r="E56" i="14"/>
  <c r="F56" i="14"/>
  <c r="C53" i="14"/>
  <c r="E53" i="14"/>
  <c r="C52" i="14"/>
  <c r="E52" i="14"/>
  <c r="F52" i="14"/>
  <c r="E51" i="14"/>
  <c r="F51" i="14"/>
  <c r="C48" i="14"/>
  <c r="C90" i="14"/>
  <c r="E47" i="14"/>
  <c r="C47" i="14"/>
  <c r="F47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C35" i="14"/>
  <c r="E35" i="14"/>
  <c r="C30" i="14"/>
  <c r="C31" i="14"/>
  <c r="C29" i="14"/>
  <c r="E29" i="14"/>
  <c r="E28" i="14"/>
  <c r="F28" i="14"/>
  <c r="E27" i="14"/>
  <c r="F27" i="14"/>
  <c r="C24" i="14"/>
  <c r="E24" i="14"/>
  <c r="C23" i="14"/>
  <c r="E22" i="14"/>
  <c r="F22" i="14"/>
  <c r="C20" i="14"/>
  <c r="C21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0" i="13"/>
  <c r="F20" i="13"/>
  <c r="D17" i="13"/>
  <c r="E17" i="13"/>
  <c r="F17" i="13"/>
  <c r="C17" i="13"/>
  <c r="E16" i="13"/>
  <c r="F16" i="13"/>
  <c r="D13" i="13"/>
  <c r="C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E83" i="12"/>
  <c r="F83" i="12"/>
  <c r="E82" i="12"/>
  <c r="F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E59" i="12"/>
  <c r="F59" i="12"/>
  <c r="E58" i="12"/>
  <c r="F58" i="12"/>
  <c r="D55" i="12"/>
  <c r="E55" i="12"/>
  <c r="C55" i="12"/>
  <c r="E54" i="12"/>
  <c r="F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F36" i="12"/>
  <c r="E36" i="12"/>
  <c r="E35" i="12"/>
  <c r="F35" i="12"/>
  <c r="E34" i="12"/>
  <c r="F34" i="12"/>
  <c r="E33" i="12"/>
  <c r="F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D17" i="11"/>
  <c r="D31" i="11"/>
  <c r="F31" i="11"/>
  <c r="D33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D50" i="10"/>
  <c r="C54" i="10"/>
  <c r="E50" i="10"/>
  <c r="C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C39" i="9"/>
  <c r="E38" i="9"/>
  <c r="F38" i="9"/>
  <c r="F37" i="9"/>
  <c r="E37" i="9"/>
  <c r="E36" i="9"/>
  <c r="F36" i="9"/>
  <c r="D31" i="9"/>
  <c r="C31" i="9"/>
  <c r="E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F64" i="8"/>
  <c r="E64" i="8"/>
  <c r="E63" i="8"/>
  <c r="F63" i="8"/>
  <c r="D61" i="8"/>
  <c r="D65" i="8"/>
  <c r="C61" i="8"/>
  <c r="F60" i="8"/>
  <c r="E60" i="8"/>
  <c r="E59" i="8"/>
  <c r="F59" i="8"/>
  <c r="D56" i="8"/>
  <c r="E56" i="8"/>
  <c r="C56" i="8"/>
  <c r="E55" i="8"/>
  <c r="F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F27" i="8"/>
  <c r="E27" i="8"/>
  <c r="E26" i="8"/>
  <c r="F26" i="8"/>
  <c r="E25" i="8"/>
  <c r="F25" i="8"/>
  <c r="D22" i="8"/>
  <c r="E22" i="8"/>
  <c r="C22" i="8"/>
  <c r="E21" i="8"/>
  <c r="F21" i="8"/>
  <c r="E20" i="8"/>
  <c r="F20" i="8"/>
  <c r="E19" i="8"/>
  <c r="F19" i="8"/>
  <c r="F18" i="8"/>
  <c r="E18" i="8"/>
  <c r="E17" i="8"/>
  <c r="F17" i="8"/>
  <c r="E16" i="8"/>
  <c r="F16" i="8"/>
  <c r="E15" i="8"/>
  <c r="F15" i="8"/>
  <c r="E14" i="8"/>
  <c r="F14" i="8"/>
  <c r="E13" i="8"/>
  <c r="F13" i="8"/>
  <c r="D120" i="7"/>
  <c r="C120" i="7"/>
  <c r="E120" i="7"/>
  <c r="D119" i="7"/>
  <c r="E119" i="7"/>
  <c r="C119" i="7"/>
  <c r="D118" i="7"/>
  <c r="E118" i="7"/>
  <c r="C118" i="7"/>
  <c r="D117" i="7"/>
  <c r="C117" i="7"/>
  <c r="E117" i="7"/>
  <c r="D116" i="7"/>
  <c r="C116" i="7"/>
  <c r="E116" i="7"/>
  <c r="D115" i="7"/>
  <c r="E115" i="7"/>
  <c r="C115" i="7"/>
  <c r="D114" i="7"/>
  <c r="E114" i="7"/>
  <c r="C114" i="7"/>
  <c r="D113" i="7"/>
  <c r="D122" i="7"/>
  <c r="C113" i="7"/>
  <c r="C122" i="7"/>
  <c r="D112" i="7"/>
  <c r="D121" i="7"/>
  <c r="C112" i="7"/>
  <c r="D108" i="7"/>
  <c r="C108" i="7"/>
  <c r="E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C95" i="7"/>
  <c r="E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C48" i="7"/>
  <c r="F48" i="7"/>
  <c r="D47" i="7"/>
  <c r="C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E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D205" i="6"/>
  <c r="C205" i="6"/>
  <c r="E205" i="6"/>
  <c r="D204" i="6"/>
  <c r="E204" i="6"/>
  <c r="C204" i="6"/>
  <c r="D203" i="6"/>
  <c r="C203" i="6"/>
  <c r="E203" i="6"/>
  <c r="D202" i="6"/>
  <c r="C202" i="6"/>
  <c r="D201" i="6"/>
  <c r="C201" i="6"/>
  <c r="E201" i="6"/>
  <c r="D200" i="6"/>
  <c r="C200" i="6"/>
  <c r="E200" i="6"/>
  <c r="D199" i="6"/>
  <c r="E199" i="6"/>
  <c r="C199" i="6"/>
  <c r="D198" i="6"/>
  <c r="D207" i="6"/>
  <c r="C198" i="6"/>
  <c r="D193" i="6"/>
  <c r="C193" i="6"/>
  <c r="E193" i="6"/>
  <c r="D192" i="6"/>
  <c r="E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E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F102" i="6"/>
  <c r="D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E62" i="6"/>
  <c r="C62" i="6"/>
  <c r="E61" i="6"/>
  <c r="F61" i="6"/>
  <c r="E60" i="6"/>
  <c r="F60" i="6"/>
  <c r="F59" i="6"/>
  <c r="E59" i="6"/>
  <c r="E58" i="6"/>
  <c r="F58" i="6"/>
  <c r="E57" i="6"/>
  <c r="F57" i="6"/>
  <c r="E56" i="6"/>
  <c r="F56" i="6"/>
  <c r="F55" i="6"/>
  <c r="E55" i="6"/>
  <c r="E54" i="6"/>
  <c r="F54" i="6"/>
  <c r="E53" i="6"/>
  <c r="F53" i="6"/>
  <c r="D50" i="6"/>
  <c r="E50" i="6"/>
  <c r="C50" i="6"/>
  <c r="D49" i="6"/>
  <c r="E49" i="6"/>
  <c r="C49" i="6"/>
  <c r="E48" i="6"/>
  <c r="F48" i="6"/>
  <c r="F47" i="6"/>
  <c r="E47" i="6"/>
  <c r="E46" i="6"/>
  <c r="F46" i="6"/>
  <c r="E45" i="6"/>
  <c r="F45" i="6"/>
  <c r="E44" i="6"/>
  <c r="F44" i="6"/>
  <c r="F43" i="6"/>
  <c r="E43" i="6"/>
  <c r="E42" i="6"/>
  <c r="F42" i="6"/>
  <c r="E41" i="6"/>
  <c r="F41" i="6"/>
  <c r="E40" i="6"/>
  <c r="F40" i="6"/>
  <c r="D37" i="6"/>
  <c r="E37" i="6"/>
  <c r="F37" i="6"/>
  <c r="C37" i="6"/>
  <c r="D36" i="6"/>
  <c r="E36" i="6"/>
  <c r="F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F24" i="6"/>
  <c r="C24" i="6"/>
  <c r="D23" i="6"/>
  <c r="E23" i="6"/>
  <c r="F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E75" i="5"/>
  <c r="E88" i="5"/>
  <c r="E90" i="5"/>
  <c r="E86" i="5"/>
  <c r="D75" i="5"/>
  <c r="D77" i="5"/>
  <c r="D71" i="5"/>
  <c r="C75" i="5"/>
  <c r="C88" i="5"/>
  <c r="C90" i="5"/>
  <c r="C86" i="5"/>
  <c r="E74" i="5"/>
  <c r="D74" i="5"/>
  <c r="C74" i="5"/>
  <c r="E67" i="5"/>
  <c r="D67" i="5"/>
  <c r="C67" i="5"/>
  <c r="E38" i="5"/>
  <c r="E57" i="5"/>
  <c r="E62" i="5"/>
  <c r="D38" i="5"/>
  <c r="D53" i="5"/>
  <c r="C38" i="5"/>
  <c r="C43" i="5"/>
  <c r="E33" i="5"/>
  <c r="E34" i="5"/>
  <c r="D33" i="5"/>
  <c r="D34" i="5"/>
  <c r="E26" i="5"/>
  <c r="D26" i="5"/>
  <c r="C26" i="5"/>
  <c r="C25" i="5"/>
  <c r="C27" i="5"/>
  <c r="C15" i="5"/>
  <c r="C24" i="5"/>
  <c r="E13" i="5"/>
  <c r="E25" i="5"/>
  <c r="E27" i="5"/>
  <c r="D13" i="5"/>
  <c r="D15" i="5"/>
  <c r="C13" i="5"/>
  <c r="F174" i="4"/>
  <c r="E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F155" i="4"/>
  <c r="C155" i="4"/>
  <c r="E154" i="4"/>
  <c r="F154" i="4"/>
  <c r="E153" i="4"/>
  <c r="F153" i="4"/>
  <c r="E152" i="4"/>
  <c r="F152" i="4"/>
  <c r="E151" i="4"/>
  <c r="F151" i="4"/>
  <c r="F150" i="4"/>
  <c r="E150" i="4"/>
  <c r="E149" i="4"/>
  <c r="F149" i="4"/>
  <c r="E148" i="4"/>
  <c r="F148" i="4"/>
  <c r="F147" i="4"/>
  <c r="E147" i="4"/>
  <c r="E146" i="4"/>
  <c r="F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E139" i="4"/>
  <c r="F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7" i="4"/>
  <c r="F117" i="4"/>
  <c r="E116" i="4"/>
  <c r="F116" i="4"/>
  <c r="E115" i="4"/>
  <c r="F115" i="4"/>
  <c r="E114" i="4"/>
  <c r="F114" i="4"/>
  <c r="F113" i="4"/>
  <c r="E113" i="4"/>
  <c r="E112" i="4"/>
  <c r="F112" i="4"/>
  <c r="D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E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E40" i="4"/>
  <c r="F40" i="4"/>
  <c r="E39" i="4"/>
  <c r="F39" i="4"/>
  <c r="E38" i="4"/>
  <c r="F38" i="4"/>
  <c r="D35" i="4"/>
  <c r="C35" i="4"/>
  <c r="C83" i="4"/>
  <c r="E34" i="4"/>
  <c r="F34" i="4"/>
  <c r="E33" i="4"/>
  <c r="F33" i="4"/>
  <c r="D30" i="4"/>
  <c r="C30" i="4"/>
  <c r="E30" i="4"/>
  <c r="E29" i="4"/>
  <c r="F29" i="4"/>
  <c r="E28" i="4"/>
  <c r="F28" i="4"/>
  <c r="E27" i="4"/>
  <c r="F27" i="4"/>
  <c r="D24" i="4"/>
  <c r="C24" i="4"/>
  <c r="E24" i="4"/>
  <c r="E23" i="4"/>
  <c r="F23" i="4"/>
  <c r="E22" i="4"/>
  <c r="F22" i="4"/>
  <c r="E21" i="4"/>
  <c r="F21" i="4"/>
  <c r="D18" i="4"/>
  <c r="C18" i="4"/>
  <c r="E18" i="4"/>
  <c r="E17" i="4"/>
  <c r="F17" i="4"/>
  <c r="E16" i="4"/>
  <c r="F16" i="4"/>
  <c r="E15" i="4"/>
  <c r="F15" i="4"/>
  <c r="D179" i="3"/>
  <c r="C179" i="3"/>
  <c r="E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E95" i="3"/>
  <c r="F95" i="3"/>
  <c r="C84" i="3"/>
  <c r="C95" i="3"/>
  <c r="D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/>
  <c r="C41" i="3"/>
  <c r="C52" i="3"/>
  <c r="D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C39" i="2"/>
  <c r="E38" i="2"/>
  <c r="F38" i="2"/>
  <c r="F37" i="2"/>
  <c r="E37" i="2"/>
  <c r="E36" i="2"/>
  <c r="F36" i="2"/>
  <c r="D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/>
  <c r="F16" i="2"/>
  <c r="C16" i="2"/>
  <c r="C19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F64" i="1"/>
  <c r="E64" i="1"/>
  <c r="E63" i="1"/>
  <c r="F63" i="1"/>
  <c r="D61" i="1"/>
  <c r="C61" i="1"/>
  <c r="F60" i="1"/>
  <c r="E60" i="1"/>
  <c r="F59" i="1"/>
  <c r="E59" i="1"/>
  <c r="D56" i="1"/>
  <c r="E56" i="1"/>
  <c r="F56" i="1"/>
  <c r="C56" i="1"/>
  <c r="E55" i="1"/>
  <c r="F55" i="1"/>
  <c r="F54" i="1"/>
  <c r="E54" i="1"/>
  <c r="E53" i="1"/>
  <c r="F53" i="1"/>
  <c r="E52" i="1"/>
  <c r="F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C38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E22" i="1"/>
  <c r="F22" i="1"/>
  <c r="C22" i="1"/>
  <c r="E21" i="1"/>
  <c r="F21" i="1"/>
  <c r="E20" i="1"/>
  <c r="F20" i="1"/>
  <c r="E19" i="1"/>
  <c r="F19" i="1"/>
  <c r="F18" i="1"/>
  <c r="E18" i="1"/>
  <c r="F17" i="1"/>
  <c r="E17" i="1"/>
  <c r="E16" i="1"/>
  <c r="F16" i="1"/>
  <c r="E15" i="1"/>
  <c r="F15" i="1"/>
  <c r="E14" i="1"/>
  <c r="F14" i="1"/>
  <c r="E13" i="1"/>
  <c r="F13" i="1"/>
  <c r="F101" i="14"/>
  <c r="D181" i="14"/>
  <c r="E181" i="14"/>
  <c r="F181" i="14"/>
  <c r="D124" i="14"/>
  <c r="D288" i="14"/>
  <c r="D286" i="14"/>
  <c r="D274" i="14"/>
  <c r="C33" i="2"/>
  <c r="E139" i="5"/>
  <c r="E135" i="5"/>
  <c r="E138" i="5"/>
  <c r="E137" i="5"/>
  <c r="E140" i="5"/>
  <c r="E136" i="5"/>
  <c r="D138" i="5"/>
  <c r="D137" i="5"/>
  <c r="D140" i="5"/>
  <c r="D136" i="5"/>
  <c r="D139" i="5"/>
  <c r="D135" i="5"/>
  <c r="D21" i="10"/>
  <c r="E21" i="5"/>
  <c r="C137" i="5"/>
  <c r="C140" i="5"/>
  <c r="C136" i="5"/>
  <c r="C139" i="5"/>
  <c r="C135" i="5"/>
  <c r="C138" i="5"/>
  <c r="E156" i="5"/>
  <c r="E152" i="5"/>
  <c r="E155" i="5"/>
  <c r="E154" i="5"/>
  <c r="E157" i="5"/>
  <c r="E153" i="5"/>
  <c r="D155" i="5"/>
  <c r="D154" i="5"/>
  <c r="D157" i="5"/>
  <c r="D153" i="5"/>
  <c r="D156" i="5"/>
  <c r="D152" i="5"/>
  <c r="D24" i="5"/>
  <c r="D17" i="5"/>
  <c r="C21" i="5"/>
  <c r="C20" i="5"/>
  <c r="C154" i="5"/>
  <c r="C157" i="5"/>
  <c r="C153" i="5"/>
  <c r="C156" i="5"/>
  <c r="C152" i="5"/>
  <c r="C158" i="5"/>
  <c r="C155" i="5"/>
  <c r="E52" i="3"/>
  <c r="F52" i="3"/>
  <c r="E122" i="7"/>
  <c r="F122" i="7"/>
  <c r="E25" i="10"/>
  <c r="E27" i="10"/>
  <c r="E15" i="10"/>
  <c r="C59" i="10"/>
  <c r="C61" i="10"/>
  <c r="C57" i="10"/>
  <c r="C48" i="10"/>
  <c r="C42" i="10"/>
  <c r="E60" i="14"/>
  <c r="F60" i="14"/>
  <c r="C61" i="14"/>
  <c r="C49" i="5"/>
  <c r="F114" i="6"/>
  <c r="E154" i="6"/>
  <c r="F23" i="7"/>
  <c r="E48" i="7"/>
  <c r="E83" i="7"/>
  <c r="F96" i="7"/>
  <c r="F107" i="7"/>
  <c r="F114" i="7"/>
  <c r="F118" i="7"/>
  <c r="C41" i="8"/>
  <c r="G31" i="11"/>
  <c r="C33" i="11"/>
  <c r="C36" i="11"/>
  <c r="C38" i="11"/>
  <c r="C40" i="11"/>
  <c r="E31" i="14"/>
  <c r="F31" i="14"/>
  <c r="C32" i="14"/>
  <c r="D41" i="1"/>
  <c r="D65" i="1"/>
  <c r="E31" i="2"/>
  <c r="F31" i="2"/>
  <c r="E41" i="3"/>
  <c r="F41" i="3"/>
  <c r="E84" i="3"/>
  <c r="F84" i="3"/>
  <c r="C17" i="5"/>
  <c r="D25" i="5"/>
  <c r="D27" i="5"/>
  <c r="E43" i="5"/>
  <c r="C53" i="5"/>
  <c r="D88" i="5"/>
  <c r="D90" i="5"/>
  <c r="D86" i="5"/>
  <c r="E88" i="6"/>
  <c r="E101" i="6"/>
  <c r="F115" i="6"/>
  <c r="F127" i="6"/>
  <c r="F199" i="6"/>
  <c r="F203" i="6"/>
  <c r="C207" i="6"/>
  <c r="F24" i="7"/>
  <c r="F35" i="7"/>
  <c r="E72" i="7"/>
  <c r="E84" i="7"/>
  <c r="F108" i="7"/>
  <c r="E113" i="7"/>
  <c r="F115" i="7"/>
  <c r="F119" i="7"/>
  <c r="F22" i="8"/>
  <c r="F29" i="8"/>
  <c r="C43" i="8"/>
  <c r="D75" i="8"/>
  <c r="F31" i="9"/>
  <c r="E46" i="9"/>
  <c r="F33" i="11"/>
  <c r="F36" i="11"/>
  <c r="F38" i="11"/>
  <c r="F40" i="11"/>
  <c r="D36" i="11"/>
  <c r="D38" i="11"/>
  <c r="D40" i="11"/>
  <c r="F55" i="12"/>
  <c r="C15" i="10"/>
  <c r="C25" i="10"/>
  <c r="C27" i="10"/>
  <c r="E48" i="10"/>
  <c r="E42" i="10"/>
  <c r="E59" i="10"/>
  <c r="E61" i="10"/>
  <c r="E57" i="10"/>
  <c r="E103" i="14"/>
  <c r="F103" i="14"/>
  <c r="D83" i="4"/>
  <c r="E83" i="4"/>
  <c r="D176" i="4"/>
  <c r="E49" i="5"/>
  <c r="C57" i="5"/>
  <c r="C62" i="5"/>
  <c r="F49" i="6"/>
  <c r="F62" i="6"/>
  <c r="E76" i="6"/>
  <c r="F76" i="6"/>
  <c r="E89" i="6"/>
  <c r="E102" i="6"/>
  <c r="F128" i="6"/>
  <c r="F192" i="6"/>
  <c r="E198" i="6"/>
  <c r="F198" i="6"/>
  <c r="F200" i="6"/>
  <c r="E202" i="6"/>
  <c r="F202" i="6"/>
  <c r="F204" i="6"/>
  <c r="E206" i="6"/>
  <c r="F206" i="6"/>
  <c r="F36" i="7"/>
  <c r="F59" i="7"/>
  <c r="F116" i="7"/>
  <c r="F120" i="7"/>
  <c r="E38" i="8"/>
  <c r="F38" i="8"/>
  <c r="F56" i="8"/>
  <c r="E61" i="8"/>
  <c r="F61" i="8"/>
  <c r="C65" i="8"/>
  <c r="C33" i="9"/>
  <c r="E39" i="9"/>
  <c r="F39" i="9"/>
  <c r="E30" i="12"/>
  <c r="E37" i="12"/>
  <c r="F37" i="12"/>
  <c r="F50" i="12"/>
  <c r="E60" i="12"/>
  <c r="F60" i="12"/>
  <c r="F70" i="12"/>
  <c r="F50" i="6"/>
  <c r="F63" i="6"/>
  <c r="F75" i="6"/>
  <c r="F193" i="6"/>
  <c r="F201" i="6"/>
  <c r="F205" i="6"/>
  <c r="C208" i="6"/>
  <c r="F60" i="7"/>
  <c r="F95" i="7"/>
  <c r="F113" i="7"/>
  <c r="F117" i="7"/>
  <c r="C121" i="7"/>
  <c r="F73" i="8"/>
  <c r="E19" i="9"/>
  <c r="F19" i="9"/>
  <c r="E80" i="10"/>
  <c r="E77" i="10"/>
  <c r="G17" i="11"/>
  <c r="E33" i="11"/>
  <c r="F16" i="12"/>
  <c r="F23" i="12"/>
  <c r="F45" i="12"/>
  <c r="F65" i="12"/>
  <c r="E75" i="12"/>
  <c r="F75" i="12"/>
  <c r="F84" i="12"/>
  <c r="C161" i="14"/>
  <c r="C172" i="14"/>
  <c r="E203" i="14"/>
  <c r="F203" i="14"/>
  <c r="C283" i="14"/>
  <c r="C205" i="14"/>
  <c r="E238" i="14"/>
  <c r="F238" i="14"/>
  <c r="E299" i="14"/>
  <c r="F299" i="14"/>
  <c r="E21" i="15"/>
  <c r="D283" i="15"/>
  <c r="E260" i="15"/>
  <c r="D90" i="14"/>
  <c r="E90" i="14"/>
  <c r="F90" i="14"/>
  <c r="D160" i="14"/>
  <c r="D125" i="14"/>
  <c r="D104" i="14"/>
  <c r="D174" i="14"/>
  <c r="E92" i="12"/>
  <c r="F92" i="12"/>
  <c r="E13" i="13"/>
  <c r="F13" i="13"/>
  <c r="E21" i="13"/>
  <c r="F21" i="13"/>
  <c r="F17" i="14"/>
  <c r="F36" i="14"/>
  <c r="F85" i="14"/>
  <c r="F94" i="14"/>
  <c r="C160" i="14"/>
  <c r="E160" i="14"/>
  <c r="C43" i="15"/>
  <c r="E159" i="14"/>
  <c r="F159" i="14"/>
  <c r="E170" i="14"/>
  <c r="F170" i="14"/>
  <c r="C274" i="14"/>
  <c r="F198" i="14"/>
  <c r="C199" i="14"/>
  <c r="E250" i="14"/>
  <c r="F250" i="14"/>
  <c r="E295" i="14"/>
  <c r="F295" i="14"/>
  <c r="C283" i="15"/>
  <c r="C22" i="15"/>
  <c r="C284" i="15"/>
  <c r="C168" i="15"/>
  <c r="C145" i="15"/>
  <c r="D320" i="15"/>
  <c r="E320" i="15"/>
  <c r="E316" i="15"/>
  <c r="D330" i="15"/>
  <c r="E330" i="15"/>
  <c r="E326" i="15"/>
  <c r="D41" i="17"/>
  <c r="E39" i="17"/>
  <c r="F99" i="12"/>
  <c r="E30" i="14"/>
  <c r="F30" i="14"/>
  <c r="E48" i="14"/>
  <c r="F48" i="14"/>
  <c r="E59" i="14"/>
  <c r="F59" i="14"/>
  <c r="C68" i="14"/>
  <c r="E102" i="14"/>
  <c r="F102" i="14"/>
  <c r="C111" i="14"/>
  <c r="F129" i="14"/>
  <c r="E39" i="15"/>
  <c r="F226" i="14"/>
  <c r="C227" i="14"/>
  <c r="F278" i="14"/>
  <c r="E32" i="15"/>
  <c r="F39" i="17"/>
  <c r="C108" i="19"/>
  <c r="C109" i="19"/>
  <c r="D193" i="14"/>
  <c r="D254" i="14"/>
  <c r="F24" i="14"/>
  <c r="F44" i="14"/>
  <c r="F53" i="14"/>
  <c r="F67" i="14"/>
  <c r="F89" i="14"/>
  <c r="C91" i="14"/>
  <c r="F100" i="14"/>
  <c r="F110" i="14"/>
  <c r="F144" i="14"/>
  <c r="C146" i="14"/>
  <c r="C44" i="15"/>
  <c r="C192" i="14"/>
  <c r="C124" i="14"/>
  <c r="C125" i="14"/>
  <c r="C126" i="14"/>
  <c r="E180" i="14"/>
  <c r="F180" i="14"/>
  <c r="C262" i="14"/>
  <c r="C255" i="14"/>
  <c r="E189" i="14"/>
  <c r="C215" i="14"/>
  <c r="F189" i="14"/>
  <c r="F204" i="14"/>
  <c r="C269" i="14"/>
  <c r="E223" i="14"/>
  <c r="F223" i="14"/>
  <c r="C284" i="14"/>
  <c r="C287" i="14"/>
  <c r="C279" i="14"/>
  <c r="E33" i="15"/>
  <c r="C46" i="19"/>
  <c r="C40" i="19"/>
  <c r="C36" i="19"/>
  <c r="C30" i="19"/>
  <c r="C111" i="19"/>
  <c r="C54" i="19"/>
  <c r="E109" i="19"/>
  <c r="E108" i="19"/>
  <c r="F17" i="11"/>
  <c r="F35" i="14"/>
  <c r="C37" i="14"/>
  <c r="C49" i="14"/>
  <c r="E120" i="14"/>
  <c r="F120" i="14"/>
  <c r="C137" i="14"/>
  <c r="E171" i="14"/>
  <c r="F171" i="14"/>
  <c r="C214" i="14"/>
  <c r="E229" i="14"/>
  <c r="F229" i="14"/>
  <c r="C239" i="14"/>
  <c r="C267" i="14"/>
  <c r="C285" i="14"/>
  <c r="C288" i="14"/>
  <c r="E290" i="14"/>
  <c r="F290" i="14"/>
  <c r="E296" i="14"/>
  <c r="F296" i="14"/>
  <c r="D22" i="15"/>
  <c r="C76" i="15"/>
  <c r="E189" i="15"/>
  <c r="C65" i="16"/>
  <c r="C114" i="16"/>
  <c r="C116" i="16"/>
  <c r="C119" i="16"/>
  <c r="C123" i="16"/>
  <c r="C254" i="14"/>
  <c r="C261" i="14"/>
  <c r="E54" i="15"/>
  <c r="E60" i="15"/>
  <c r="E70" i="15"/>
  <c r="E139" i="15"/>
  <c r="C163" i="15"/>
  <c r="E163" i="15"/>
  <c r="E188" i="15"/>
  <c r="D210" i="15"/>
  <c r="D217" i="15"/>
  <c r="E218" i="15"/>
  <c r="E233" i="15"/>
  <c r="D239" i="15"/>
  <c r="C242" i="15"/>
  <c r="E242" i="15"/>
  <c r="D243" i="15"/>
  <c r="E251" i="15"/>
  <c r="C37" i="16"/>
  <c r="C38" i="16"/>
  <c r="C127" i="16"/>
  <c r="C129" i="16"/>
  <c r="C133" i="16"/>
  <c r="C20" i="17"/>
  <c r="E20" i="17"/>
  <c r="C40" i="17"/>
  <c r="C46" i="17"/>
  <c r="C33" i="19"/>
  <c r="D54" i="19"/>
  <c r="C101" i="19"/>
  <c r="C103" i="19"/>
  <c r="D102" i="19"/>
  <c r="D103" i="19"/>
  <c r="E111" i="19"/>
  <c r="D138" i="14"/>
  <c r="D139" i="14"/>
  <c r="D267" i="14"/>
  <c r="D277" i="14"/>
  <c r="D306" i="14"/>
  <c r="E306" i="14"/>
  <c r="C200" i="14"/>
  <c r="E151" i="15"/>
  <c r="C175" i="15"/>
  <c r="E195" i="15"/>
  <c r="E215" i="15"/>
  <c r="C217" i="15"/>
  <c r="C241" i="15"/>
  <c r="D222" i="15"/>
  <c r="D229" i="15"/>
  <c r="E229" i="15"/>
  <c r="C239" i="15"/>
  <c r="D240" i="15"/>
  <c r="D244" i="15"/>
  <c r="E244" i="15"/>
  <c r="C261" i="15"/>
  <c r="C289" i="15"/>
  <c r="E289" i="15"/>
  <c r="E314" i="15"/>
  <c r="C49" i="16"/>
  <c r="E30" i="19"/>
  <c r="C34" i="19"/>
  <c r="E36" i="19"/>
  <c r="E40" i="19"/>
  <c r="E46" i="19"/>
  <c r="D111" i="19"/>
  <c r="D105" i="14"/>
  <c r="D206" i="14"/>
  <c r="E206" i="14"/>
  <c r="F206" i="14"/>
  <c r="D262" i="14"/>
  <c r="D266" i="14"/>
  <c r="D280" i="14"/>
  <c r="E324" i="15"/>
  <c r="E19" i="17"/>
  <c r="F19" i="17"/>
  <c r="E43" i="17"/>
  <c r="E46" i="17"/>
  <c r="C22" i="19"/>
  <c r="D30" i="19"/>
  <c r="E33" i="19"/>
  <c r="D36" i="19"/>
  <c r="D40" i="19"/>
  <c r="E101" i="19"/>
  <c r="E103" i="19"/>
  <c r="D108" i="19"/>
  <c r="D62" i="14"/>
  <c r="D199" i="14"/>
  <c r="E199" i="14"/>
  <c r="D205" i="14"/>
  <c r="E205" i="14"/>
  <c r="D215" i="14"/>
  <c r="D261" i="14"/>
  <c r="C65" i="15"/>
  <c r="C66" i="15"/>
  <c r="C247" i="15"/>
  <c r="D156" i="15"/>
  <c r="D21" i="14"/>
  <c r="D190" i="14"/>
  <c r="C127" i="14"/>
  <c r="D126" i="14"/>
  <c r="D91" i="14"/>
  <c r="D49" i="14"/>
  <c r="D161" i="14"/>
  <c r="E21" i="14"/>
  <c r="F21" i="14"/>
  <c r="C270" i="14"/>
  <c r="C216" i="14"/>
  <c r="F214" i="14"/>
  <c r="E214" i="14"/>
  <c r="C272" i="14"/>
  <c r="C99" i="15"/>
  <c r="C95" i="15"/>
  <c r="C88" i="15"/>
  <c r="C84" i="15"/>
  <c r="C258" i="15"/>
  <c r="C98" i="15"/>
  <c r="C87" i="15"/>
  <c r="C83" i="15"/>
  <c r="C101" i="15"/>
  <c r="C97" i="15"/>
  <c r="C86" i="15"/>
  <c r="C100" i="15"/>
  <c r="C96" i="15"/>
  <c r="C102" i="15"/>
  <c r="C89" i="15"/>
  <c r="C85" i="15"/>
  <c r="D194" i="14"/>
  <c r="E111" i="14"/>
  <c r="F111" i="14"/>
  <c r="E36" i="11"/>
  <c r="E38" i="11"/>
  <c r="E40" i="11"/>
  <c r="G33" i="11"/>
  <c r="G36" i="11"/>
  <c r="G38" i="11"/>
  <c r="G40" i="11"/>
  <c r="C112" i="5"/>
  <c r="C111" i="5"/>
  <c r="C28" i="5"/>
  <c r="E24" i="10"/>
  <c r="E17" i="10"/>
  <c r="E28" i="10"/>
  <c r="E70" i="10"/>
  <c r="E72" i="10"/>
  <c r="E69" i="10"/>
  <c r="D112" i="5"/>
  <c r="D111" i="5"/>
  <c r="D28" i="5"/>
  <c r="D99" i="5"/>
  <c r="D101" i="5"/>
  <c r="D98" i="5"/>
  <c r="C41" i="2"/>
  <c r="D252" i="15"/>
  <c r="C246" i="15"/>
  <c r="F43" i="17"/>
  <c r="F205" i="14"/>
  <c r="E158" i="5"/>
  <c r="D255" i="14"/>
  <c r="E255" i="14"/>
  <c r="E215" i="14"/>
  <c r="D63" i="14"/>
  <c r="C45" i="19"/>
  <c r="C39" i="19"/>
  <c r="C35" i="19"/>
  <c r="C29" i="19"/>
  <c r="C110" i="19"/>
  <c r="C53" i="19"/>
  <c r="E200" i="14"/>
  <c r="F200" i="14"/>
  <c r="D268" i="14"/>
  <c r="D271" i="14"/>
  <c r="D263" i="14"/>
  <c r="E261" i="14"/>
  <c r="D113" i="19"/>
  <c r="D56" i="19"/>
  <c r="D48" i="19"/>
  <c r="D38" i="19"/>
  <c r="D272" i="14"/>
  <c r="E272" i="14"/>
  <c r="E262" i="14"/>
  <c r="F262" i="14"/>
  <c r="E48" i="19"/>
  <c r="E38" i="19"/>
  <c r="E113" i="19"/>
  <c r="E56" i="19"/>
  <c r="D253" i="15"/>
  <c r="D270" i="14"/>
  <c r="E270" i="14"/>
  <c r="E267" i="14"/>
  <c r="F267" i="14"/>
  <c r="D284" i="15"/>
  <c r="E284" i="15"/>
  <c r="E22" i="15"/>
  <c r="E285" i="14"/>
  <c r="F285" i="14"/>
  <c r="C207" i="14"/>
  <c r="E137" i="14"/>
  <c r="F137" i="14"/>
  <c r="C138" i="14"/>
  <c r="E124" i="14"/>
  <c r="F124" i="14"/>
  <c r="E274" i="14"/>
  <c r="F274" i="14"/>
  <c r="C173" i="14"/>
  <c r="E172" i="14"/>
  <c r="F172" i="14"/>
  <c r="C41" i="9"/>
  <c r="D22" i="5"/>
  <c r="D21" i="5"/>
  <c r="D20" i="5"/>
  <c r="C139" i="14"/>
  <c r="E139" i="14"/>
  <c r="C174" i="14"/>
  <c r="E61" i="14"/>
  <c r="F61" i="14"/>
  <c r="C104" i="14"/>
  <c r="E138" i="14"/>
  <c r="D140" i="14"/>
  <c r="F46" i="17"/>
  <c r="F255" i="14"/>
  <c r="C77" i="15"/>
  <c r="E192" i="14"/>
  <c r="F192" i="14"/>
  <c r="C41" i="17"/>
  <c r="F160" i="14"/>
  <c r="E283" i="15"/>
  <c r="C295" i="15"/>
  <c r="C141" i="5"/>
  <c r="D141" i="5"/>
  <c r="E239" i="14"/>
  <c r="F239" i="14"/>
  <c r="C56" i="19"/>
  <c r="C48" i="19"/>
  <c r="C38" i="19"/>
  <c r="C113" i="19"/>
  <c r="C291" i="14"/>
  <c r="C289" i="14"/>
  <c r="E269" i="14"/>
  <c r="F269" i="14"/>
  <c r="E254" i="14"/>
  <c r="F254" i="14"/>
  <c r="E68" i="14"/>
  <c r="F68" i="14"/>
  <c r="C169" i="15"/>
  <c r="C17" i="10"/>
  <c r="C28" i="10"/>
  <c r="C24" i="10"/>
  <c r="E32" i="14"/>
  <c r="F32" i="14"/>
  <c r="C175" i="14"/>
  <c r="C105" i="14"/>
  <c r="C62" i="14"/>
  <c r="C140" i="14"/>
  <c r="C294" i="15"/>
  <c r="E104" i="14"/>
  <c r="E33" i="9"/>
  <c r="F33" i="9"/>
  <c r="D43" i="1"/>
  <c r="D158" i="5"/>
  <c r="C75" i="8"/>
  <c r="D106" i="14"/>
  <c r="E105" i="14"/>
  <c r="E222" i="15"/>
  <c r="D287" i="14"/>
  <c r="D279" i="14"/>
  <c r="E279" i="14"/>
  <c r="D284" i="14"/>
  <c r="E284" i="14"/>
  <c r="F284" i="14"/>
  <c r="E277" i="14"/>
  <c r="F277" i="14"/>
  <c r="D234" i="15"/>
  <c r="D211" i="15"/>
  <c r="F261" i="14"/>
  <c r="C268" i="14"/>
  <c r="C271" i="14"/>
  <c r="C263" i="14"/>
  <c r="E37" i="14"/>
  <c r="F37" i="14"/>
  <c r="E156" i="15"/>
  <c r="D157" i="15"/>
  <c r="E280" i="14"/>
  <c r="F280" i="14"/>
  <c r="E217" i="15"/>
  <c r="D241" i="15"/>
  <c r="E241" i="15"/>
  <c r="C50" i="14"/>
  <c r="C92" i="14"/>
  <c r="E227" i="14"/>
  <c r="F227" i="14"/>
  <c r="C286" i="14"/>
  <c r="E283" i="14"/>
  <c r="F283" i="14"/>
  <c r="C162" i="14"/>
  <c r="F121" i="7"/>
  <c r="E121" i="7"/>
  <c r="C20" i="10"/>
  <c r="C21" i="10"/>
  <c r="F207" i="6"/>
  <c r="E207" i="6"/>
  <c r="E41" i="8"/>
  <c r="F41" i="8"/>
  <c r="E20" i="10"/>
  <c r="E22" i="10"/>
  <c r="E21" i="10"/>
  <c r="E239" i="15"/>
  <c r="F20" i="17"/>
  <c r="E146" i="14"/>
  <c r="F146" i="14"/>
  <c r="F279" i="14"/>
  <c r="F215" i="14"/>
  <c r="D282" i="14"/>
  <c r="D216" i="14"/>
  <c r="E216" i="14"/>
  <c r="F216" i="14"/>
  <c r="E40" i="17"/>
  <c r="F40" i="17"/>
  <c r="C304" i="14"/>
  <c r="F199" i="14"/>
  <c r="D223" i="15"/>
  <c r="C259" i="15"/>
  <c r="C263" i="15"/>
  <c r="E174" i="14"/>
  <c r="E125" i="14"/>
  <c r="F125" i="14"/>
  <c r="E75" i="8"/>
  <c r="D75" i="1"/>
  <c r="E65" i="8"/>
  <c r="F65" i="8"/>
  <c r="E141" i="5"/>
  <c r="E223" i="15"/>
  <c r="E157" i="15"/>
  <c r="D235" i="15"/>
  <c r="C63" i="14"/>
  <c r="D141" i="14"/>
  <c r="E140" i="14"/>
  <c r="F140" i="14"/>
  <c r="D195" i="14"/>
  <c r="C264" i="15"/>
  <c r="C266" i="15"/>
  <c r="C267" i="15"/>
  <c r="D50" i="14"/>
  <c r="E49" i="14"/>
  <c r="F49" i="14"/>
  <c r="F174" i="14"/>
  <c r="E268" i="14"/>
  <c r="F268" i="14"/>
  <c r="F270" i="14"/>
  <c r="C141" i="14"/>
  <c r="C176" i="14"/>
  <c r="E175" i="14"/>
  <c r="F175" i="14"/>
  <c r="D304" i="14"/>
  <c r="D273" i="14"/>
  <c r="E271" i="14"/>
  <c r="C112" i="19"/>
  <c r="C55" i="19"/>
  <c r="C47" i="19"/>
  <c r="C37" i="19"/>
  <c r="C99" i="5"/>
  <c r="C101" i="5"/>
  <c r="C98" i="5"/>
  <c r="C22" i="5"/>
  <c r="D281" i="14"/>
  <c r="F75" i="8"/>
  <c r="F138" i="14"/>
  <c r="E62" i="14"/>
  <c r="F62" i="14"/>
  <c r="C103" i="15"/>
  <c r="D196" i="14"/>
  <c r="C183" i="14"/>
  <c r="C323" i="14"/>
  <c r="C70" i="14"/>
  <c r="D291" i="14"/>
  <c r="D289" i="14"/>
  <c r="E289" i="14"/>
  <c r="F289" i="14"/>
  <c r="E287" i="14"/>
  <c r="F287" i="14"/>
  <c r="C126" i="15"/>
  <c r="C122" i="15"/>
  <c r="C115" i="15"/>
  <c r="C111" i="15"/>
  <c r="C125" i="15"/>
  <c r="C121" i="15"/>
  <c r="C114" i="15"/>
  <c r="C110" i="15"/>
  <c r="C124" i="15"/>
  <c r="C113" i="15"/>
  <c r="C109" i="15"/>
  <c r="C127" i="15"/>
  <c r="C123" i="15"/>
  <c r="C112" i="15"/>
  <c r="C48" i="9"/>
  <c r="E41" i="9"/>
  <c r="F41" i="9"/>
  <c r="E173" i="14"/>
  <c r="F173" i="14"/>
  <c r="C48" i="2"/>
  <c r="D162" i="14"/>
  <c r="E161" i="14"/>
  <c r="F161" i="14"/>
  <c r="D127" i="14"/>
  <c r="E126" i="14"/>
  <c r="F126" i="14"/>
  <c r="C197" i="14"/>
  <c r="C148" i="14"/>
  <c r="F139" i="14"/>
  <c r="E263" i="14"/>
  <c r="F263" i="14"/>
  <c r="E41" i="17"/>
  <c r="F41" i="17"/>
  <c r="E286" i="14"/>
  <c r="F286" i="14"/>
  <c r="C273" i="14"/>
  <c r="F271" i="14"/>
  <c r="F105" i="14"/>
  <c r="C106" i="14"/>
  <c r="C305" i="14"/>
  <c r="C208" i="14"/>
  <c r="D254" i="15"/>
  <c r="D92" i="14"/>
  <c r="E91" i="14"/>
  <c r="F91" i="14"/>
  <c r="F104" i="14"/>
  <c r="C90" i="15"/>
  <c r="C91" i="15"/>
  <c r="C105" i="15"/>
  <c r="F272" i="14"/>
  <c r="C116" i="15"/>
  <c r="D197" i="14"/>
  <c r="E197" i="14"/>
  <c r="C209" i="14"/>
  <c r="C210" i="14"/>
  <c r="D183" i="14"/>
  <c r="E183" i="14"/>
  <c r="D323" i="14"/>
  <c r="E323" i="14"/>
  <c r="F323" i="14"/>
  <c r="E162" i="14"/>
  <c r="F162" i="14"/>
  <c r="F48" i="9"/>
  <c r="E48" i="9"/>
  <c r="E304" i="14"/>
  <c r="F304" i="14"/>
  <c r="C322" i="14"/>
  <c r="C211" i="14"/>
  <c r="D70" i="14"/>
  <c r="E70" i="14"/>
  <c r="F70" i="14"/>
  <c r="E50" i="14"/>
  <c r="F50" i="14"/>
  <c r="D322" i="14"/>
  <c r="E322" i="14"/>
  <c r="E141" i="14"/>
  <c r="F141" i="14"/>
  <c r="F197" i="14"/>
  <c r="C324" i="14"/>
  <c r="C309" i="14"/>
  <c r="C129" i="15"/>
  <c r="C128" i="15"/>
  <c r="D305" i="14"/>
  <c r="E291" i="14"/>
  <c r="F291" i="14"/>
  <c r="E106" i="14"/>
  <c r="F106" i="14"/>
  <c r="E273" i="14"/>
  <c r="F273" i="14"/>
  <c r="C113" i="14"/>
  <c r="D324" i="14"/>
  <c r="D113" i="14"/>
  <c r="E92" i="14"/>
  <c r="F92" i="14"/>
  <c r="D148" i="14"/>
  <c r="E148" i="14"/>
  <c r="F148" i="14"/>
  <c r="E127" i="14"/>
  <c r="F127" i="14"/>
  <c r="C117" i="15"/>
  <c r="E176" i="14"/>
  <c r="F176" i="14"/>
  <c r="F183" i="14"/>
  <c r="E63" i="14"/>
  <c r="F63" i="14"/>
  <c r="C310" i="14"/>
  <c r="C131" i="15"/>
  <c r="E324" i="14"/>
  <c r="D325" i="14"/>
  <c r="D309" i="14"/>
  <c r="E305" i="14"/>
  <c r="F305" i="14"/>
  <c r="F324" i="14"/>
  <c r="C325" i="14"/>
  <c r="E325" i="14"/>
  <c r="E113" i="14"/>
  <c r="F113" i="14"/>
  <c r="F322" i="14"/>
  <c r="C312" i="14"/>
  <c r="E309" i="14"/>
  <c r="F309" i="14"/>
  <c r="D310" i="14"/>
  <c r="C313" i="14"/>
  <c r="D312" i="14"/>
  <c r="E310" i="14"/>
  <c r="F310" i="14"/>
  <c r="E312" i="14"/>
  <c r="F312" i="14"/>
  <c r="D313" i="14"/>
  <c r="C251" i="14"/>
  <c r="C314" i="14"/>
  <c r="C315" i="14"/>
  <c r="C256" i="14"/>
  <c r="D314" i="14"/>
  <c r="D315" i="14"/>
  <c r="E315" i="14"/>
  <c r="F315" i="14"/>
  <c r="E313" i="14"/>
  <c r="F313" i="14"/>
  <c r="D251" i="14"/>
  <c r="E251" i="14"/>
  <c r="D256" i="14"/>
  <c r="C257" i="14"/>
  <c r="C318" i="14"/>
  <c r="F251" i="14"/>
  <c r="E314" i="14"/>
  <c r="F314" i="14"/>
  <c r="D318" i="14"/>
  <c r="E318" i="14"/>
  <c r="F318" i="14"/>
  <c r="D257" i="14"/>
  <c r="E257" i="14"/>
  <c r="F257" i="14"/>
  <c r="E256" i="14"/>
  <c r="F256" i="14"/>
  <c r="C269" i="15"/>
  <c r="C268" i="15"/>
  <c r="C70" i="10"/>
  <c r="C72" i="10"/>
  <c r="C69" i="10"/>
  <c r="C22" i="10"/>
  <c r="F166" i="3"/>
  <c r="F325" i="14"/>
  <c r="E288" i="14"/>
  <c r="F288" i="14"/>
  <c r="F83" i="4"/>
  <c r="E38" i="1"/>
  <c r="F38" i="1"/>
  <c r="E61" i="1"/>
  <c r="F61" i="1"/>
  <c r="E73" i="1"/>
  <c r="F73" i="1"/>
  <c r="D19" i="2"/>
  <c r="E39" i="2"/>
  <c r="F39" i="2"/>
  <c r="E25" i="3"/>
  <c r="F25" i="3"/>
  <c r="E38" i="3"/>
  <c r="F38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68" i="3"/>
  <c r="F68" i="3"/>
  <c r="E81" i="3"/>
  <c r="F81" i="3"/>
  <c r="F179" i="3"/>
  <c r="F18" i="4"/>
  <c r="F24" i="4"/>
  <c r="F30" i="4"/>
  <c r="F78" i="4"/>
  <c r="C41" i="1"/>
  <c r="E41" i="1"/>
  <c r="C65" i="1"/>
  <c r="E35" i="4"/>
  <c r="F35" i="4"/>
  <c r="E109" i="4"/>
  <c r="F109" i="4"/>
  <c r="E118" i="4"/>
  <c r="F118" i="4"/>
  <c r="C176" i="4"/>
  <c r="E176" i="4"/>
  <c r="E15" i="5"/>
  <c r="D49" i="5"/>
  <c r="C77" i="5"/>
  <c r="C71" i="5"/>
  <c r="E77" i="5"/>
  <c r="E71" i="5"/>
  <c r="E166" i="6"/>
  <c r="E167" i="6"/>
  <c r="E179" i="6"/>
  <c r="E180" i="6"/>
  <c r="D57" i="5"/>
  <c r="D62" i="5"/>
  <c r="E53" i="5"/>
  <c r="D43" i="5"/>
  <c r="D208" i="6"/>
  <c r="E208" i="6"/>
  <c r="F208" i="6"/>
  <c r="F47" i="7"/>
  <c r="E112" i="7"/>
  <c r="F112" i="7"/>
  <c r="D43" i="8"/>
  <c r="E43" i="8"/>
  <c r="F43" i="8"/>
  <c r="E16" i="9"/>
  <c r="F16" i="9"/>
  <c r="D48" i="10"/>
  <c r="D42" i="10"/>
  <c r="E20" i="14"/>
  <c r="E23" i="14"/>
  <c r="F23" i="14"/>
  <c r="E76" i="14"/>
  <c r="F76" i="14"/>
  <c r="C77" i="14"/>
  <c r="E77" i="14"/>
  <c r="E95" i="14"/>
  <c r="F95" i="14"/>
  <c r="E130" i="14"/>
  <c r="F130" i="14"/>
  <c r="E155" i="14"/>
  <c r="F155" i="14"/>
  <c r="E165" i="14"/>
  <c r="F165" i="14"/>
  <c r="C193" i="14"/>
  <c r="F230" i="14"/>
  <c r="C264" i="14"/>
  <c r="E297" i="14"/>
  <c r="F297" i="14"/>
  <c r="E307" i="14"/>
  <c r="F307" i="14"/>
  <c r="F311" i="14"/>
  <c r="D43" i="15"/>
  <c r="D65" i="15"/>
  <c r="D71" i="15"/>
  <c r="E71" i="15"/>
  <c r="D15" i="10"/>
  <c r="F20" i="14"/>
  <c r="F29" i="14"/>
  <c r="E88" i="14"/>
  <c r="F88" i="14"/>
  <c r="E179" i="14"/>
  <c r="F179" i="14"/>
  <c r="F188" i="14"/>
  <c r="C190" i="14"/>
  <c r="E190" i="14"/>
  <c r="D175" i="15"/>
  <c r="E175" i="15"/>
  <c r="D144" i="15"/>
  <c r="D207" i="14"/>
  <c r="E221" i="15"/>
  <c r="C240" i="15"/>
  <c r="E240" i="15"/>
  <c r="F16" i="17"/>
  <c r="E36" i="17"/>
  <c r="F36" i="17"/>
  <c r="D34" i="19"/>
  <c r="D261" i="15"/>
  <c r="E261" i="15"/>
  <c r="C210" i="15"/>
  <c r="C243" i="15"/>
  <c r="D302" i="15"/>
  <c r="D22" i="19"/>
  <c r="E22" i="19"/>
  <c r="D264" i="14"/>
  <c r="D300" i="14"/>
  <c r="E264" i="14"/>
  <c r="D265" i="14"/>
  <c r="C252" i="15"/>
  <c r="E243" i="15"/>
  <c r="E110" i="19"/>
  <c r="E29" i="19"/>
  <c r="E35" i="19"/>
  <c r="E45" i="19"/>
  <c r="E53" i="19"/>
  <c r="E39" i="19"/>
  <c r="E302" i="15"/>
  <c r="D303" i="15"/>
  <c r="C234" i="15"/>
  <c r="E234" i="15"/>
  <c r="C180" i="15"/>
  <c r="C211" i="15"/>
  <c r="E210" i="15"/>
  <c r="C253" i="15"/>
  <c r="E253" i="15"/>
  <c r="D44" i="15"/>
  <c r="E43" i="15"/>
  <c r="F264" i="14"/>
  <c r="C300" i="14"/>
  <c r="C282" i="14"/>
  <c r="C266" i="14"/>
  <c r="C194" i="14"/>
  <c r="E193" i="14"/>
  <c r="F193" i="14"/>
  <c r="E24" i="5"/>
  <c r="E20" i="5"/>
  <c r="E17" i="5"/>
  <c r="C75" i="1"/>
  <c r="E65" i="1"/>
  <c r="F65" i="1"/>
  <c r="D53" i="19"/>
  <c r="D110" i="19"/>
  <c r="D29" i="19"/>
  <c r="D35" i="19"/>
  <c r="D39" i="19"/>
  <c r="D45" i="19"/>
  <c r="D208" i="14"/>
  <c r="E207" i="14"/>
  <c r="F207" i="14"/>
  <c r="D145" i="15"/>
  <c r="D168" i="15"/>
  <c r="E168" i="15"/>
  <c r="D180" i="15"/>
  <c r="E180" i="15"/>
  <c r="E144" i="15"/>
  <c r="F190" i="14"/>
  <c r="D24" i="10"/>
  <c r="D20" i="10"/>
  <c r="D17" i="10"/>
  <c r="D28" i="10"/>
  <c r="D66" i="15"/>
  <c r="D294" i="15"/>
  <c r="E294" i="15"/>
  <c r="E65" i="15"/>
  <c r="D246" i="15"/>
  <c r="E246" i="15"/>
  <c r="D76" i="15"/>
  <c r="D259" i="15"/>
  <c r="F176" i="4"/>
  <c r="C43" i="1"/>
  <c r="F41" i="1"/>
  <c r="E19" i="2"/>
  <c r="F19" i="2"/>
  <c r="D33" i="2"/>
  <c r="C271" i="15"/>
  <c r="D263" i="15"/>
  <c r="E263" i="15"/>
  <c r="E259" i="15"/>
  <c r="D295" i="15"/>
  <c r="E295" i="15"/>
  <c r="D247" i="15"/>
  <c r="E247" i="15"/>
  <c r="E66" i="15"/>
  <c r="C196" i="14"/>
  <c r="C195" i="14"/>
  <c r="E194" i="14"/>
  <c r="F194" i="14"/>
  <c r="E266" i="14"/>
  <c r="F266" i="14"/>
  <c r="C265" i="14"/>
  <c r="C235" i="15"/>
  <c r="E235" i="15"/>
  <c r="C181" i="15"/>
  <c r="E211" i="15"/>
  <c r="C254" i="15"/>
  <c r="E254" i="15"/>
  <c r="E252" i="15"/>
  <c r="F43" i="1"/>
  <c r="E43" i="1"/>
  <c r="D77" i="15"/>
  <c r="E76" i="15"/>
  <c r="E33" i="2"/>
  <c r="F33" i="2"/>
  <c r="D41" i="2"/>
  <c r="D70" i="10"/>
  <c r="D72" i="10"/>
  <c r="D69" i="10"/>
  <c r="D22" i="10"/>
  <c r="E145" i="15"/>
  <c r="D181" i="15"/>
  <c r="E181" i="15"/>
  <c r="D169" i="15"/>
  <c r="E169" i="15"/>
  <c r="D210" i="14"/>
  <c r="D209" i="14"/>
  <c r="E209" i="14"/>
  <c r="F209" i="14"/>
  <c r="E208" i="14"/>
  <c r="F208" i="14"/>
  <c r="D37" i="19"/>
  <c r="D55" i="19"/>
  <c r="D47" i="19"/>
  <c r="D112" i="19"/>
  <c r="F75" i="1"/>
  <c r="E75" i="1"/>
  <c r="E112" i="5"/>
  <c r="E111" i="5"/>
  <c r="E28" i="5"/>
  <c r="C281" i="14"/>
  <c r="E282" i="14"/>
  <c r="F282" i="14"/>
  <c r="D100" i="15"/>
  <c r="E100" i="15"/>
  <c r="D89" i="15"/>
  <c r="E89" i="15"/>
  <c r="D99" i="15"/>
  <c r="E99" i="15"/>
  <c r="D88" i="15"/>
  <c r="E88" i="15"/>
  <c r="D258" i="15"/>
  <c r="D87" i="15"/>
  <c r="E87" i="15"/>
  <c r="D101" i="15"/>
  <c r="E101" i="15"/>
  <c r="D86" i="15"/>
  <c r="E86" i="15"/>
  <c r="D96" i="15"/>
  <c r="D85" i="15"/>
  <c r="E85" i="15"/>
  <c r="D95" i="15"/>
  <c r="D84" i="15"/>
  <c r="D98" i="15"/>
  <c r="E98" i="15"/>
  <c r="D83" i="15"/>
  <c r="D97" i="15"/>
  <c r="E97" i="15"/>
  <c r="E44" i="15"/>
  <c r="D306" i="15"/>
  <c r="E303" i="15"/>
  <c r="E47" i="19"/>
  <c r="E112" i="19"/>
  <c r="E37" i="19"/>
  <c r="E55" i="19"/>
  <c r="E265" i="14"/>
  <c r="E300" i="14"/>
  <c r="F300" i="14"/>
  <c r="E95" i="15"/>
  <c r="E96" i="15"/>
  <c r="D102" i="15"/>
  <c r="E102" i="15"/>
  <c r="E258" i="15"/>
  <c r="D264" i="15"/>
  <c r="F281" i="14"/>
  <c r="E281" i="14"/>
  <c r="D123" i="15"/>
  <c r="E123" i="15"/>
  <c r="D126" i="15"/>
  <c r="E126" i="15"/>
  <c r="D115" i="15"/>
  <c r="E115" i="15"/>
  <c r="D125" i="15"/>
  <c r="E125" i="15"/>
  <c r="D114" i="15"/>
  <c r="E114" i="15"/>
  <c r="D124" i="15"/>
  <c r="E124" i="15"/>
  <c r="D109" i="15"/>
  <c r="D127" i="15"/>
  <c r="E127" i="15"/>
  <c r="D112" i="15"/>
  <c r="E112" i="15"/>
  <c r="D122" i="15"/>
  <c r="D111" i="15"/>
  <c r="E111" i="15"/>
  <c r="D121" i="15"/>
  <c r="D110" i="15"/>
  <c r="D113" i="15"/>
  <c r="E113" i="15"/>
  <c r="E77" i="15"/>
  <c r="F265" i="14"/>
  <c r="F196" i="14"/>
  <c r="E196" i="14"/>
  <c r="D310" i="15"/>
  <c r="E310" i="15"/>
  <c r="E306" i="15"/>
  <c r="D91" i="15"/>
  <c r="E83" i="15"/>
  <c r="E84" i="15"/>
  <c r="D90" i="15"/>
  <c r="E90" i="15"/>
  <c r="E22" i="5"/>
  <c r="E99" i="5"/>
  <c r="E101" i="5"/>
  <c r="E98" i="5"/>
  <c r="D211" i="14"/>
  <c r="E211" i="14"/>
  <c r="F211" i="14"/>
  <c r="E210" i="14"/>
  <c r="F210" i="14"/>
  <c r="D48" i="2"/>
  <c r="E48" i="2"/>
  <c r="F48" i="2"/>
  <c r="E41" i="2"/>
  <c r="F41" i="2"/>
  <c r="F195" i="14"/>
  <c r="E195" i="14"/>
  <c r="E91" i="15"/>
  <c r="D116" i="15"/>
  <c r="E116" i="15"/>
  <c r="E110" i="15"/>
  <c r="D117" i="15"/>
  <c r="E109" i="15"/>
  <c r="D266" i="15"/>
  <c r="E264" i="15"/>
  <c r="D103" i="15"/>
  <c r="E103" i="15"/>
  <c r="E121" i="15"/>
  <c r="D129" i="15"/>
  <c r="E129" i="15"/>
  <c r="D128" i="15"/>
  <c r="E128" i="15"/>
  <c r="E122" i="15"/>
  <c r="D105" i="15"/>
  <c r="E105" i="15"/>
  <c r="E266" i="15"/>
  <c r="D267" i="15"/>
  <c r="E117" i="15"/>
  <c r="D131" i="15"/>
  <c r="E131" i="15"/>
  <c r="E267" i="15"/>
  <c r="D269" i="15"/>
  <c r="E269" i="15"/>
  <c r="D268" i="15"/>
  <c r="D271" i="15"/>
  <c r="E271" i="15"/>
  <c r="E268" i="15"/>
</calcChain>
</file>

<file path=xl/sharedStrings.xml><?xml version="1.0" encoding="utf-8"?>
<sst xmlns="http://schemas.openxmlformats.org/spreadsheetml/2006/main" count="2300" uniqueCount="978">
  <si>
    <t>SAINT FRANCIS HOSPITAL AND MEDICAL CENTER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</si>
  <si>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</si>
  <si>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</si>
  <si>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</si>
  <si>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</si>
  <si>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</si>
  <si>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</si>
  <si>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</si>
  <si>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</si>
  <si>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</si>
  <si>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</si>
  <si>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</si>
  <si>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</si>
  <si>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</si>
  <si>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</si>
  <si>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</si>
  <si>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</si>
  <si>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</si>
  <si>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</si>
  <si>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</si>
  <si>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</si>
  <si>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</si>
  <si>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</si>
  <si>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</si>
  <si>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</si>
  <si>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</si>
  <si>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</si>
  <si>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</si>
  <si>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</si>
  <si>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</si>
  <si>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</si>
  <si>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</si>
  <si>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</si>
  <si>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</si>
  <si>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</si>
  <si>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</si>
  <si>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</si>
  <si>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</si>
  <si>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</si>
  <si>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</si>
  <si>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</si>
  <si>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</si>
  <si>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</si>
  <si>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</si>
  <si>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</si>
  <si>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</si>
  <si>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</si>
  <si>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</si>
  <si>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</si>
  <si>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</si>
  <si>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</si>
  <si>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</si>
  <si>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</si>
  <si>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</si>
  <si>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</si>
  <si>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</si>
  <si>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</si>
  <si>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</si>
  <si>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</si>
  <si>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</si>
  <si>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</si>
  <si>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</si>
  <si>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</si>
  <si>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</si>
  <si>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</si>
  <si>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</si>
  <si>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</si>
  <si>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</si>
  <si>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</si>
  <si>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</si>
  <si>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</si>
  <si>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</si>
  <si>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</si>
  <si>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</si>
  <si>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</si>
  <si>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</si>
  <si>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</si>
  <si>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</si>
  <si>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</si>
  <si>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</si>
  <si>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</si>
  <si>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</si>
  <si>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</si>
  <si>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</si>
  <si>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</si>
  <si>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</si>
  <si>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</si>
  <si>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</si>
  <si>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</si>
  <si>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</si>
  <si>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</si>
  <si>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</si>
  <si>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</si>
  <si>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</si>
  <si>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</si>
  <si>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</si>
  <si>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</si>
  <si>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</si>
  <si>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</si>
  <si>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</si>
  <si>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</si>
  <si>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</si>
  <si>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</si>
  <si>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</si>
  <si>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</si>
  <si>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</si>
  <si>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</si>
  <si>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</si>
  <si>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</si>
  <si>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</si>
  <si>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</si>
  <si>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</si>
  <si>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</si>
  <si>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</si>
  <si>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</si>
  <si>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</si>
  <si>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</si>
  <si>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</si>
  <si>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</si>
  <si>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</si>
  <si>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</si>
  <si>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</si>
  <si>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</si>
  <si>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</si>
  <si>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</si>
  <si>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</si>
  <si>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</si>
  <si>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</si>
  <si>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</si>
  <si>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</si>
  <si>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</si>
  <si>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</si>
  <si>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</si>
  <si>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</si>
  <si>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</si>
  <si>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</si>
  <si>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</si>
  <si>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</si>
  <si>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</si>
  <si>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</si>
  <si>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</si>
  <si>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</si>
  <si>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</si>
  <si>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</si>
  <si>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</si>
  <si>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</si>
  <si>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</si>
  <si>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</si>
  <si>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</si>
  <si>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</si>
  <si>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</si>
  <si>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</si>
  <si>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</si>
  <si>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</si>
  <si>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</si>
  <si>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</si>
  <si>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</si>
  <si>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</si>
  <si>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</si>
  <si>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</si>
  <si>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</si>
  <si>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</si>
  <si>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</si>
  <si>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</si>
  <si>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</si>
  <si>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</si>
  <si>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</si>
  <si>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</si>
  <si>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</si>
  <si>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</si>
  <si>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</si>
  <si>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</si>
  <si>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</si>
  <si>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</si>
  <si>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</si>
  <si>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</si>
  <si>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</si>
  <si>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</si>
  <si>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</si>
  <si>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</si>
  <si>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</si>
  <si>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</si>
  <si>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</si>
  <si>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</si>
  <si>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</si>
  <si>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</si>
  <si>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</si>
  <si>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</si>
  <si>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</si>
  <si>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</si>
  <si>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</si>
  <si>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</si>
  <si>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</si>
  <si>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</si>
  <si>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</si>
  <si>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</si>
  <si>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</si>
  <si>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</si>
  <si>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</si>
  <si>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</si>
  <si>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</si>
  <si>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</si>
  <si>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</si>
  <si>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</si>
  <si>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</si>
  <si>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</si>
  <si>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</si>
  <si>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</si>
  <si>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</si>
  <si>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</si>
  <si>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</si>
  <si>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</si>
  <si>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</si>
  <si>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</si>
  <si>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</si>
  <si>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</si>
  <si>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</si>
  <si>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</si>
  <si>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</si>
  <si>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</si>
  <si>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</si>
  <si>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</si>
  <si>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</si>
  <si>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</si>
  <si>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</si>
  <si>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</si>
  <si>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</si>
  <si>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</si>
  <si>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</si>
  <si>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</si>
  <si>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</si>
  <si>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</si>
  <si>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</si>
  <si>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</si>
  <si>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</si>
  <si>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</si>
  <si>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</si>
  <si>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</si>
  <si>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</si>
  <si>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</si>
  <si>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</si>
  <si>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</si>
  <si>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</si>
  <si>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</si>
  <si>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</si>
  <si>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</si>
  <si>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</si>
  <si>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</si>
  <si>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</si>
  <si>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</si>
  <si>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</si>
  <si>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</si>
  <si>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</si>
  <si>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</si>
  <si>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</si>
  <si>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</si>
  <si>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</si>
  <si>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</si>
  <si>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</si>
  <si>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</si>
  <si>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</si>
  <si>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</si>
  <si>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</si>
  <si>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</si>
  <si>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</si>
  <si>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</si>
  <si>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</si>
  <si>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</si>
  <si>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</si>
  <si>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</si>
  <si>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</si>
  <si>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</si>
  <si>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</si>
  <si>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</si>
  <si>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</si>
  <si>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</si>
  <si>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</si>
  <si>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</si>
  <si>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</si>
  <si>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</si>
  <si>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</si>
  <si>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</si>
  <si>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</si>
  <si>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</si>
  <si>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</si>
  <si>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</si>
  <si>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</si>
  <si>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</si>
  <si>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</si>
  <si>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</si>
  <si>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</si>
  <si>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</si>
  <si>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</si>
  <si>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</si>
  <si>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</si>
  <si>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</si>
  <si>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</si>
  <si>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</si>
  <si>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</si>
  <si>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</si>
  <si>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</si>
  <si>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</si>
  <si>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</si>
  <si>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</si>
  <si>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</si>
  <si>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</si>
  <si>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</si>
  <si>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</si>
  <si>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</si>
  <si>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</si>
  <si>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</si>
  <si>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</si>
  <si>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</si>
  <si>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</si>
  <si>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</si>
  <si>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</si>
  <si>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</si>
  <si>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</si>
  <si>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</si>
  <si>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</si>
  <si>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</si>
  <si>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</si>
  <si>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</si>
  <si>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</si>
  <si>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</si>
  <si>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</si>
  <si>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</si>
  <si>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</si>
  <si>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</si>
  <si>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</si>
  <si>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</si>
  <si>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</si>
  <si>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</si>
  <si>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</si>
  <si>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</si>
  <si>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</si>
  <si>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</si>
  <si>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</si>
  <si>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</si>
  <si>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</si>
  <si>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</si>
  <si>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</si>
  <si>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</si>
  <si>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</si>
  <si>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</si>
  <si>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</si>
  <si>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</si>
  <si>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</si>
  <si>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</si>
  <si>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</si>
  <si>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</si>
  <si>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</si>
  <si>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</si>
  <si>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</si>
  <si>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</si>
  <si>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</si>
  <si>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</si>
  <si>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</si>
  <si>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</si>
  <si>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</si>
  <si>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</si>
  <si>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</si>
  <si>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</si>
  <si>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</si>
  <si>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</si>
  <si>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</si>
  <si>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</si>
  <si>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</si>
  <si>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</si>
  <si>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</si>
  <si>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</si>
  <si>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</si>
  <si>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</si>
  <si>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</si>
  <si>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</si>
  <si>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</si>
  <si>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</si>
  <si>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</si>
  <si>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</si>
  <si>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</si>
  <si>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</si>
  <si>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</si>
  <si>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</si>
  <si>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</si>
  <si>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</si>
  <si>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</si>
  <si>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</si>
  <si>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</si>
  <si>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</si>
  <si>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</si>
  <si>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</si>
  <si>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</si>
  <si>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</si>
  <si>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</si>
  <si>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</si>
  <si>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</si>
  <si>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</si>
  <si>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</si>
  <si>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</si>
  <si>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</si>
  <si>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</si>
  <si>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</si>
  <si>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</si>
  <si>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</si>
  <si>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</si>
  <si>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</si>
  <si>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</si>
  <si>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</si>
  <si>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</si>
  <si>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</si>
  <si>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</si>
  <si>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</si>
  <si>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</si>
  <si>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</si>
  <si>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</si>
  <si>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</si>
  <si>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</si>
  <si>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</si>
  <si>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</si>
  <si>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</si>
  <si>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</si>
  <si>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</si>
  <si>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</si>
  <si>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</si>
  <si>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</si>
  <si>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</si>
  <si>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</si>
  <si>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</si>
  <si>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</si>
  <si>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</si>
  <si>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</si>
  <si>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</si>
  <si>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</si>
  <si>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</si>
  <si>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</si>
  <si>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</si>
  <si>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</si>
  <si>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</si>
  <si>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</si>
  <si>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</si>
  <si>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</si>
  <si>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</si>
  <si>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</si>
  <si>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</si>
  <si>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</si>
  <si>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</si>
  <si>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</si>
  <si>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</si>
  <si>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</si>
  <si>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</si>
  <si>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</si>
  <si>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</si>
  <si>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</si>
  <si>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</si>
  <si>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</si>
  <si>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</si>
  <si>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</si>
  <si>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</si>
  <si>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</si>
  <si>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</si>
  <si>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</si>
  <si>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</si>
  <si>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</si>
  <si>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</si>
  <si>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</si>
  <si>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</si>
  <si>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</si>
  <si>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</si>
  <si>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</si>
  <si>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</si>
  <si>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</si>
  <si>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</si>
  <si>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</si>
  <si>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</si>
  <si>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</si>
  <si>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</si>
  <si>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</si>
  <si>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</si>
  <si>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</si>
  <si>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FRANCIS CARE,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</si>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</sst>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80252361</v>
      </c>
      <c r="D13" s="23">
        <v>111167660</v>
      </c>
      <c r="E13" s="23">
        <f t="shared" ref="E13:E22" si="0">D13-C13</f>
        <v>30915299</v>
      </c>
      <c r="F13" s="24">
        <f t="shared" ref="F13:F22" si="1">IF(C13=0,0,E13/C13)</f>
        <v>0.38522603715048331</v>
      </c>
    </row>
    <row r="14" spans="1:8" ht="24" customHeight="1" x14ac:dyDescent="0.2">
      <c r="A14" s="21">
        <v>2</v>
      </c>
      <c r="B14" s="22" t="s">
        <v>17</v>
      </c>
      <c r="C14" s="23">
        <v>1455904</v>
      </c>
      <c r="D14" s="23">
        <v>1455884</v>
      </c>
      <c r="E14" s="23">
        <f t="shared" si="0"/>
        <v>-20</v>
      </c>
      <c r="F14" s="24">
        <f t="shared" si="1"/>
        <v>-1.3737169483702222E-5</v>
      </c>
    </row>
    <row r="15" spans="1:8" ht="30" customHeight="1" x14ac:dyDescent="0.2">
      <c r="A15" s="21">
        <v>3</v>
      </c>
      <c r="B15" s="22" t="s">
        <v>18</v>
      </c>
      <c r="C15" s="23">
        <v>68529326</v>
      </c>
      <c r="D15" s="23">
        <v>57915444</v>
      </c>
      <c r="E15" s="23">
        <f t="shared" si="0"/>
        <v>-10613882</v>
      </c>
      <c r="F15" s="24">
        <f t="shared" si="1"/>
        <v>-0.15488087537881229</v>
      </c>
    </row>
    <row r="16" spans="1:8" ht="24" customHeight="1" x14ac:dyDescent="0.2">
      <c r="A16" s="21">
        <v>4</v>
      </c>
      <c r="B16" s="22" t="s">
        <v>19</v>
      </c>
      <c r="C16" s="23">
        <v>4471328</v>
      </c>
      <c r="D16" s="23">
        <v>4616162</v>
      </c>
      <c r="E16" s="23">
        <f t="shared" si="0"/>
        <v>144834</v>
      </c>
      <c r="F16" s="24">
        <f t="shared" si="1"/>
        <v>3.2391718970292492E-2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1950767</v>
      </c>
      <c r="E18" s="23">
        <f t="shared" si="0"/>
        <v>1950767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4353054</v>
      </c>
      <c r="D19" s="23">
        <v>4918393</v>
      </c>
      <c r="E19" s="23">
        <f t="shared" si="0"/>
        <v>565339</v>
      </c>
      <c r="F19" s="24">
        <f t="shared" si="1"/>
        <v>0.12987180953877439</v>
      </c>
    </row>
    <row r="20" spans="1:11" ht="24" customHeight="1" x14ac:dyDescent="0.2">
      <c r="A20" s="21">
        <v>8</v>
      </c>
      <c r="B20" s="22" t="s">
        <v>23</v>
      </c>
      <c r="C20" s="23">
        <v>5682994</v>
      </c>
      <c r="D20" s="23">
        <v>6269941</v>
      </c>
      <c r="E20" s="23">
        <f t="shared" si="0"/>
        <v>586947</v>
      </c>
      <c r="F20" s="24">
        <f t="shared" si="1"/>
        <v>0.10328129855495184</v>
      </c>
    </row>
    <row r="21" spans="1:11" ht="24" customHeight="1" x14ac:dyDescent="0.2">
      <c r="A21" s="21">
        <v>9</v>
      </c>
      <c r="B21" s="22" t="s">
        <v>24</v>
      </c>
      <c r="C21" s="23">
        <v>2391101</v>
      </c>
      <c r="D21" s="23">
        <v>4324394</v>
      </c>
      <c r="E21" s="23">
        <f t="shared" si="0"/>
        <v>1933293</v>
      </c>
      <c r="F21" s="24">
        <f t="shared" si="1"/>
        <v>0.80853673684214933</v>
      </c>
    </row>
    <row r="22" spans="1:11" ht="24" customHeight="1" x14ac:dyDescent="0.25">
      <c r="A22" s="25"/>
      <c r="B22" s="26" t="s">
        <v>25</v>
      </c>
      <c r="C22" s="27">
        <f>SUM(C13:C21)</f>
        <v>167136068</v>
      </c>
      <c r="D22" s="27">
        <f>SUM(D13:D21)</f>
        <v>192618645</v>
      </c>
      <c r="E22" s="27">
        <f t="shared" si="0"/>
        <v>25482577</v>
      </c>
      <c r="F22" s="28">
        <f t="shared" si="1"/>
        <v>0.15246605538189398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42603103</v>
      </c>
      <c r="D25" s="23">
        <v>44595433</v>
      </c>
      <c r="E25" s="23">
        <f>D25-C25</f>
        <v>1992330</v>
      </c>
      <c r="F25" s="24">
        <f>IF(C25=0,0,E25/C25)</f>
        <v>4.6764903486020727E-2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14868173</v>
      </c>
      <c r="D26" s="23">
        <v>16373945</v>
      </c>
      <c r="E26" s="23">
        <f>D26-C26</f>
        <v>1505772</v>
      </c>
      <c r="F26" s="24">
        <f>IF(C26=0,0,E26/C26)</f>
        <v>0.10127485064910127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109254940</v>
      </c>
      <c r="D28" s="23">
        <v>36969244</v>
      </c>
      <c r="E28" s="23">
        <f>D28-C28</f>
        <v>-72285696</v>
      </c>
      <c r="F28" s="24">
        <f>IF(C28=0,0,E28/C28)</f>
        <v>-0.66162405104977406</v>
      </c>
    </row>
    <row r="29" spans="1:11" ht="24" customHeight="1" x14ac:dyDescent="0.25">
      <c r="A29" s="25"/>
      <c r="B29" s="26" t="s">
        <v>32</v>
      </c>
      <c r="C29" s="27">
        <f>SUM(C25:C28)</f>
        <v>166726216</v>
      </c>
      <c r="D29" s="27">
        <f>SUM(D25:D28)</f>
        <v>97938622</v>
      </c>
      <c r="E29" s="27">
        <f>D29-C29</f>
        <v>-68787594</v>
      </c>
      <c r="F29" s="28">
        <f>IF(C29=0,0,E29/C29)</f>
        <v>-0.41257815147678994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4552636</v>
      </c>
      <c r="D31" s="23">
        <v>4395605</v>
      </c>
      <c r="E31" s="23">
        <f>D31-C31</f>
        <v>-157031</v>
      </c>
      <c r="F31" s="24">
        <f>IF(C31=0,0,E31/C31)</f>
        <v>-3.449232488606601E-2</v>
      </c>
    </row>
    <row r="32" spans="1:11" ht="24" customHeight="1" x14ac:dyDescent="0.2">
      <c r="A32" s="21">
        <v>6</v>
      </c>
      <c r="B32" s="22" t="s">
        <v>34</v>
      </c>
      <c r="C32" s="23">
        <v>15186661</v>
      </c>
      <c r="D32" s="23">
        <v>16168716</v>
      </c>
      <c r="E32" s="23">
        <f>D32-C32</f>
        <v>982055</v>
      </c>
      <c r="F32" s="24">
        <f>IF(C32=0,0,E32/C32)</f>
        <v>6.4665629923523024E-2</v>
      </c>
    </row>
    <row r="33" spans="1:8" ht="24" customHeight="1" x14ac:dyDescent="0.2">
      <c r="A33" s="21">
        <v>7</v>
      </c>
      <c r="B33" s="22" t="s">
        <v>35</v>
      </c>
      <c r="C33" s="23">
        <v>2059673</v>
      </c>
      <c r="D33" s="23">
        <v>1723196</v>
      </c>
      <c r="E33" s="23">
        <f>D33-C33</f>
        <v>-336477</v>
      </c>
      <c r="F33" s="24">
        <f>IF(C33=0,0,E33/C33)</f>
        <v>-0.16336428161169272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672427483</v>
      </c>
      <c r="D36" s="23">
        <v>690645589</v>
      </c>
      <c r="E36" s="23">
        <f>D36-C36</f>
        <v>18218106</v>
      </c>
      <c r="F36" s="24">
        <f>IF(C36=0,0,E36/C36)</f>
        <v>2.7093041942189623E-2</v>
      </c>
    </row>
    <row r="37" spans="1:8" ht="24" customHeight="1" x14ac:dyDescent="0.2">
      <c r="A37" s="21">
        <v>2</v>
      </c>
      <c r="B37" s="22" t="s">
        <v>39</v>
      </c>
      <c r="C37" s="23">
        <v>427650417</v>
      </c>
      <c r="D37" s="23">
        <v>451972989</v>
      </c>
      <c r="E37" s="23">
        <f>D37-C37</f>
        <v>24322572</v>
      </c>
      <c r="F37" s="24">
        <f>IF(C37=0,0,E37/C37)</f>
        <v>5.6874893682145058E-2</v>
      </c>
    </row>
    <row r="38" spans="1:8" ht="24" customHeight="1" x14ac:dyDescent="0.25">
      <c r="A38" s="25"/>
      <c r="B38" s="26" t="s">
        <v>40</v>
      </c>
      <c r="C38" s="27">
        <f>C36-C37</f>
        <v>244777066</v>
      </c>
      <c r="D38" s="27">
        <f>D36-D37</f>
        <v>238672600</v>
      </c>
      <c r="E38" s="27">
        <f>D38-C38</f>
        <v>-6104466</v>
      </c>
      <c r="F38" s="28">
        <f>IF(C38=0,0,E38/C38)</f>
        <v>-2.4938880507702467E-2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106268844</v>
      </c>
      <c r="D40" s="23">
        <v>180084830</v>
      </c>
      <c r="E40" s="23">
        <f>D40-C40</f>
        <v>73815986</v>
      </c>
      <c r="F40" s="24">
        <f>IF(C40=0,0,E40/C40)</f>
        <v>0.69461549802875433</v>
      </c>
    </row>
    <row r="41" spans="1:8" ht="24" customHeight="1" x14ac:dyDescent="0.25">
      <c r="A41" s="25"/>
      <c r="B41" s="26" t="s">
        <v>42</v>
      </c>
      <c r="C41" s="27">
        <f>+C38+C40</f>
        <v>351045910</v>
      </c>
      <c r="D41" s="27">
        <f>+D38+D40</f>
        <v>418757430</v>
      </c>
      <c r="E41" s="27">
        <f>D41-C41</f>
        <v>67711520</v>
      </c>
      <c r="F41" s="28">
        <f>IF(C41=0,0,E41/C41)</f>
        <v>0.19288508446089003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706707164</v>
      </c>
      <c r="D43" s="27">
        <f>D22+D29+D31+D32+D33+D41</f>
        <v>731602214</v>
      </c>
      <c r="E43" s="27">
        <f>D43-C43</f>
        <v>24895050</v>
      </c>
      <c r="F43" s="28">
        <f>IF(C43=0,0,E43/C43)</f>
        <v>3.5226825576654262E-2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46792624</v>
      </c>
      <c r="D49" s="23">
        <v>41547612</v>
      </c>
      <c r="E49" s="23">
        <f t="shared" ref="E49:E56" si="2">D49-C49</f>
        <v>-5245012</v>
      </c>
      <c r="F49" s="24">
        <f t="shared" ref="F49:F56" si="3">IF(C49=0,0,E49/C49)</f>
        <v>-0.11209057222351967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21253792</v>
      </c>
      <c r="D50" s="23">
        <v>27119094</v>
      </c>
      <c r="E50" s="23">
        <f t="shared" si="2"/>
        <v>5865302</v>
      </c>
      <c r="F50" s="24">
        <f t="shared" si="3"/>
        <v>0.27596496662807279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6588921</v>
      </c>
      <c r="D51" s="23">
        <v>0</v>
      </c>
      <c r="E51" s="23">
        <f t="shared" si="2"/>
        <v>-6588921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4617503</v>
      </c>
      <c r="D52" s="23">
        <v>513854</v>
      </c>
      <c r="E52" s="23">
        <f t="shared" si="2"/>
        <v>-4103649</v>
      </c>
      <c r="F52" s="24">
        <f t="shared" si="3"/>
        <v>-0.88871604414767025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9269747</v>
      </c>
      <c r="D53" s="23">
        <v>45907171</v>
      </c>
      <c r="E53" s="23">
        <f t="shared" si="2"/>
        <v>36637424</v>
      </c>
      <c r="F53" s="24">
        <f t="shared" si="3"/>
        <v>3.9523650429725858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5321057</v>
      </c>
      <c r="D55" s="23">
        <v>6227266</v>
      </c>
      <c r="E55" s="23">
        <f t="shared" si="2"/>
        <v>906209</v>
      </c>
      <c r="F55" s="24">
        <f t="shared" si="3"/>
        <v>0.17030620044100261</v>
      </c>
    </row>
    <row r="56" spans="1:6" ht="24" customHeight="1" x14ac:dyDescent="0.25">
      <c r="A56" s="25"/>
      <c r="B56" s="26" t="s">
        <v>54</v>
      </c>
      <c r="C56" s="27">
        <f>SUM(C49:C55)</f>
        <v>93843644</v>
      </c>
      <c r="D56" s="27">
        <f>SUM(D49:D55)</f>
        <v>121314997</v>
      </c>
      <c r="E56" s="27">
        <f t="shared" si="2"/>
        <v>27471353</v>
      </c>
      <c r="F56" s="28">
        <f t="shared" si="3"/>
        <v>0.29273536095848962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241638011</v>
      </c>
      <c r="D59" s="23">
        <v>236199465</v>
      </c>
      <c r="E59" s="23">
        <f>D59-C59</f>
        <v>-5438546</v>
      </c>
      <c r="F59" s="24">
        <f>IF(C59=0,0,E59/C59)</f>
        <v>-2.2506997046917426E-2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241638011</v>
      </c>
      <c r="D61" s="27">
        <f>SUM(D59:D60)</f>
        <v>236199465</v>
      </c>
      <c r="E61" s="27">
        <f>D61-C61</f>
        <v>-5438546</v>
      </c>
      <c r="F61" s="28">
        <f>IF(C61=0,0,E61/C61)</f>
        <v>-2.2506997046917426E-2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186899040</v>
      </c>
      <c r="D63" s="23">
        <v>203820336</v>
      </c>
      <c r="E63" s="23">
        <f>D63-C63</f>
        <v>16921296</v>
      </c>
      <c r="F63" s="24">
        <f>IF(C63=0,0,E63/C63)</f>
        <v>9.053709425152745E-2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428537051</v>
      </c>
      <c r="D65" s="27">
        <f>SUM(D61:D64)</f>
        <v>440019801</v>
      </c>
      <c r="E65" s="27">
        <f>D65-C65</f>
        <v>11482750</v>
      </c>
      <c r="F65" s="28">
        <f>IF(C65=0,0,E65/C65)</f>
        <v>2.679523269506048E-2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102324980</v>
      </c>
      <c r="D70" s="23">
        <v>84991510</v>
      </c>
      <c r="E70" s="23">
        <f>D70-C70</f>
        <v>-17333470</v>
      </c>
      <c r="F70" s="24">
        <f>IF(C70=0,0,E70/C70)</f>
        <v>-0.16939627058808124</v>
      </c>
    </row>
    <row r="71" spans="1:6" ht="24" customHeight="1" x14ac:dyDescent="0.2">
      <c r="A71" s="21">
        <v>2</v>
      </c>
      <c r="B71" s="22" t="s">
        <v>65</v>
      </c>
      <c r="C71" s="23">
        <v>35112873</v>
      </c>
      <c r="D71" s="23">
        <v>36394960</v>
      </c>
      <c r="E71" s="23">
        <f>D71-C71</f>
        <v>1282087</v>
      </c>
      <c r="F71" s="24">
        <f>IF(C71=0,0,E71/C71)</f>
        <v>3.6513303824497641E-2</v>
      </c>
    </row>
    <row r="72" spans="1:6" ht="24" customHeight="1" x14ac:dyDescent="0.2">
      <c r="A72" s="21">
        <v>3</v>
      </c>
      <c r="B72" s="22" t="s">
        <v>66</v>
      </c>
      <c r="C72" s="23">
        <v>46888616</v>
      </c>
      <c r="D72" s="23">
        <v>48880946</v>
      </c>
      <c r="E72" s="23">
        <f>D72-C72</f>
        <v>1992330</v>
      </c>
      <c r="F72" s="24">
        <f>IF(C72=0,0,E72/C72)</f>
        <v>4.2490697528798888E-2</v>
      </c>
    </row>
    <row r="73" spans="1:6" ht="24" customHeight="1" x14ac:dyDescent="0.25">
      <c r="A73" s="21"/>
      <c r="B73" s="26" t="s">
        <v>67</v>
      </c>
      <c r="C73" s="27">
        <f>SUM(C70:C72)</f>
        <v>184326469</v>
      </c>
      <c r="D73" s="27">
        <f>SUM(D70:D72)</f>
        <v>170267416</v>
      </c>
      <c r="E73" s="27">
        <f>D73-C73</f>
        <v>-14059053</v>
      </c>
      <c r="F73" s="28">
        <f>IF(C73=0,0,E73/C73)</f>
        <v>-7.6272567235039918E-2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706707164</v>
      </c>
      <c r="D75" s="27">
        <f>D56+D65+D67+D73</f>
        <v>731602214</v>
      </c>
      <c r="E75" s="27">
        <f>D75-C75</f>
        <v>24895050</v>
      </c>
      <c r="F75" s="28">
        <f>IF(C75=0,0,E75/C75)</f>
        <v>3.5226825576654262E-2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scale="74" fitToHeight="2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2" sqref="A2:E2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600063233</v>
      </c>
      <c r="D11" s="51">
        <v>626551275</v>
      </c>
      <c r="E11" s="51">
        <v>636890313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66338296</v>
      </c>
      <c r="D12" s="49">
        <v>69972004</v>
      </c>
      <c r="E12" s="49">
        <v>76106333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666401529</v>
      </c>
      <c r="D13" s="51">
        <f>+D11+D12</f>
        <v>696523279</v>
      </c>
      <c r="E13" s="51">
        <f>+E11+E12</f>
        <v>712996646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674555030</v>
      </c>
      <c r="D14" s="49">
        <v>667992489</v>
      </c>
      <c r="E14" s="49">
        <v>698483965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-8153501</v>
      </c>
      <c r="D15" s="51">
        <f>+D13-D14</f>
        <v>28530790</v>
      </c>
      <c r="E15" s="51">
        <f>+E13-E14</f>
        <v>14512681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-16993109</v>
      </c>
      <c r="D16" s="49">
        <v>-11787065</v>
      </c>
      <c r="E16" s="49">
        <v>-9180063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-25146610</v>
      </c>
      <c r="D17" s="51">
        <f>D15+D16</f>
        <v>16743725</v>
      </c>
      <c r="E17" s="51">
        <f>E15+E16</f>
        <v>5332618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-1.2555274537401287E-2</v>
      </c>
      <c r="D20" s="169">
        <f>IF(+D27=0,0,+D24/+D27)</f>
        <v>4.1666833762643671E-2</v>
      </c>
      <c r="E20" s="169">
        <f>IF(+E27=0,0,+E24/+E27)</f>
        <v>2.0619975929154825E-2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-2.6167059860418809E-2</v>
      </c>
      <c r="D21" s="169">
        <f>IF(+D27=0,0,+D26/+D27)</f>
        <v>-1.7214023092402119E-2</v>
      </c>
      <c r="E21" s="169">
        <f>IF(+E27=0,0,+E26/+E27)</f>
        <v>-1.3043260448439875E-2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-3.8722334397820093E-2</v>
      </c>
      <c r="D22" s="169">
        <f>IF(+D27=0,0,+D28/+D27)</f>
        <v>2.4452810670241548E-2</v>
      </c>
      <c r="E22" s="169">
        <f>IF(+E27=0,0,+E28/+E27)</f>
        <v>7.5767154807149517E-3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-8153501</v>
      </c>
      <c r="D24" s="51">
        <f>+D15</f>
        <v>28530790</v>
      </c>
      <c r="E24" s="51">
        <f>+E15</f>
        <v>14512681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666401529</v>
      </c>
      <c r="D25" s="51">
        <f>+D13</f>
        <v>696523279</v>
      </c>
      <c r="E25" s="51">
        <f>+E13</f>
        <v>712996646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-16993109</v>
      </c>
      <c r="D26" s="51">
        <f>+D16</f>
        <v>-11787065</v>
      </c>
      <c r="E26" s="51">
        <f>+E16</f>
        <v>-9180063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649408420</v>
      </c>
      <c r="D27" s="51">
        <f>SUM(D25:D26)</f>
        <v>684736214</v>
      </c>
      <c r="E27" s="51">
        <f>SUM(E25:E26)</f>
        <v>703816583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-25146610</v>
      </c>
      <c r="D28" s="51">
        <f>+D17</f>
        <v>16743725</v>
      </c>
      <c r="E28" s="51">
        <f>+E17</f>
        <v>5332618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190760558</v>
      </c>
      <c r="D31" s="51">
        <v>149366510</v>
      </c>
      <c r="E31" s="52">
        <v>142347421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266872121</v>
      </c>
      <c r="D32" s="51">
        <v>232126032</v>
      </c>
      <c r="E32" s="51">
        <v>228689125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-68307295</v>
      </c>
      <c r="D33" s="51">
        <f>+D32-C32</f>
        <v>-34746089</v>
      </c>
      <c r="E33" s="51">
        <f>+E32-D32</f>
        <v>-3436907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0.79620000000000002</v>
      </c>
      <c r="D34" s="171">
        <f>IF(C32=0,0,+D33/C32)</f>
        <v>-0.13019752258048714</v>
      </c>
      <c r="E34" s="171">
        <f>IF(D32=0,0,+E33/D32)</f>
        <v>-1.4806210963878449E-2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1.3228841455609852</v>
      </c>
      <c r="D38" s="269">
        <f>IF(+D40=0,0,+D39/+D40)</f>
        <v>1.8914390104335943</v>
      </c>
      <c r="E38" s="269">
        <f>IF(+E40=0,0,+E39/+E40)</f>
        <v>1.7092678118226481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163326519</v>
      </c>
      <c r="D39" s="270">
        <v>199003112</v>
      </c>
      <c r="E39" s="270">
        <v>231458465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123462451</v>
      </c>
      <c r="D40" s="270">
        <v>105212545</v>
      </c>
      <c r="E40" s="270">
        <v>135413809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33.29899998677115</v>
      </c>
      <c r="D42" s="271">
        <f>IF((D48/365)=0,0,+D45/(D48/365))</f>
        <v>56.457107585679616</v>
      </c>
      <c r="E42" s="271">
        <f>IF((E48/365)=0,0,+E45/(E48/365))</f>
        <v>73.408138708467348</v>
      </c>
    </row>
    <row r="43" spans="1:14" ht="24" customHeight="1" x14ac:dyDescent="0.2">
      <c r="A43" s="17">
        <v>5</v>
      </c>
      <c r="B43" s="188" t="s">
        <v>16</v>
      </c>
      <c r="C43" s="272">
        <v>37693479</v>
      </c>
      <c r="D43" s="272">
        <v>91550980</v>
      </c>
      <c r="E43" s="272">
        <v>122056032</v>
      </c>
    </row>
    <row r="44" spans="1:14" ht="24" customHeight="1" x14ac:dyDescent="0.2">
      <c r="A44" s="17">
        <v>6</v>
      </c>
      <c r="B44" s="273" t="s">
        <v>17</v>
      </c>
      <c r="C44" s="274">
        <v>21476784</v>
      </c>
      <c r="D44" s="274">
        <v>7714223</v>
      </c>
      <c r="E44" s="274">
        <v>12991665</v>
      </c>
    </row>
    <row r="45" spans="1:14" ht="24" customHeight="1" x14ac:dyDescent="0.2">
      <c r="A45" s="17">
        <v>7</v>
      </c>
      <c r="B45" s="45" t="s">
        <v>346</v>
      </c>
      <c r="C45" s="270">
        <f>+C43+C44</f>
        <v>59170263</v>
      </c>
      <c r="D45" s="270">
        <f>+D43+D44</f>
        <v>99265203</v>
      </c>
      <c r="E45" s="270">
        <f>+E43+E44</f>
        <v>135047697</v>
      </c>
    </row>
    <row r="46" spans="1:14" ht="24" customHeight="1" x14ac:dyDescent="0.2">
      <c r="A46" s="17">
        <v>8</v>
      </c>
      <c r="B46" s="45" t="s">
        <v>324</v>
      </c>
      <c r="C46" s="270">
        <f>+C14</f>
        <v>674555030</v>
      </c>
      <c r="D46" s="270">
        <f>+D14</f>
        <v>667992489</v>
      </c>
      <c r="E46" s="270">
        <f>+E14</f>
        <v>698483965</v>
      </c>
    </row>
    <row r="47" spans="1:14" ht="24" customHeight="1" x14ac:dyDescent="0.2">
      <c r="A47" s="17">
        <v>9</v>
      </c>
      <c r="B47" s="45" t="s">
        <v>347</v>
      </c>
      <c r="C47" s="270">
        <v>25972610</v>
      </c>
      <c r="D47" s="270">
        <v>26234513</v>
      </c>
      <c r="E47" s="270">
        <v>26999709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648582420</v>
      </c>
      <c r="D48" s="270">
        <f>+D46-D47</f>
        <v>641757976</v>
      </c>
      <c r="E48" s="270">
        <f>+E46-E47</f>
        <v>671484256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46.975906879133852</v>
      </c>
      <c r="D50" s="278">
        <f>IF((D55/365)=0,0,+D54/(D55/365))</f>
        <v>39.867498992799909</v>
      </c>
      <c r="E50" s="278">
        <f>IF((E55/365)=0,0,+E54/(E55/365))</f>
        <v>38.780930351503081</v>
      </c>
    </row>
    <row r="51" spans="1:5" ht="24" customHeight="1" x14ac:dyDescent="0.2">
      <c r="A51" s="17">
        <v>12</v>
      </c>
      <c r="B51" s="188" t="s">
        <v>350</v>
      </c>
      <c r="C51" s="279">
        <v>81787796</v>
      </c>
      <c r="D51" s="279">
        <v>75159184</v>
      </c>
      <c r="E51" s="279">
        <v>65990123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1678915</v>
      </c>
    </row>
    <row r="53" spans="1:5" ht="24" customHeight="1" x14ac:dyDescent="0.2">
      <c r="A53" s="17">
        <v>14</v>
      </c>
      <c r="B53" s="188" t="s">
        <v>49</v>
      </c>
      <c r="C53" s="270">
        <v>4558989</v>
      </c>
      <c r="D53" s="270">
        <v>6723479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77228807</v>
      </c>
      <c r="D54" s="280">
        <f>+D51+D52-D53</f>
        <v>68435705</v>
      </c>
      <c r="E54" s="280">
        <f>+E51+E52-E53</f>
        <v>67669038</v>
      </c>
    </row>
    <row r="55" spans="1:5" ht="24" customHeight="1" x14ac:dyDescent="0.2">
      <c r="A55" s="17">
        <v>16</v>
      </c>
      <c r="B55" s="45" t="s">
        <v>75</v>
      </c>
      <c r="C55" s="270">
        <f>+C11</f>
        <v>600063233</v>
      </c>
      <c r="D55" s="270">
        <f>+D11</f>
        <v>626551275</v>
      </c>
      <c r="E55" s="270">
        <f>+E11</f>
        <v>636890313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69.480444158508035</v>
      </c>
      <c r="D57" s="283">
        <f>IF((D61/365)=0,0,+D58/(D61/365))</f>
        <v>59.839659748926906</v>
      </c>
      <c r="E57" s="283">
        <f>IF((E61/365)=0,0,+E58/(E61/365))</f>
        <v>73.607146918720915</v>
      </c>
    </row>
    <row r="58" spans="1:5" ht="24" customHeight="1" x14ac:dyDescent="0.2">
      <c r="A58" s="17">
        <v>18</v>
      </c>
      <c r="B58" s="45" t="s">
        <v>54</v>
      </c>
      <c r="C58" s="281">
        <f>+C40</f>
        <v>123462451</v>
      </c>
      <c r="D58" s="281">
        <f>+D40</f>
        <v>105212545</v>
      </c>
      <c r="E58" s="281">
        <f>+E40</f>
        <v>135413809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674555030</v>
      </c>
      <c r="D59" s="281">
        <f t="shared" si="0"/>
        <v>667992489</v>
      </c>
      <c r="E59" s="281">
        <f t="shared" si="0"/>
        <v>698483965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25972610</v>
      </c>
      <c r="D60" s="176">
        <f t="shared" si="0"/>
        <v>26234513</v>
      </c>
      <c r="E60" s="176">
        <f t="shared" si="0"/>
        <v>26999709</v>
      </c>
    </row>
    <row r="61" spans="1:5" ht="24" customHeight="1" x14ac:dyDescent="0.2">
      <c r="A61" s="17">
        <v>21</v>
      </c>
      <c r="B61" s="45" t="s">
        <v>353</v>
      </c>
      <c r="C61" s="281">
        <f>+C59-C60</f>
        <v>648582420</v>
      </c>
      <c r="D61" s="281">
        <f>+D59-D60</f>
        <v>641757976</v>
      </c>
      <c r="E61" s="281">
        <f>+E59-E60</f>
        <v>671484256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35.129094169630157</v>
      </c>
      <c r="D65" s="284">
        <f>IF(D67=0,0,(D66/D67)*100)</f>
        <v>29.179416642768352</v>
      </c>
      <c r="E65" s="284">
        <f>IF(E67=0,0,(E66/E67)*100)</f>
        <v>27.329626051212141</v>
      </c>
    </row>
    <row r="66" spans="1:5" ht="24" customHeight="1" x14ac:dyDescent="0.2">
      <c r="A66" s="17">
        <v>2</v>
      </c>
      <c r="B66" s="45" t="s">
        <v>67</v>
      </c>
      <c r="C66" s="281">
        <f>+C32</f>
        <v>266872121</v>
      </c>
      <c r="D66" s="281">
        <f>+D32</f>
        <v>232126032</v>
      </c>
      <c r="E66" s="281">
        <f>+E32</f>
        <v>228689125</v>
      </c>
    </row>
    <row r="67" spans="1:5" ht="24" customHeight="1" x14ac:dyDescent="0.2">
      <c r="A67" s="17">
        <v>3</v>
      </c>
      <c r="B67" s="45" t="s">
        <v>43</v>
      </c>
      <c r="C67" s="281">
        <v>759689731</v>
      </c>
      <c r="D67" s="281">
        <v>795512929</v>
      </c>
      <c r="E67" s="281">
        <v>836781025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0.2317149607726629</v>
      </c>
      <c r="D69" s="284">
        <f>IF(D75=0,0,(D72/D75)*100)</f>
        <v>12.39099585009747</v>
      </c>
      <c r="E69" s="284">
        <f>IF(E75=0,0,(E72/E75)*100)</f>
        <v>8.7005307027864678</v>
      </c>
    </row>
    <row r="70" spans="1:5" ht="24" customHeight="1" x14ac:dyDescent="0.2">
      <c r="A70" s="17">
        <v>5</v>
      </c>
      <c r="B70" s="45" t="s">
        <v>358</v>
      </c>
      <c r="C70" s="281">
        <f>+C28</f>
        <v>-25146610</v>
      </c>
      <c r="D70" s="281">
        <f>+D28</f>
        <v>16743725</v>
      </c>
      <c r="E70" s="281">
        <f>+E28</f>
        <v>5332618</v>
      </c>
    </row>
    <row r="71" spans="1:5" ht="24" customHeight="1" x14ac:dyDescent="0.2">
      <c r="A71" s="17">
        <v>6</v>
      </c>
      <c r="B71" s="45" t="s">
        <v>347</v>
      </c>
      <c r="C71" s="176">
        <f>+C47</f>
        <v>25972610</v>
      </c>
      <c r="D71" s="176">
        <f>+D47</f>
        <v>26234513</v>
      </c>
      <c r="E71" s="176">
        <f>+E47</f>
        <v>26999709</v>
      </c>
    </row>
    <row r="72" spans="1:5" ht="24" customHeight="1" x14ac:dyDescent="0.2">
      <c r="A72" s="17">
        <v>7</v>
      </c>
      <c r="B72" s="45" t="s">
        <v>359</v>
      </c>
      <c r="C72" s="281">
        <f>+C70+C71</f>
        <v>826000</v>
      </c>
      <c r="D72" s="281">
        <f>+D70+D71</f>
        <v>42978238</v>
      </c>
      <c r="E72" s="281">
        <f>+E70+E71</f>
        <v>32332327</v>
      </c>
    </row>
    <row r="73" spans="1:5" ht="24" customHeight="1" x14ac:dyDescent="0.2">
      <c r="A73" s="17">
        <v>8</v>
      </c>
      <c r="B73" s="45" t="s">
        <v>54</v>
      </c>
      <c r="C73" s="270">
        <f>+C40</f>
        <v>123462451</v>
      </c>
      <c r="D73" s="270">
        <f>+D40</f>
        <v>105212545</v>
      </c>
      <c r="E73" s="270">
        <f>+E40</f>
        <v>135413809</v>
      </c>
    </row>
    <row r="74" spans="1:5" ht="24" customHeight="1" x14ac:dyDescent="0.2">
      <c r="A74" s="17">
        <v>9</v>
      </c>
      <c r="B74" s="45" t="s">
        <v>58</v>
      </c>
      <c r="C74" s="281">
        <v>233010000</v>
      </c>
      <c r="D74" s="281">
        <v>241638011</v>
      </c>
      <c r="E74" s="281">
        <v>236199465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356472451</v>
      </c>
      <c r="D75" s="270">
        <f>+D73+D74</f>
        <v>346850556</v>
      </c>
      <c r="E75" s="270">
        <f>+E73+E74</f>
        <v>371613274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46.612989385151465</v>
      </c>
      <c r="D77" s="286">
        <f>IF(D80=0,0,(D78/D80)*100)</f>
        <v>51.003873039811928</v>
      </c>
      <c r="E77" s="286">
        <f>IF(E80=0,0,(E78/E80)*100)</f>
        <v>50.807756972482373</v>
      </c>
    </row>
    <row r="78" spans="1:5" ht="24" customHeight="1" x14ac:dyDescent="0.2">
      <c r="A78" s="17">
        <v>12</v>
      </c>
      <c r="B78" s="45" t="s">
        <v>58</v>
      </c>
      <c r="C78" s="270">
        <f>+C74</f>
        <v>233010000</v>
      </c>
      <c r="D78" s="270">
        <f>+D74</f>
        <v>241638011</v>
      </c>
      <c r="E78" s="270">
        <f>+E74</f>
        <v>236199465</v>
      </c>
    </row>
    <row r="79" spans="1:5" ht="24" customHeight="1" x14ac:dyDescent="0.2">
      <c r="A79" s="17">
        <v>13</v>
      </c>
      <c r="B79" s="45" t="s">
        <v>67</v>
      </c>
      <c r="C79" s="270">
        <f>+C32</f>
        <v>266872121</v>
      </c>
      <c r="D79" s="270">
        <f>+D32</f>
        <v>232126032</v>
      </c>
      <c r="E79" s="270">
        <f>+E32</f>
        <v>228689125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499882121</v>
      </c>
      <c r="D80" s="270">
        <f>+D78+D79</f>
        <v>473764043</v>
      </c>
      <c r="E80" s="270">
        <f>+E78+E79</f>
        <v>464888590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FILING&amp;R&amp;8SAINT FRANCIS CARE,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2" sqref="B2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104685</v>
      </c>
      <c r="D11" s="297">
        <v>381</v>
      </c>
      <c r="E11" s="297">
        <v>381</v>
      </c>
      <c r="F11" s="298">
        <f>IF(D11=0,0,$C11/(D11*365))</f>
        <v>0.75277747815769602</v>
      </c>
      <c r="G11" s="298">
        <f>IF(E11=0,0,$C11/(E11*365))</f>
        <v>0.75277747815769602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10839</v>
      </c>
      <c r="D13" s="297">
        <v>42</v>
      </c>
      <c r="E13" s="297">
        <v>42</v>
      </c>
      <c r="F13" s="298">
        <f>IF(D13=0,0,$C13/(D13*365))</f>
        <v>0.70704500978473583</v>
      </c>
      <c r="G13" s="298">
        <f>IF(E13=0,0,$C13/(E13*365))</f>
        <v>0.70704500978473583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5488</v>
      </c>
      <c r="D15" s="297">
        <v>25</v>
      </c>
      <c r="E15" s="297">
        <v>25</v>
      </c>
      <c r="F15" s="298">
        <f t="shared" ref="F15:G17" si="0">IF(D15=0,0,$C15/(D15*365))</f>
        <v>0.60142465753424657</v>
      </c>
      <c r="G15" s="298">
        <f t="shared" si="0"/>
        <v>0.60142465753424657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10846</v>
      </c>
      <c r="D16" s="297">
        <v>60</v>
      </c>
      <c r="E16" s="297">
        <v>60</v>
      </c>
      <c r="F16" s="298">
        <f t="shared" si="0"/>
        <v>0.49525114155251143</v>
      </c>
      <c r="G16" s="298">
        <f t="shared" si="0"/>
        <v>0.49525114155251143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16334</v>
      </c>
      <c r="D17" s="300">
        <f>SUM(D15:D16)</f>
        <v>85</v>
      </c>
      <c r="E17" s="300">
        <f>SUM(E15:E16)</f>
        <v>85</v>
      </c>
      <c r="F17" s="301">
        <f t="shared" si="0"/>
        <v>0.52647864625302176</v>
      </c>
      <c r="G17" s="301">
        <f t="shared" si="0"/>
        <v>0.52647864625302176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10090</v>
      </c>
      <c r="D21" s="297">
        <v>30</v>
      </c>
      <c r="E21" s="297">
        <v>30</v>
      </c>
      <c r="F21" s="298">
        <f>IF(D21=0,0,$C21/(D21*365))</f>
        <v>0.9214611872146119</v>
      </c>
      <c r="G21" s="298">
        <f>IF(E21=0,0,$C21/(E21*365))</f>
        <v>0.9214611872146119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6255</v>
      </c>
      <c r="D23" s="297">
        <v>27</v>
      </c>
      <c r="E23" s="297">
        <v>27</v>
      </c>
      <c r="F23" s="298">
        <f>IF(D23=0,0,$C23/(D23*365))</f>
        <v>0.63470319634703198</v>
      </c>
      <c r="G23" s="298">
        <f>IF(E23=0,0,$C23/(E23*365))</f>
        <v>0.63470319634703198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6257</v>
      </c>
      <c r="D25" s="297">
        <v>28</v>
      </c>
      <c r="E25" s="297">
        <v>28</v>
      </c>
      <c r="F25" s="298">
        <f>IF(D25=0,0,$C25/(D25*365))</f>
        <v>0.6122309197651663</v>
      </c>
      <c r="G25" s="298">
        <f>IF(E25=0,0,$C25/(E25*365))</f>
        <v>0.6122309197651663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148205</v>
      </c>
      <c r="D31" s="300">
        <f>SUM(D10:D29)-D17-D23</f>
        <v>566</v>
      </c>
      <c r="E31" s="300">
        <f>SUM(E10:E29)-E17-E23</f>
        <v>566</v>
      </c>
      <c r="F31" s="301">
        <f>IF(D31=0,0,$C31/(D31*365))</f>
        <v>0.71738709521274024</v>
      </c>
      <c r="G31" s="301">
        <f>IF(E31=0,0,$C31/(E31*365))</f>
        <v>0.71738709521274024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154460</v>
      </c>
      <c r="D33" s="300">
        <f>SUM(D10:D29)-D17</f>
        <v>593</v>
      </c>
      <c r="E33" s="300">
        <f>SUM(E10:E29)-E17</f>
        <v>593</v>
      </c>
      <c r="F33" s="301">
        <f>IF(D33=0,0,$C33/(D33*365))</f>
        <v>0.71362239829979901</v>
      </c>
      <c r="G33" s="301">
        <f>IF(E33=0,0,$C33/(E33*365))</f>
        <v>0.71362239829979901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154460</v>
      </c>
      <c r="D36" s="300">
        <f>+D33</f>
        <v>593</v>
      </c>
      <c r="E36" s="300">
        <f>+E33</f>
        <v>593</v>
      </c>
      <c r="F36" s="301">
        <f>+F33</f>
        <v>0.71362239829979901</v>
      </c>
      <c r="G36" s="301">
        <f>+G33</f>
        <v>0.71362239829979901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162158</v>
      </c>
      <c r="D37" s="302">
        <v>593</v>
      </c>
      <c r="E37" s="302">
        <v>593</v>
      </c>
      <c r="F37" s="301">
        <f>IF(D37=0,0,$C37/(D37*365))</f>
        <v>0.74918801543117186</v>
      </c>
      <c r="G37" s="301">
        <f>IF(E37=0,0,$C37/(E37*365))</f>
        <v>0.74918801543117186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-7698</v>
      </c>
      <c r="D38" s="300">
        <f>+D36-D37</f>
        <v>0</v>
      </c>
      <c r="E38" s="300">
        <f>+E36-E37</f>
        <v>0</v>
      </c>
      <c r="F38" s="301">
        <f>+F36-F37</f>
        <v>-3.5565617131372851E-2</v>
      </c>
      <c r="G38" s="301">
        <f>+G36-G37</f>
        <v>-3.5565617131372851E-2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-4.7472218453606975E-2</v>
      </c>
      <c r="D40" s="148">
        <f>IF(D37=0,0,D38/D37)</f>
        <v>0</v>
      </c>
      <c r="E40" s="148">
        <f>IF(E37=0,0,E38/E37)</f>
        <v>0</v>
      </c>
      <c r="F40" s="148">
        <f>IF(F37=0,0,F38/F37)</f>
        <v>-4.7472218453606954E-2</v>
      </c>
      <c r="G40" s="148">
        <f>IF(G37=0,0,G38/G37)</f>
        <v>-4.7472218453606954E-2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682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FILING&amp;RSAINT FRANCIS HOSPITAL AND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23491</v>
      </c>
      <c r="D12" s="296">
        <v>20518</v>
      </c>
      <c r="E12" s="296">
        <f>+D12-C12</f>
        <v>-2973</v>
      </c>
      <c r="F12" s="316">
        <f>IF(C12=0,0,+E12/C12)</f>
        <v>-0.12655910774339107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14434</v>
      </c>
      <c r="D13" s="296">
        <v>13911</v>
      </c>
      <c r="E13" s="296">
        <f>+D13-C13</f>
        <v>-523</v>
      </c>
      <c r="F13" s="316">
        <f>IF(C13=0,0,+E13/C13)</f>
        <v>-3.6233892198974646E-2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16664</v>
      </c>
      <c r="D14" s="296">
        <v>14676</v>
      </c>
      <c r="E14" s="296">
        <f>+D14-C14</f>
        <v>-1988</v>
      </c>
      <c r="F14" s="316">
        <f>IF(C14=0,0,+E14/C14)</f>
        <v>-0.11929908785405664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54589</v>
      </c>
      <c r="D16" s="300">
        <f>SUM(D12:D15)</f>
        <v>49105</v>
      </c>
      <c r="E16" s="300">
        <f>+D16-C16</f>
        <v>-5484</v>
      </c>
      <c r="F16" s="309">
        <f>IF(C16=0,0,+E16/C16)</f>
        <v>-0.10045979959332466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4001</v>
      </c>
      <c r="D19" s="296">
        <v>3846</v>
      </c>
      <c r="E19" s="296">
        <f>+D19-C19</f>
        <v>-155</v>
      </c>
      <c r="F19" s="316">
        <f>IF(C19=0,0,+E19/C19)</f>
        <v>-3.8740314921269683E-2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10040</v>
      </c>
      <c r="D20" s="296">
        <v>9482</v>
      </c>
      <c r="E20" s="296">
        <f>+D20-C20</f>
        <v>-558</v>
      </c>
      <c r="F20" s="316">
        <f>IF(C20=0,0,+E20/C20)</f>
        <v>-5.5577689243027889E-2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513</v>
      </c>
      <c r="D21" s="296">
        <v>521</v>
      </c>
      <c r="E21" s="296">
        <f>+D21-C21</f>
        <v>8</v>
      </c>
      <c r="F21" s="316">
        <f>IF(C21=0,0,+E21/C21)</f>
        <v>1.5594541910331383E-2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14554</v>
      </c>
      <c r="D23" s="300">
        <f>SUM(D19:D22)</f>
        <v>13849</v>
      </c>
      <c r="E23" s="300">
        <f>+D23-C23</f>
        <v>-705</v>
      </c>
      <c r="F23" s="309">
        <f>IF(C23=0,0,+E23/C23)</f>
        <v>-4.8440291328844302E-2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11</v>
      </c>
      <c r="D33" s="296">
        <v>6</v>
      </c>
      <c r="E33" s="296">
        <f>+D33-C33</f>
        <v>-5</v>
      </c>
      <c r="F33" s="316">
        <f>IF(C33=0,0,+E33/C33)</f>
        <v>-0.45454545454545453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1882</v>
      </c>
      <c r="D34" s="296">
        <v>1746</v>
      </c>
      <c r="E34" s="296">
        <f>+D34-C34</f>
        <v>-136</v>
      </c>
      <c r="F34" s="316">
        <f>IF(C34=0,0,+E34/C34)</f>
        <v>-7.226354941551541E-2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1</v>
      </c>
      <c r="D35" s="296">
        <v>0</v>
      </c>
      <c r="E35" s="296">
        <f>+D35-C35</f>
        <v>-1</v>
      </c>
      <c r="F35" s="316">
        <f>IF(C35=0,0,+E35/C35)</f>
        <v>-1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1894</v>
      </c>
      <c r="D37" s="300">
        <f>SUM(D33:D36)</f>
        <v>1752</v>
      </c>
      <c r="E37" s="300">
        <f>+D37-C37</f>
        <v>-142</v>
      </c>
      <c r="F37" s="309">
        <f>IF(C37=0,0,+E37/C37)</f>
        <v>-7.4973600844772961E-2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789</v>
      </c>
      <c r="D43" s="296">
        <v>879</v>
      </c>
      <c r="E43" s="296">
        <f>+D43-C43</f>
        <v>90</v>
      </c>
      <c r="F43" s="316">
        <f>IF(C43=0,0,+E43/C43)</f>
        <v>0.11406844106463879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20157</v>
      </c>
      <c r="D44" s="296">
        <v>20154</v>
      </c>
      <c r="E44" s="296">
        <f>+D44-C44</f>
        <v>-3</v>
      </c>
      <c r="F44" s="316">
        <f>IF(C44=0,0,+E44/C44)</f>
        <v>-1.4883167137966959E-4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20946</v>
      </c>
      <c r="D45" s="300">
        <f>SUM(D43:D44)</f>
        <v>21033</v>
      </c>
      <c r="E45" s="300">
        <f>+D45-C45</f>
        <v>87</v>
      </c>
      <c r="F45" s="309">
        <f>IF(C45=0,0,+E45/C45)</f>
        <v>4.1535376682898884E-3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2332</v>
      </c>
      <c r="D48" s="296">
        <v>2245</v>
      </c>
      <c r="E48" s="296">
        <f>+D48-C48</f>
        <v>-87</v>
      </c>
      <c r="F48" s="316">
        <f>IF(C48=0,0,+E48/C48)</f>
        <v>-3.7307032590051456E-2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1574</v>
      </c>
      <c r="D49" s="296">
        <v>1697</v>
      </c>
      <c r="E49" s="296">
        <f>+D49-C49</f>
        <v>123</v>
      </c>
      <c r="F49" s="316">
        <f>IF(C49=0,0,+E49/C49)</f>
        <v>7.8144853875476497E-2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3906</v>
      </c>
      <c r="D50" s="300">
        <f>SUM(D48:D49)</f>
        <v>3942</v>
      </c>
      <c r="E50" s="300">
        <f>+D50-C50</f>
        <v>36</v>
      </c>
      <c r="F50" s="309">
        <f>IF(C50=0,0,+E50/C50)</f>
        <v>9.2165898617511521E-3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449</v>
      </c>
      <c r="D53" s="296">
        <v>383</v>
      </c>
      <c r="E53" s="296">
        <f>+D53-C53</f>
        <v>-66</v>
      </c>
      <c r="F53" s="316">
        <f>IF(C53=0,0,+E53/C53)</f>
        <v>-0.14699331848552338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795</v>
      </c>
      <c r="D54" s="296">
        <v>678</v>
      </c>
      <c r="E54" s="296">
        <f>+D54-C54</f>
        <v>-117</v>
      </c>
      <c r="F54" s="316">
        <f>IF(C54=0,0,+E54/C54)</f>
        <v>-0.14716981132075471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1244</v>
      </c>
      <c r="D55" s="300">
        <f>SUM(D53:D54)</f>
        <v>1061</v>
      </c>
      <c r="E55" s="300">
        <f>+D55-C55</f>
        <v>-183</v>
      </c>
      <c r="F55" s="309">
        <f>IF(C55=0,0,+E55/C55)</f>
        <v>-0.14710610932475884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534</v>
      </c>
      <c r="D58" s="296">
        <v>472</v>
      </c>
      <c r="E58" s="296">
        <f>+D58-C58</f>
        <v>-62</v>
      </c>
      <c r="F58" s="316">
        <f>IF(C58=0,0,+E58/C58)</f>
        <v>-0.11610486891385768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229</v>
      </c>
      <c r="D59" s="296">
        <v>293</v>
      </c>
      <c r="E59" s="296">
        <f>+D59-C59</f>
        <v>64</v>
      </c>
      <c r="F59" s="316">
        <f>IF(C59=0,0,+E59/C59)</f>
        <v>0.27947598253275108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763</v>
      </c>
      <c r="D60" s="300">
        <f>SUM(D58:D59)</f>
        <v>765</v>
      </c>
      <c r="E60" s="300">
        <f>SUM(E58:E59)</f>
        <v>2</v>
      </c>
      <c r="F60" s="309">
        <f>IF(C60=0,0,+E60/C60)</f>
        <v>2.6212319790301442E-3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10505</v>
      </c>
      <c r="D63" s="296">
        <v>10187</v>
      </c>
      <c r="E63" s="296">
        <f>+D63-C63</f>
        <v>-318</v>
      </c>
      <c r="F63" s="316">
        <f>IF(C63=0,0,+E63/C63)</f>
        <v>-3.0271299381247025E-2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20496</v>
      </c>
      <c r="D64" s="296">
        <v>18859</v>
      </c>
      <c r="E64" s="296">
        <f>+D64-C64</f>
        <v>-1637</v>
      </c>
      <c r="F64" s="316">
        <f>IF(C64=0,0,+E64/C64)</f>
        <v>-7.986924277907885E-2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31001</v>
      </c>
      <c r="D65" s="300">
        <f>SUM(D63:D64)</f>
        <v>29046</v>
      </c>
      <c r="E65" s="300">
        <f>+D65-C65</f>
        <v>-1955</v>
      </c>
      <c r="F65" s="309">
        <f>IF(C65=0,0,+E65/C65)</f>
        <v>-6.3062481855424013E-2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1622</v>
      </c>
      <c r="D68" s="296">
        <v>1533</v>
      </c>
      <c r="E68" s="296">
        <f>+D68-C68</f>
        <v>-89</v>
      </c>
      <c r="F68" s="316">
        <f>IF(C68=0,0,+E68/C68)</f>
        <v>-5.4870530209617754E-2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10264</v>
      </c>
      <c r="D69" s="296">
        <v>8366</v>
      </c>
      <c r="E69" s="296">
        <f>+D69-C69</f>
        <v>-1898</v>
      </c>
      <c r="F69" s="318">
        <f>IF(C69=0,0,+E69/C69)</f>
        <v>-0.18491816056118474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11886</v>
      </c>
      <c r="D70" s="300">
        <f>SUM(D68:D69)</f>
        <v>9899</v>
      </c>
      <c r="E70" s="300">
        <f>+D70-C70</f>
        <v>-1987</v>
      </c>
      <c r="F70" s="309">
        <f>IF(C70=0,0,+E70/C70)</f>
        <v>-0.16717146222446574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15645</v>
      </c>
      <c r="D73" s="319">
        <v>15060</v>
      </c>
      <c r="E73" s="296">
        <f>+D73-C73</f>
        <v>-585</v>
      </c>
      <c r="F73" s="316">
        <f>IF(C73=0,0,+E73/C73)</f>
        <v>-3.7392138063279005E-2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53595</v>
      </c>
      <c r="D74" s="319">
        <v>54430</v>
      </c>
      <c r="E74" s="296">
        <f>+D74-C74</f>
        <v>835</v>
      </c>
      <c r="F74" s="316">
        <f>IF(C74=0,0,+E74/C74)</f>
        <v>1.5579811549584849E-2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69240</v>
      </c>
      <c r="D75" s="300">
        <f>SUM(D73:D74)</f>
        <v>69490</v>
      </c>
      <c r="E75" s="300">
        <f>SUM(E73:E74)</f>
        <v>250</v>
      </c>
      <c r="F75" s="309">
        <f>IF(C75=0,0,+E75/C75)</f>
        <v>3.6106296938186021E-3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297</v>
      </c>
      <c r="D81" s="319">
        <v>230</v>
      </c>
      <c r="E81" s="296">
        <f t="shared" si="0"/>
        <v>-67</v>
      </c>
      <c r="F81" s="316">
        <f t="shared" si="1"/>
        <v>-0.22558922558922559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22830</v>
      </c>
      <c r="D82" s="319">
        <v>21473</v>
      </c>
      <c r="E82" s="296">
        <f t="shared" si="0"/>
        <v>-1357</v>
      </c>
      <c r="F82" s="316">
        <f t="shared" si="1"/>
        <v>-5.9439334209373633E-2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56802</v>
      </c>
      <c r="D83" s="319">
        <v>56678</v>
      </c>
      <c r="E83" s="296">
        <f t="shared" si="0"/>
        <v>-124</v>
      </c>
      <c r="F83" s="316">
        <f t="shared" si="1"/>
        <v>-2.1830217245871622E-3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79929</v>
      </c>
      <c r="D84" s="320">
        <f>SUM(D79:D83)</f>
        <v>78381</v>
      </c>
      <c r="E84" s="300">
        <f t="shared" si="0"/>
        <v>-1548</v>
      </c>
      <c r="F84" s="309">
        <f t="shared" si="1"/>
        <v>-1.9367188379686973E-2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4352</v>
      </c>
      <c r="D87" s="322">
        <v>4503</v>
      </c>
      <c r="E87" s="323">
        <f t="shared" ref="E87:E92" si="2">+D87-C87</f>
        <v>151</v>
      </c>
      <c r="F87" s="318">
        <f t="shared" ref="F87:F92" si="3">IF(C87=0,0,+E87/C87)</f>
        <v>3.469669117647059E-2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694</v>
      </c>
      <c r="D88" s="322">
        <v>620</v>
      </c>
      <c r="E88" s="296">
        <f t="shared" si="2"/>
        <v>-74</v>
      </c>
      <c r="F88" s="316">
        <f t="shared" si="3"/>
        <v>-0.10662824207492795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3022</v>
      </c>
      <c r="D89" s="322">
        <v>3364</v>
      </c>
      <c r="E89" s="296">
        <f t="shared" si="2"/>
        <v>342</v>
      </c>
      <c r="F89" s="316">
        <f t="shared" si="3"/>
        <v>0.11317008603573792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1646</v>
      </c>
      <c r="D90" s="322">
        <v>1622</v>
      </c>
      <c r="E90" s="296">
        <f t="shared" si="2"/>
        <v>-24</v>
      </c>
      <c r="F90" s="316">
        <f t="shared" si="3"/>
        <v>-1.4580801944106925E-2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172080</v>
      </c>
      <c r="D91" s="322">
        <v>168585</v>
      </c>
      <c r="E91" s="296">
        <f t="shared" si="2"/>
        <v>-3495</v>
      </c>
      <c r="F91" s="316">
        <f t="shared" si="3"/>
        <v>-2.0310320781032079E-2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181794</v>
      </c>
      <c r="D92" s="320">
        <f>SUM(D87:D91)</f>
        <v>178694</v>
      </c>
      <c r="E92" s="300">
        <f t="shared" si="2"/>
        <v>-3100</v>
      </c>
      <c r="F92" s="309">
        <f t="shared" si="3"/>
        <v>-1.7052267951637567E-2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1378.3</v>
      </c>
      <c r="D96" s="325">
        <v>1364.4</v>
      </c>
      <c r="E96" s="326">
        <f>+D96-C96</f>
        <v>-13.899999999999864</v>
      </c>
      <c r="F96" s="316">
        <f>IF(C96=0,0,+E96/C96)</f>
        <v>-1.0084887179859147E-2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78</v>
      </c>
      <c r="D97" s="325">
        <v>75.5</v>
      </c>
      <c r="E97" s="326">
        <f>+D97-C97</f>
        <v>-2.5</v>
      </c>
      <c r="F97" s="316">
        <f>IF(C97=0,0,+E97/C97)</f>
        <v>-3.2051282051282048E-2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2154.5</v>
      </c>
      <c r="D98" s="325">
        <v>2148.6</v>
      </c>
      <c r="E98" s="326">
        <f>+D98-C98</f>
        <v>-5.9000000000000909</v>
      </c>
      <c r="F98" s="316">
        <f>IF(C98=0,0,+E98/C98)</f>
        <v>-2.7384543977721472E-3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3610.8</v>
      </c>
      <c r="D99" s="327">
        <f>SUM(D96:D98)</f>
        <v>3588.5</v>
      </c>
      <c r="E99" s="327">
        <f>+D99-C99</f>
        <v>-22.300000000000182</v>
      </c>
      <c r="F99" s="309">
        <f>IF(C99=0,0,+E99/C99)</f>
        <v>-6.1759166943614104E-3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FRANCIS HOSPITAL AND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20496</v>
      </c>
      <c r="D12" s="296">
        <v>18859</v>
      </c>
      <c r="E12" s="296">
        <f>+D12-C12</f>
        <v>-1637</v>
      </c>
      <c r="F12" s="316">
        <f>IF(C12=0,0,+E12/C12)</f>
        <v>-7.986924277907885E-2</v>
      </c>
    </row>
    <row r="13" spans="1:16" ht="15.75" customHeight="1" x14ac:dyDescent="0.25">
      <c r="A13" s="294"/>
      <c r="B13" s="135" t="s">
        <v>584</v>
      </c>
      <c r="C13" s="300">
        <f>SUM(C11:C12)</f>
        <v>20496</v>
      </c>
      <c r="D13" s="300">
        <f>SUM(D11:D12)</f>
        <v>18859</v>
      </c>
      <c r="E13" s="300">
        <f>+D13-C13</f>
        <v>-1637</v>
      </c>
      <c r="F13" s="309">
        <f>IF(C13=0,0,+E13/C13)</f>
        <v>-7.986924277907885E-2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10264</v>
      </c>
      <c r="D16" s="296">
        <v>8366</v>
      </c>
      <c r="E16" s="296">
        <f>+D16-C16</f>
        <v>-1898</v>
      </c>
      <c r="F16" s="316">
        <f>IF(C16=0,0,+E16/C16)</f>
        <v>-0.18491816056118474</v>
      </c>
    </row>
    <row r="17" spans="1:6" ht="15.75" customHeight="1" x14ac:dyDescent="0.25">
      <c r="A17" s="294"/>
      <c r="B17" s="135" t="s">
        <v>585</v>
      </c>
      <c r="C17" s="300">
        <f>SUM(C15:C16)</f>
        <v>10264</v>
      </c>
      <c r="D17" s="300">
        <f>SUM(D15:D16)</f>
        <v>8366</v>
      </c>
      <c r="E17" s="300">
        <f>+D17-C17</f>
        <v>-1898</v>
      </c>
      <c r="F17" s="309">
        <f>IF(C17=0,0,+E17/C17)</f>
        <v>-0.18491816056118474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53595</v>
      </c>
      <c r="D20" s="296">
        <v>54430</v>
      </c>
      <c r="E20" s="296">
        <f>+D20-C20</f>
        <v>835</v>
      </c>
      <c r="F20" s="316">
        <f>IF(C20=0,0,+E20/C20)</f>
        <v>1.5579811549584849E-2</v>
      </c>
    </row>
    <row r="21" spans="1:6" ht="15.75" customHeight="1" x14ac:dyDescent="0.25">
      <c r="A21" s="294"/>
      <c r="B21" s="135" t="s">
        <v>587</v>
      </c>
      <c r="C21" s="300">
        <f>SUM(C19:C20)</f>
        <v>53595</v>
      </c>
      <c r="D21" s="300">
        <f>SUM(D19:D20)</f>
        <v>54430</v>
      </c>
      <c r="E21" s="300">
        <f>+D21-C21</f>
        <v>835</v>
      </c>
      <c r="F21" s="309">
        <f>IF(C21=0,0,+E21/C21)</f>
        <v>1.5579811549584849E-2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FRANCIS HOSPITAL AND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A2" sqref="A2:F2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602</v>
      </c>
      <c r="C15" s="361">
        <v>395358506</v>
      </c>
      <c r="D15" s="361">
        <v>407215274</v>
      </c>
      <c r="E15" s="361">
        <f t="shared" ref="E15:E24" si="0">D15-C15</f>
        <v>11856768</v>
      </c>
      <c r="F15" s="362">
        <f t="shared" ref="F15:F24" si="1">IF(C15=0,0,E15/C15)</f>
        <v>2.9989915026641667E-2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202074892</v>
      </c>
      <c r="D16" s="361">
        <v>191994218</v>
      </c>
      <c r="E16" s="361">
        <f t="shared" si="0"/>
        <v>-10080674</v>
      </c>
      <c r="F16" s="362">
        <f t="shared" si="1"/>
        <v>-4.9885831437188152E-2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0.51111810909160005</v>
      </c>
      <c r="D17" s="366">
        <f>IF(LN_IA1=0,0,LN_IA2/LN_IA1)</f>
        <v>0.47148088556226403</v>
      </c>
      <c r="E17" s="367">
        <f t="shared" si="0"/>
        <v>-3.9637223529336019E-2</v>
      </c>
      <c r="F17" s="362">
        <f t="shared" si="1"/>
        <v>-7.7550027722129544E-2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13748</v>
      </c>
      <c r="D18" s="369">
        <v>13376</v>
      </c>
      <c r="E18" s="369">
        <f t="shared" si="0"/>
        <v>-372</v>
      </c>
      <c r="F18" s="362">
        <f t="shared" si="1"/>
        <v>-2.7058481233633982E-2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1.7597</v>
      </c>
      <c r="D19" s="372">
        <v>1.7682</v>
      </c>
      <c r="E19" s="373">
        <f t="shared" si="0"/>
        <v>8.499999999999952E-3</v>
      </c>
      <c r="F19" s="362">
        <f t="shared" si="1"/>
        <v>4.8303688128658023E-3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24192.355599999999</v>
      </c>
      <c r="D20" s="376">
        <f>LN_IA4*LN_IA5</f>
        <v>23651.443200000002</v>
      </c>
      <c r="E20" s="376">
        <f t="shared" si="0"/>
        <v>-540.91239999999743</v>
      </c>
      <c r="F20" s="362">
        <f t="shared" si="1"/>
        <v>-2.2358814864642508E-2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8352.8406799708264</v>
      </c>
      <c r="D21" s="378">
        <f>IF(LN_IA6=0,0,LN_IA2/LN_IA6)</f>
        <v>8117.6533870034618</v>
      </c>
      <c r="E21" s="378">
        <f t="shared" si="0"/>
        <v>-235.18729296736456</v>
      </c>
      <c r="F21" s="362">
        <f t="shared" si="1"/>
        <v>-2.8156563973657161E-2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76946</v>
      </c>
      <c r="D22" s="369">
        <v>73494</v>
      </c>
      <c r="E22" s="369">
        <f t="shared" si="0"/>
        <v>-3452</v>
      </c>
      <c r="F22" s="362">
        <f t="shared" si="1"/>
        <v>-4.4862630935981078E-2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2626.1909910846566</v>
      </c>
      <c r="D23" s="378">
        <f>IF(LN_IA8=0,0,LN_IA2/LN_IA8)</f>
        <v>2612.379486760824</v>
      </c>
      <c r="E23" s="378">
        <f t="shared" si="0"/>
        <v>-13.811504323832651</v>
      </c>
      <c r="F23" s="362">
        <f t="shared" si="1"/>
        <v>-5.2591393279162423E-3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5.5968868199010764</v>
      </c>
      <c r="D24" s="379">
        <f>IF(LN_IA4=0,0,LN_IA8/LN_IA4)</f>
        <v>5.4944677033492821</v>
      </c>
      <c r="E24" s="379">
        <f t="shared" si="0"/>
        <v>-0.10241911655179425</v>
      </c>
      <c r="F24" s="362">
        <f t="shared" si="1"/>
        <v>-1.8299300994906394E-2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180159632</v>
      </c>
      <c r="D27" s="361">
        <v>206088909</v>
      </c>
      <c r="E27" s="361">
        <f t="shared" ref="E27:E32" si="2">D27-C27</f>
        <v>25929277</v>
      </c>
      <c r="F27" s="362">
        <f t="shared" ref="F27:F32" si="3">IF(C27=0,0,E27/C27)</f>
        <v>0.14392390077706199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54602363</v>
      </c>
      <c r="D28" s="361">
        <v>57783820</v>
      </c>
      <c r="E28" s="361">
        <f t="shared" si="2"/>
        <v>3181457</v>
      </c>
      <c r="F28" s="362">
        <f t="shared" si="3"/>
        <v>5.8265921568266196E-2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0.30307767835582611</v>
      </c>
      <c r="D29" s="366">
        <f>IF(LN_IA11=0,0,LN_IA12/LN_IA11)</f>
        <v>0.28038296811013735</v>
      </c>
      <c r="E29" s="367">
        <f t="shared" si="2"/>
        <v>-2.2694710245688754E-2</v>
      </c>
      <c r="F29" s="362">
        <f t="shared" si="3"/>
        <v>-7.4880837047472032E-2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0.45568674826993605</v>
      </c>
      <c r="D30" s="366">
        <f>IF(LN_IA1=0,0,LN_IA11/LN_IA1)</f>
        <v>0.50609326849562131</v>
      </c>
      <c r="E30" s="367">
        <f t="shared" si="2"/>
        <v>5.0406520225685258E-2</v>
      </c>
      <c r="F30" s="362">
        <f t="shared" si="3"/>
        <v>0.11061660321933665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6264.7814152150804</v>
      </c>
      <c r="D31" s="376">
        <f>LN_IA14*LN_IA4</f>
        <v>6769.5035593974308</v>
      </c>
      <c r="E31" s="376">
        <f t="shared" si="2"/>
        <v>504.72214418235035</v>
      </c>
      <c r="F31" s="362">
        <f t="shared" si="3"/>
        <v>8.0565004703364002E-2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8715.765065224612</v>
      </c>
      <c r="D32" s="378">
        <f>IF(LN_IA15=0,0,LN_IA12/LN_IA15)</f>
        <v>8535.9021519066118</v>
      </c>
      <c r="E32" s="378">
        <f t="shared" si="2"/>
        <v>-179.86291331800021</v>
      </c>
      <c r="F32" s="362">
        <f t="shared" si="3"/>
        <v>-2.0636503160880577E-2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575518138</v>
      </c>
      <c r="D35" s="361">
        <f>LN_IA1+LN_IA11</f>
        <v>613304183</v>
      </c>
      <c r="E35" s="361">
        <f>D35-C35</f>
        <v>37786045</v>
      </c>
      <c r="F35" s="362">
        <f>IF(C35=0,0,E35/C35)</f>
        <v>6.5655697892183548E-2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256677255</v>
      </c>
      <c r="D36" s="361">
        <f>LN_IA2+LN_IA12</f>
        <v>249778038</v>
      </c>
      <c r="E36" s="361">
        <f>D36-C36</f>
        <v>-6899217</v>
      </c>
      <c r="F36" s="362">
        <f>IF(C36=0,0,E36/C36)</f>
        <v>-2.6878957389504573E-2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318840883</v>
      </c>
      <c r="D37" s="361">
        <f>LN_IA17-LN_IA18</f>
        <v>363526145</v>
      </c>
      <c r="E37" s="361">
        <f>D37-C37</f>
        <v>44685262</v>
      </c>
      <c r="F37" s="362">
        <f>IF(C37=0,0,E37/C37)</f>
        <v>0.14014909750453802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231355829</v>
      </c>
      <c r="D42" s="361">
        <v>237275619</v>
      </c>
      <c r="E42" s="361">
        <f t="shared" ref="E42:E53" si="4">D42-C42</f>
        <v>5919790</v>
      </c>
      <c r="F42" s="362">
        <f t="shared" ref="F42:F53" si="5">IF(C42=0,0,E42/C42)</f>
        <v>2.5587382110005105E-2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132140294</v>
      </c>
      <c r="D43" s="361">
        <v>142525194</v>
      </c>
      <c r="E43" s="361">
        <f t="shared" si="4"/>
        <v>10384900</v>
      </c>
      <c r="F43" s="362">
        <f t="shared" si="5"/>
        <v>7.8589956822708446E-2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0.57115610430545927</v>
      </c>
      <c r="D44" s="366">
        <f>IF(LN_IB1=0,0,LN_IB2/LN_IB1)</f>
        <v>0.60067357362999863</v>
      </c>
      <c r="E44" s="367">
        <f t="shared" si="4"/>
        <v>2.9517469324539358E-2</v>
      </c>
      <c r="F44" s="362">
        <f t="shared" si="5"/>
        <v>5.1680213346285378E-2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12070</v>
      </c>
      <c r="D45" s="369">
        <v>11175</v>
      </c>
      <c r="E45" s="369">
        <f t="shared" si="4"/>
        <v>-895</v>
      </c>
      <c r="F45" s="362">
        <f t="shared" si="5"/>
        <v>-7.4150787075393534E-2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1.3234999999999999</v>
      </c>
      <c r="D46" s="372">
        <v>1.3667</v>
      </c>
      <c r="E46" s="373">
        <f t="shared" si="4"/>
        <v>4.3200000000000127E-2</v>
      </c>
      <c r="F46" s="362">
        <f t="shared" si="5"/>
        <v>3.264072534945231E-2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15974.644999999999</v>
      </c>
      <c r="D47" s="376">
        <f>LN_IB4*LN_IB5</f>
        <v>15272.872499999999</v>
      </c>
      <c r="E47" s="376">
        <f t="shared" si="4"/>
        <v>-701.77249999999913</v>
      </c>
      <c r="F47" s="362">
        <f t="shared" si="5"/>
        <v>-4.3930397201314905E-2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8271.8767146312184</v>
      </c>
      <c r="D48" s="378">
        <f>IF(LN_IB6=0,0,LN_IB2/LN_IB6)</f>
        <v>9331.9180134581766</v>
      </c>
      <c r="E48" s="378">
        <f t="shared" si="4"/>
        <v>1060.0412988269582</v>
      </c>
      <c r="F48" s="362">
        <f t="shared" si="5"/>
        <v>0.12815003600718167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80.963965339607967</v>
      </c>
      <c r="D49" s="378">
        <f>LN_IA7-LN_IB7</f>
        <v>-1214.2646264547147</v>
      </c>
      <c r="E49" s="378">
        <f t="shared" si="4"/>
        <v>-1295.2285917943227</v>
      </c>
      <c r="F49" s="362">
        <f t="shared" si="5"/>
        <v>-15.997593328852071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1293370.6040925416</v>
      </c>
      <c r="D50" s="391">
        <f>LN_IB8*LN_IB6</f>
        <v>-18545308.821102984</v>
      </c>
      <c r="E50" s="391">
        <f t="shared" si="4"/>
        <v>-19838679.425195526</v>
      </c>
      <c r="F50" s="362">
        <f t="shared" si="5"/>
        <v>-15.338743096851809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47840</v>
      </c>
      <c r="D51" s="369">
        <v>44680</v>
      </c>
      <c r="E51" s="369">
        <f t="shared" si="4"/>
        <v>-3160</v>
      </c>
      <c r="F51" s="362">
        <f t="shared" si="5"/>
        <v>-6.6053511705685616E-2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2762.1298913043479</v>
      </c>
      <c r="D52" s="378">
        <f>IF(LN_IB10=0,0,LN_IB2/LN_IB10)</f>
        <v>3189.910340196956</v>
      </c>
      <c r="E52" s="378">
        <f t="shared" si="4"/>
        <v>427.78044889260809</v>
      </c>
      <c r="F52" s="362">
        <f t="shared" si="5"/>
        <v>0.15487340050130638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3.9635459817729908</v>
      </c>
      <c r="D53" s="379">
        <f>IF(LN_IB4=0,0,LN_IB10/LN_IB4)</f>
        <v>3.9982102908277404</v>
      </c>
      <c r="E53" s="379">
        <f t="shared" si="4"/>
        <v>3.4664309054749598E-2</v>
      </c>
      <c r="F53" s="362">
        <f t="shared" si="5"/>
        <v>8.7457819876845238E-3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276258575</v>
      </c>
      <c r="D56" s="361">
        <v>288057525</v>
      </c>
      <c r="E56" s="361">
        <f t="shared" ref="E56:E63" si="6">D56-C56</f>
        <v>11798950</v>
      </c>
      <c r="F56" s="362">
        <f t="shared" ref="F56:F63" si="7">IF(C56=0,0,E56/C56)</f>
        <v>4.270980547843628E-2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108185524</v>
      </c>
      <c r="D57" s="361">
        <v>110314763</v>
      </c>
      <c r="E57" s="361">
        <f t="shared" si="6"/>
        <v>2129239</v>
      </c>
      <c r="F57" s="362">
        <f t="shared" si="7"/>
        <v>1.9681366982148184E-2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0.39160965048777219</v>
      </c>
      <c r="D58" s="366">
        <f>IF(LN_IB13=0,0,LN_IB14/LN_IB13)</f>
        <v>0.38296087908135712</v>
      </c>
      <c r="E58" s="367">
        <f t="shared" si="6"/>
        <v>-8.6487714064150678E-3</v>
      </c>
      <c r="F58" s="362">
        <f t="shared" si="7"/>
        <v>-2.2085184559784289E-2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1.1940852158084161</v>
      </c>
      <c r="D59" s="366">
        <f>IF(LN_IB1=0,0,LN_IB13/LN_IB1)</f>
        <v>1.2140207502735458</v>
      </c>
      <c r="E59" s="367">
        <f t="shared" si="6"/>
        <v>1.9935534465129745E-2</v>
      </c>
      <c r="F59" s="362">
        <f t="shared" si="7"/>
        <v>1.6695235985844652E-2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14412.608554807583</v>
      </c>
      <c r="D60" s="376">
        <f>LN_IB16*LN_IB4</f>
        <v>13566.681884306874</v>
      </c>
      <c r="E60" s="376">
        <f t="shared" si="6"/>
        <v>-845.9266705007085</v>
      </c>
      <c r="F60" s="362">
        <f t="shared" si="7"/>
        <v>-5.8693515978308769E-2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7506.3111294945138</v>
      </c>
      <c r="D61" s="378">
        <f>IF(LN_IB17=0,0,LN_IB14/LN_IB17)</f>
        <v>8131.3001912137051</v>
      </c>
      <c r="E61" s="378">
        <f t="shared" si="6"/>
        <v>624.98906171919134</v>
      </c>
      <c r="F61" s="362">
        <f t="shared" si="7"/>
        <v>8.326181141938345E-2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1209.4539357300982</v>
      </c>
      <c r="D62" s="378">
        <f>LN_IA16-LN_IB18</f>
        <v>404.60196069290669</v>
      </c>
      <c r="E62" s="378">
        <f t="shared" si="6"/>
        <v>-804.85197503719155</v>
      </c>
      <c r="F62" s="362">
        <f t="shared" si="7"/>
        <v>-0.66546724208337471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17431386.140749313</v>
      </c>
      <c r="D63" s="361">
        <f>LN_IB19*LN_IB17</f>
        <v>5489106.0904874988</v>
      </c>
      <c r="E63" s="361">
        <f t="shared" si="6"/>
        <v>-11942280.050261814</v>
      </c>
      <c r="F63" s="362">
        <f t="shared" si="7"/>
        <v>-0.68510214585542184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507614404</v>
      </c>
      <c r="D66" s="361">
        <f>LN_IB1+LN_IB13</f>
        <v>525333144</v>
      </c>
      <c r="E66" s="361">
        <f>D66-C66</f>
        <v>17718740</v>
      </c>
      <c r="F66" s="362">
        <f>IF(C66=0,0,E66/C66)</f>
        <v>3.4905904679568549E-2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240325818</v>
      </c>
      <c r="D67" s="361">
        <f>LN_IB2+LN_IB14</f>
        <v>252839957</v>
      </c>
      <c r="E67" s="361">
        <f>D67-C67</f>
        <v>12514139</v>
      </c>
      <c r="F67" s="362">
        <f>IF(C67=0,0,E67/C67)</f>
        <v>5.2071554792336126E-2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267288586</v>
      </c>
      <c r="D68" s="361">
        <f>LN_IB21-LN_IB22</f>
        <v>272493187</v>
      </c>
      <c r="E68" s="361">
        <f>D68-C68</f>
        <v>5204601</v>
      </c>
      <c r="F68" s="362">
        <f>IF(C68=0,0,E68/C68)</f>
        <v>1.9471841569770585E-2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18724756.744841855</v>
      </c>
      <c r="D70" s="353">
        <f>LN_IB9+LN_IB20</f>
        <v>-13056202.730615485</v>
      </c>
      <c r="E70" s="361">
        <f>D70-C70</f>
        <v>-31780959.47545734</v>
      </c>
      <c r="F70" s="362">
        <f>IF(C70=0,0,E70/C70)</f>
        <v>-1.6972695511364708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427595555</v>
      </c>
      <c r="D73" s="400">
        <v>425690074</v>
      </c>
      <c r="E73" s="400">
        <f>D73-C73</f>
        <v>-1905481</v>
      </c>
      <c r="F73" s="401">
        <f>IF(C73=0,0,E73/C73)</f>
        <v>-4.4562694296483036E-3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206548402</v>
      </c>
      <c r="D74" s="400">
        <v>208112762</v>
      </c>
      <c r="E74" s="400">
        <f>D74-C74</f>
        <v>1564360</v>
      </c>
      <c r="F74" s="401">
        <f>IF(C74=0,0,E74/C74)</f>
        <v>7.5738179760887229E-3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221047153</v>
      </c>
      <c r="D76" s="353">
        <f>LN_IB32-LN_IB33</f>
        <v>217577312</v>
      </c>
      <c r="E76" s="400">
        <f>D76-C76</f>
        <v>-3469841</v>
      </c>
      <c r="F76" s="401">
        <f>IF(C76=0,0,E76/C76)</f>
        <v>-1.5697288804257976E-2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0.51695381398433859</v>
      </c>
      <c r="D77" s="366">
        <f>IF(LN_IB1=0,0,LN_IB34/LN_IB32)</f>
        <v>0.51111671445738249</v>
      </c>
      <c r="E77" s="405">
        <f>D77-C77</f>
        <v>-5.8370995269561021E-3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6594206</v>
      </c>
      <c r="D83" s="361">
        <v>6234862</v>
      </c>
      <c r="E83" s="361">
        <f t="shared" ref="E83:E95" si="8">D83-C83</f>
        <v>-359344</v>
      </c>
      <c r="F83" s="362">
        <f t="shared" ref="F83:F95" si="9">IF(C83=0,0,E83/C83)</f>
        <v>-5.4493899644627419E-2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358585</v>
      </c>
      <c r="D84" s="361">
        <v>695157</v>
      </c>
      <c r="E84" s="361">
        <f t="shared" si="8"/>
        <v>336572</v>
      </c>
      <c r="F84" s="362">
        <f t="shared" si="9"/>
        <v>0.93861148681623607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5.4378798599861757E-2</v>
      </c>
      <c r="D85" s="366">
        <f>IF(LN_IC1=0,0,LN_IC2/LN_IC1)</f>
        <v>0.11149517022189104</v>
      </c>
      <c r="E85" s="367">
        <f t="shared" si="8"/>
        <v>5.7116371622029281E-2</v>
      </c>
      <c r="F85" s="362">
        <f t="shared" si="9"/>
        <v>1.0503426536196863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355</v>
      </c>
      <c r="D86" s="369">
        <v>301</v>
      </c>
      <c r="E86" s="369">
        <f t="shared" si="8"/>
        <v>-54</v>
      </c>
      <c r="F86" s="362">
        <f t="shared" si="9"/>
        <v>-0.15211267605633802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1.0933999999999999</v>
      </c>
      <c r="D87" s="372">
        <v>1.2797000000000001</v>
      </c>
      <c r="E87" s="373">
        <f t="shared" si="8"/>
        <v>0.18630000000000013</v>
      </c>
      <c r="F87" s="362">
        <f t="shared" si="9"/>
        <v>0.17038595207609306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388.15699999999998</v>
      </c>
      <c r="D88" s="376">
        <f>LN_IC4*LN_IC5</f>
        <v>385.18970000000002</v>
      </c>
      <c r="E88" s="376">
        <f t="shared" si="8"/>
        <v>-2.9672999999999661</v>
      </c>
      <c r="F88" s="362">
        <f t="shared" si="9"/>
        <v>-7.6445871129464781E-3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923.81433286015715</v>
      </c>
      <c r="D89" s="378">
        <f>IF(LN_IC6=0,0,LN_IC2/LN_IC6)</f>
        <v>1804.7133659077592</v>
      </c>
      <c r="E89" s="378">
        <f t="shared" si="8"/>
        <v>880.89903304760207</v>
      </c>
      <c r="F89" s="362">
        <f t="shared" si="9"/>
        <v>0.95354553584410406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7348.0623817710612</v>
      </c>
      <c r="D90" s="378">
        <f>LN_IB7-LN_IC7</f>
        <v>7527.2046475504176</v>
      </c>
      <c r="E90" s="378">
        <f t="shared" si="8"/>
        <v>179.14226577935642</v>
      </c>
      <c r="F90" s="362">
        <f t="shared" si="9"/>
        <v>2.4379524352401972E-2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7429.0263471106691</v>
      </c>
      <c r="D91" s="378">
        <f>LN_IA7-LN_IC7</f>
        <v>6312.9400210957028</v>
      </c>
      <c r="E91" s="378">
        <f t="shared" si="8"/>
        <v>-1116.0863260149663</v>
      </c>
      <c r="F91" s="362">
        <f t="shared" si="9"/>
        <v>-0.1502331899050324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2883628.5798154357</v>
      </c>
      <c r="D92" s="353">
        <f>LN_IC9*LN_IC6</f>
        <v>2431679.4728438477</v>
      </c>
      <c r="E92" s="353">
        <f t="shared" si="8"/>
        <v>-451949.10697158799</v>
      </c>
      <c r="F92" s="362">
        <f t="shared" si="9"/>
        <v>-0.15672930631049392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1125</v>
      </c>
      <c r="D93" s="369">
        <v>1090</v>
      </c>
      <c r="E93" s="369">
        <f t="shared" si="8"/>
        <v>-35</v>
      </c>
      <c r="F93" s="362">
        <f t="shared" si="9"/>
        <v>-3.111111111111111E-2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318.74222222222221</v>
      </c>
      <c r="D94" s="411">
        <f>IF(LN_IC11=0,0,LN_IC2/LN_IC11)</f>
        <v>637.75871559633026</v>
      </c>
      <c r="E94" s="411">
        <f t="shared" si="8"/>
        <v>319.01649337410805</v>
      </c>
      <c r="F94" s="362">
        <f t="shared" si="9"/>
        <v>1.0008604795121703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3.1690140845070425</v>
      </c>
      <c r="D95" s="379">
        <f>IF(LN_IC4=0,0,LN_IC11/LN_IC4)</f>
        <v>3.6212624584717608</v>
      </c>
      <c r="E95" s="379">
        <f t="shared" si="8"/>
        <v>0.45224837396471829</v>
      </c>
      <c r="F95" s="362">
        <f t="shared" si="9"/>
        <v>0.14270948689553331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20622357</v>
      </c>
      <c r="D98" s="361">
        <v>21275835</v>
      </c>
      <c r="E98" s="361">
        <f t="shared" ref="E98:E106" si="10">D98-C98</f>
        <v>653478</v>
      </c>
      <c r="F98" s="362">
        <f t="shared" ref="F98:F106" si="11">IF(C98=0,0,E98/C98)</f>
        <v>3.1687842471158849E-2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781196</v>
      </c>
      <c r="D99" s="361">
        <v>2614132</v>
      </c>
      <c r="E99" s="361">
        <f t="shared" si="10"/>
        <v>1832936</v>
      </c>
      <c r="F99" s="362">
        <f t="shared" si="11"/>
        <v>2.3463202576562092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3.7881023978006002E-2</v>
      </c>
      <c r="D100" s="366">
        <f>IF(LN_IC14=0,0,LN_IC15/LN_IC14)</f>
        <v>0.1228685971666917</v>
      </c>
      <c r="E100" s="367">
        <f t="shared" si="10"/>
        <v>8.4987573188685689E-2</v>
      </c>
      <c r="F100" s="362">
        <f t="shared" si="11"/>
        <v>2.2435394892712006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3.1273449752707148</v>
      </c>
      <c r="D101" s="366">
        <f>IF(LN_IC1=0,0,LN_IC14/LN_IC1)</f>
        <v>3.412398702649714</v>
      </c>
      <c r="E101" s="367">
        <f t="shared" si="10"/>
        <v>0.28505372737899926</v>
      </c>
      <c r="F101" s="362">
        <f t="shared" si="11"/>
        <v>9.114879542648599E-2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1110.2074662211037</v>
      </c>
      <c r="D102" s="376">
        <f>LN_IC17*LN_IC4</f>
        <v>1027.132009497564</v>
      </c>
      <c r="E102" s="376">
        <f t="shared" si="10"/>
        <v>-83.075456723539673</v>
      </c>
      <c r="F102" s="362">
        <f t="shared" si="11"/>
        <v>-7.4828767821486397E-2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703.64866366735521</v>
      </c>
      <c r="D103" s="378">
        <f>IF(LN_IC18=0,0,LN_IC15/LN_IC18)</f>
        <v>2545.0788952422376</v>
      </c>
      <c r="E103" s="378">
        <f t="shared" si="10"/>
        <v>1841.4302315748823</v>
      </c>
      <c r="F103" s="362">
        <f t="shared" si="11"/>
        <v>2.6169739625134927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6802.6624658271585</v>
      </c>
      <c r="D104" s="378">
        <f>LN_IB18-LN_IC19</f>
        <v>5586.221295971467</v>
      </c>
      <c r="E104" s="378">
        <f t="shared" si="10"/>
        <v>-1216.4411698556914</v>
      </c>
      <c r="F104" s="362">
        <f t="shared" si="11"/>
        <v>-0.17881839294047353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8012.1164015572567</v>
      </c>
      <c r="D105" s="378">
        <f>LN_IA16-LN_IC19</f>
        <v>5990.8232566643746</v>
      </c>
      <c r="E105" s="378">
        <f t="shared" si="10"/>
        <v>-2021.2931448928821</v>
      </c>
      <c r="F105" s="362">
        <f t="shared" si="11"/>
        <v>-0.25227955306540706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8895111.4492414296</v>
      </c>
      <c r="D106" s="361">
        <f>LN_IC21*LN_IC18</f>
        <v>6153366.3301624199</v>
      </c>
      <c r="E106" s="361">
        <f t="shared" si="10"/>
        <v>-2741745.1190790096</v>
      </c>
      <c r="F106" s="362">
        <f t="shared" si="11"/>
        <v>-0.30823055278445377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27216563</v>
      </c>
      <c r="D109" s="361">
        <f>LN_IC1+LN_IC14</f>
        <v>27510697</v>
      </c>
      <c r="E109" s="361">
        <f>D109-C109</f>
        <v>294134</v>
      </c>
      <c r="F109" s="362">
        <f>IF(C109=0,0,E109/C109)</f>
        <v>1.0807169149168468E-2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1139781</v>
      </c>
      <c r="D110" s="361">
        <f>LN_IC2+LN_IC15</f>
        <v>3309289</v>
      </c>
      <c r="E110" s="361">
        <f>D110-C110</f>
        <v>2169508</v>
      </c>
      <c r="F110" s="362">
        <f>IF(C110=0,0,E110/C110)</f>
        <v>1.9034428543729014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26076782</v>
      </c>
      <c r="D111" s="361">
        <f>LN_IC23-LN_IC24</f>
        <v>24201408</v>
      </c>
      <c r="E111" s="361">
        <f>D111-C111</f>
        <v>-1875374</v>
      </c>
      <c r="F111" s="362">
        <f>IF(C111=0,0,E111/C111)</f>
        <v>-7.1917386125327887E-2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11778740.029056866</v>
      </c>
      <c r="D113" s="361">
        <f>LN_IC10+LN_IC22</f>
        <v>8585045.8030062672</v>
      </c>
      <c r="E113" s="361">
        <f>D113-C113</f>
        <v>-3193694.2260505985</v>
      </c>
      <c r="F113" s="362">
        <f>IF(C113=0,0,E113/C113)</f>
        <v>-0.27114056496468242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94606537</v>
      </c>
      <c r="D118" s="361">
        <v>118629436</v>
      </c>
      <c r="E118" s="361">
        <f t="shared" ref="E118:E130" si="12">D118-C118</f>
        <v>24022899</v>
      </c>
      <c r="F118" s="362">
        <f t="shared" ref="F118:F130" si="13">IF(C118=0,0,E118/C118)</f>
        <v>0.25392430334914384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34968625</v>
      </c>
      <c r="D119" s="361">
        <v>37421350</v>
      </c>
      <c r="E119" s="361">
        <f t="shared" si="12"/>
        <v>2452725</v>
      </c>
      <c r="F119" s="362">
        <f t="shared" si="13"/>
        <v>7.0140733300208397E-2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0.36962165732797092</v>
      </c>
      <c r="D120" s="366">
        <f>IF(LN_ID1=0,0,LN_1D2/LN_ID1)</f>
        <v>0.31544742402720349</v>
      </c>
      <c r="E120" s="367">
        <f t="shared" si="12"/>
        <v>-5.4174233300767427E-2</v>
      </c>
      <c r="F120" s="362">
        <f t="shared" si="13"/>
        <v>-0.14656671822857448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5525</v>
      </c>
      <c r="D121" s="369">
        <v>6038</v>
      </c>
      <c r="E121" s="369">
        <f t="shared" si="12"/>
        <v>513</v>
      </c>
      <c r="F121" s="362">
        <f t="shared" si="13"/>
        <v>9.2850678733031669E-2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1.0135000000000001</v>
      </c>
      <c r="D122" s="372">
        <v>1.0981000000000001</v>
      </c>
      <c r="E122" s="373">
        <f t="shared" si="12"/>
        <v>8.4600000000000009E-2</v>
      </c>
      <c r="F122" s="362">
        <f t="shared" si="13"/>
        <v>8.3473112974839669E-2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5599.5875000000005</v>
      </c>
      <c r="D123" s="376">
        <f>LN_ID4*LN_ID5</f>
        <v>6630.3278</v>
      </c>
      <c r="E123" s="376">
        <f t="shared" si="12"/>
        <v>1030.7402999999995</v>
      </c>
      <c r="F123" s="362">
        <f t="shared" si="13"/>
        <v>0.18407432690354411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6244.8573220795279</v>
      </c>
      <c r="D124" s="378">
        <f>IF(LN_ID6=0,0,LN_1D2/LN_ID6)</f>
        <v>5643.9668035719142</v>
      </c>
      <c r="E124" s="378">
        <f t="shared" si="12"/>
        <v>-600.89051850761371</v>
      </c>
      <c r="F124" s="362">
        <f t="shared" si="13"/>
        <v>-9.6221656879667203E-2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2027.0193925516905</v>
      </c>
      <c r="D125" s="378">
        <f>LN_IB7-LN_ID7</f>
        <v>3687.9512098862624</v>
      </c>
      <c r="E125" s="378">
        <f t="shared" si="12"/>
        <v>1660.9318173345719</v>
      </c>
      <c r="F125" s="362">
        <f t="shared" si="13"/>
        <v>0.81939611601037843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2107.9833578912985</v>
      </c>
      <c r="D126" s="378">
        <f>LN_IA7-LN_ID7</f>
        <v>2473.6865834315477</v>
      </c>
      <c r="E126" s="378">
        <f t="shared" si="12"/>
        <v>365.70322554024915</v>
      </c>
      <c r="F126" s="362">
        <f t="shared" si="13"/>
        <v>0.17348487319467121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11803837.261056142</v>
      </c>
      <c r="D127" s="391">
        <f>LN_ID9*LN_ID6</f>
        <v>16401352.922613209</v>
      </c>
      <c r="E127" s="391">
        <f t="shared" si="12"/>
        <v>4597515.6615570672</v>
      </c>
      <c r="F127" s="362">
        <f t="shared" si="13"/>
        <v>0.38949331135947118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28562</v>
      </c>
      <c r="D128" s="369">
        <v>31913</v>
      </c>
      <c r="E128" s="369">
        <f t="shared" si="12"/>
        <v>3351</v>
      </c>
      <c r="F128" s="362">
        <f t="shared" si="13"/>
        <v>0.11732371682655277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1224.3058959456621</v>
      </c>
      <c r="D129" s="378">
        <f>IF(LN_ID11=0,0,LN_1D2/LN_ID11)</f>
        <v>1172.6052079090025</v>
      </c>
      <c r="E129" s="378">
        <f t="shared" si="12"/>
        <v>-51.700688036659585</v>
      </c>
      <c r="F129" s="362">
        <f t="shared" si="13"/>
        <v>-4.2228570660215292E-2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5.1695927601809952</v>
      </c>
      <c r="D130" s="379">
        <f>IF(LN_ID4=0,0,LN_ID11/LN_ID4)</f>
        <v>5.285359390526664</v>
      </c>
      <c r="E130" s="379">
        <f t="shared" si="12"/>
        <v>0.11576663034566881</v>
      </c>
      <c r="F130" s="362">
        <f t="shared" si="13"/>
        <v>2.2393762084581617E-2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75682752</v>
      </c>
      <c r="D133" s="361">
        <v>104645488</v>
      </c>
      <c r="E133" s="361">
        <f t="shared" ref="E133:E141" si="14">D133-C133</f>
        <v>28962736</v>
      </c>
      <c r="F133" s="362">
        <f t="shared" ref="F133:F141" si="15">IF(C133=0,0,E133/C133)</f>
        <v>0.3826860841423948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18062551</v>
      </c>
      <c r="D134" s="361">
        <v>21708173</v>
      </c>
      <c r="E134" s="361">
        <f t="shared" si="14"/>
        <v>3645622</v>
      </c>
      <c r="F134" s="362">
        <f t="shared" si="15"/>
        <v>0.20183317406273343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0.2386613927569653</v>
      </c>
      <c r="D135" s="366">
        <f>IF(LN_ID14=0,0,LN_ID15/LN_ID14)</f>
        <v>0.20744490197226659</v>
      </c>
      <c r="E135" s="367">
        <f t="shared" si="14"/>
        <v>-3.1216490784698708E-2</v>
      </c>
      <c r="F135" s="362">
        <f t="shared" si="15"/>
        <v>-0.13079824274924609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0.79997381153482028</v>
      </c>
      <c r="D136" s="366">
        <f>IF(LN_ID1=0,0,LN_ID14/LN_ID1)</f>
        <v>0.88212075795420619</v>
      </c>
      <c r="E136" s="367">
        <f t="shared" si="14"/>
        <v>8.2146946419385913E-2</v>
      </c>
      <c r="F136" s="362">
        <f t="shared" si="15"/>
        <v>0.10268704454434546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4419.8553087298824</v>
      </c>
      <c r="D137" s="376">
        <f>LN_ID17*LN_ID4</f>
        <v>5326.2451365274974</v>
      </c>
      <c r="E137" s="376">
        <f t="shared" si="14"/>
        <v>906.389827797615</v>
      </c>
      <c r="F137" s="362">
        <f t="shared" si="15"/>
        <v>0.20507228506040867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4086.6837799698401</v>
      </c>
      <c r="D138" s="378">
        <f>IF(LN_ID18=0,0,LN_ID15/LN_ID18)</f>
        <v>4075.6991921240929</v>
      </c>
      <c r="E138" s="378">
        <f t="shared" si="14"/>
        <v>-10.984587845747228</v>
      </c>
      <c r="F138" s="362">
        <f t="shared" si="15"/>
        <v>-2.6878976786964162E-3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3419.6273495246737</v>
      </c>
      <c r="D139" s="378">
        <f>LN_IB18-LN_ID19</f>
        <v>4055.6009990896123</v>
      </c>
      <c r="E139" s="378">
        <f t="shared" si="14"/>
        <v>635.97364956493857</v>
      </c>
      <c r="F139" s="362">
        <f t="shared" si="15"/>
        <v>0.18597747197610248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4629.0812852547715</v>
      </c>
      <c r="D140" s="378">
        <f>LN_IA16-LN_ID19</f>
        <v>4460.2029597825185</v>
      </c>
      <c r="E140" s="378">
        <f t="shared" si="14"/>
        <v>-168.87832547225298</v>
      </c>
      <c r="F140" s="362">
        <f t="shared" si="15"/>
        <v>-3.6482039321752459E-2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20459869.493175447</v>
      </c>
      <c r="D141" s="353">
        <f>LN_ID21*LN_ID18</f>
        <v>23756134.322467189</v>
      </c>
      <c r="E141" s="353">
        <f t="shared" si="14"/>
        <v>3296264.8292917423</v>
      </c>
      <c r="F141" s="362">
        <f t="shared" si="15"/>
        <v>0.16110879057128091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170289289</v>
      </c>
      <c r="D144" s="361">
        <f>LN_ID1+LN_ID14</f>
        <v>223274924</v>
      </c>
      <c r="E144" s="361">
        <f>D144-C144</f>
        <v>52985635</v>
      </c>
      <c r="F144" s="362">
        <f>IF(C144=0,0,E144/C144)</f>
        <v>0.31115072070093613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53031176</v>
      </c>
      <c r="D145" s="361">
        <f>LN_1D2+LN_ID15</f>
        <v>59129523</v>
      </c>
      <c r="E145" s="361">
        <f>D145-C145</f>
        <v>6098347</v>
      </c>
      <c r="F145" s="362">
        <f>IF(C145=0,0,E145/C145)</f>
        <v>0.11499550754823917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117258113</v>
      </c>
      <c r="D146" s="361">
        <f>LN_ID23-LN_ID24</f>
        <v>164145401</v>
      </c>
      <c r="E146" s="361">
        <f>D146-C146</f>
        <v>46887288</v>
      </c>
      <c r="F146" s="362">
        <f>IF(C146=0,0,E146/C146)</f>
        <v>0.39986391389395803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32263706.754231587</v>
      </c>
      <c r="D148" s="361">
        <f>LN_ID10+LN_ID22</f>
        <v>40157487.245080397</v>
      </c>
      <c r="E148" s="361">
        <f>D148-C148</f>
        <v>7893780.4908488095</v>
      </c>
      <c r="F148" s="415">
        <f>IF(C148=0,0,E148/C148)</f>
        <v>0.24466440111731708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31860778</v>
      </c>
      <c r="D153" s="361">
        <v>19429881</v>
      </c>
      <c r="E153" s="361">
        <f t="shared" ref="E153:E165" si="16">D153-C153</f>
        <v>-12430897</v>
      </c>
      <c r="F153" s="362">
        <f t="shared" ref="F153:F165" si="17">IF(C153=0,0,E153/C153)</f>
        <v>-0.39016300857436687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3509082</v>
      </c>
      <c r="D154" s="361">
        <v>2475196</v>
      </c>
      <c r="E154" s="361">
        <f t="shared" si="16"/>
        <v>-1033886</v>
      </c>
      <c r="F154" s="362">
        <f t="shared" si="17"/>
        <v>-0.29463147341669416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0.11013798846971032</v>
      </c>
      <c r="D155" s="366">
        <f>IF(LN_IE1=0,0,LN_IE2/LN_IE1)</f>
        <v>0.12739120738824905</v>
      </c>
      <c r="E155" s="367">
        <f t="shared" si="16"/>
        <v>1.7253218918538732E-2</v>
      </c>
      <c r="F155" s="362">
        <f t="shared" si="17"/>
        <v>0.15665093541529168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1624</v>
      </c>
      <c r="D156" s="419">
        <v>721</v>
      </c>
      <c r="E156" s="419">
        <f t="shared" si="16"/>
        <v>-903</v>
      </c>
      <c r="F156" s="362">
        <f t="shared" si="17"/>
        <v>-0.55603448275862066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1.2806999999999999</v>
      </c>
      <c r="D157" s="372">
        <v>1.3815</v>
      </c>
      <c r="E157" s="373">
        <f t="shared" si="16"/>
        <v>0.1008</v>
      </c>
      <c r="F157" s="362">
        <f t="shared" si="17"/>
        <v>7.8706957132818001E-2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2079.8568</v>
      </c>
      <c r="D158" s="376">
        <f>LN_IE4*LN_IE5</f>
        <v>996.06149999999991</v>
      </c>
      <c r="E158" s="376">
        <f t="shared" si="16"/>
        <v>-1083.7953000000002</v>
      </c>
      <c r="F158" s="362">
        <f t="shared" si="17"/>
        <v>-0.52109130782465418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1687.1748093426431</v>
      </c>
      <c r="D159" s="378">
        <f>IF(LN_IE6=0,0,LN_IE2/LN_IE6)</f>
        <v>2484.983105962835</v>
      </c>
      <c r="E159" s="378">
        <f t="shared" si="16"/>
        <v>797.80829662019187</v>
      </c>
      <c r="F159" s="362">
        <f t="shared" si="17"/>
        <v>0.47286641087951869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6584.7019052885753</v>
      </c>
      <c r="D160" s="378">
        <f>LN_IB7-LN_IE7</f>
        <v>6846.9349074953416</v>
      </c>
      <c r="E160" s="378">
        <f t="shared" si="16"/>
        <v>262.23300220676629</v>
      </c>
      <c r="F160" s="362">
        <f t="shared" si="17"/>
        <v>3.9824582187410945E-2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6665.6658706281833</v>
      </c>
      <c r="D161" s="378">
        <f>LN_IA7-LN_IE7</f>
        <v>5632.6702810406268</v>
      </c>
      <c r="E161" s="378">
        <f t="shared" si="16"/>
        <v>-1032.9955895875564</v>
      </c>
      <c r="F161" s="362">
        <f t="shared" si="17"/>
        <v>-0.15497260283318179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13863630.487553947</v>
      </c>
      <c r="D162" s="391">
        <f>LN_IE9*LN_IE6</f>
        <v>5610486.009138748</v>
      </c>
      <c r="E162" s="391">
        <f t="shared" si="16"/>
        <v>-8253144.4784151986</v>
      </c>
      <c r="F162" s="362">
        <f t="shared" si="17"/>
        <v>-0.59530903437050253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8479</v>
      </c>
      <c r="D163" s="369">
        <v>3968</v>
      </c>
      <c r="E163" s="419">
        <f t="shared" si="16"/>
        <v>-4511</v>
      </c>
      <c r="F163" s="362">
        <f t="shared" si="17"/>
        <v>-0.53202028541101543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413.8556433541691</v>
      </c>
      <c r="D164" s="378">
        <f>IF(LN_IE11=0,0,LN_IE2/LN_IE11)</f>
        <v>623.78931451612902</v>
      </c>
      <c r="E164" s="378">
        <f t="shared" si="16"/>
        <v>209.93367116195992</v>
      </c>
      <c r="F164" s="362">
        <f t="shared" si="17"/>
        <v>0.50726303853322841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5.2210591133004929</v>
      </c>
      <c r="D165" s="379">
        <f>IF(LN_IE4=0,0,LN_IE11/LN_IE4)</f>
        <v>5.503467406380028</v>
      </c>
      <c r="E165" s="379">
        <f t="shared" si="16"/>
        <v>0.28240829307953508</v>
      </c>
      <c r="F165" s="362">
        <f t="shared" si="17"/>
        <v>5.409023091887781E-2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28851182</v>
      </c>
      <c r="D168" s="424">
        <v>19352339</v>
      </c>
      <c r="E168" s="424">
        <f t="shared" ref="E168:E176" si="18">D168-C168</f>
        <v>-9498843</v>
      </c>
      <c r="F168" s="362">
        <f t="shared" ref="F168:F176" si="19">IF(C168=0,0,E168/C168)</f>
        <v>-0.32923583512107063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3315559</v>
      </c>
      <c r="D169" s="424">
        <v>2130042</v>
      </c>
      <c r="E169" s="424">
        <f t="shared" si="18"/>
        <v>-1185517</v>
      </c>
      <c r="F169" s="362">
        <f t="shared" si="19"/>
        <v>-0.35756172639364886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0.11491934715187752</v>
      </c>
      <c r="D170" s="366">
        <f>IF(LN_IE14=0,0,LN_IE15/LN_IE14)</f>
        <v>0.11006638525709993</v>
      </c>
      <c r="E170" s="367">
        <f t="shared" si="18"/>
        <v>-4.8529618947775882E-3</v>
      </c>
      <c r="F170" s="362">
        <f t="shared" si="19"/>
        <v>-4.2229285277472987E-2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0.90553915538409013</v>
      </c>
      <c r="D171" s="366">
        <f>IF(LN_IE1=0,0,LN_IE14/LN_IE1)</f>
        <v>0.99600913664885549</v>
      </c>
      <c r="E171" s="367">
        <f t="shared" si="18"/>
        <v>9.0469981264765353E-2</v>
      </c>
      <c r="F171" s="362">
        <f t="shared" si="19"/>
        <v>9.9907310166385835E-2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1470.5955883437623</v>
      </c>
      <c r="D172" s="376">
        <f>LN_IE17*LN_IE4</f>
        <v>718.12258752382479</v>
      </c>
      <c r="E172" s="376">
        <f t="shared" si="18"/>
        <v>-752.47300081993751</v>
      </c>
      <c r="F172" s="362">
        <f t="shared" si="19"/>
        <v>-0.51167908212440627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2254.5688469894717</v>
      </c>
      <c r="D173" s="378">
        <f>IF(LN_IE18=0,0,LN_IE15/LN_IE18)</f>
        <v>2966.1258913253896</v>
      </c>
      <c r="E173" s="378">
        <f t="shared" si="18"/>
        <v>711.55704433591791</v>
      </c>
      <c r="F173" s="362">
        <f t="shared" si="19"/>
        <v>0.31560670470811342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5251.7422825050417</v>
      </c>
      <c r="D174" s="378">
        <f>LN_IB18-LN_IE19</f>
        <v>5165.1742998883155</v>
      </c>
      <c r="E174" s="378">
        <f t="shared" si="18"/>
        <v>-86.567982616726113</v>
      </c>
      <c r="F174" s="362">
        <f t="shared" si="19"/>
        <v>-1.6483669220614124E-2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6461.1962182351399</v>
      </c>
      <c r="D175" s="378">
        <f>LN_IA16-LN_IE19</f>
        <v>5569.7762605812222</v>
      </c>
      <c r="E175" s="378">
        <f t="shared" si="18"/>
        <v>-891.41995765391766</v>
      </c>
      <c r="F175" s="362">
        <f t="shared" si="19"/>
        <v>-0.13796515808297288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9501806.653959997</v>
      </c>
      <c r="D176" s="353">
        <f>LN_IE21*LN_IE18</f>
        <v>3999782.1401773603</v>
      </c>
      <c r="E176" s="353">
        <f t="shared" si="18"/>
        <v>-5502024.5137826372</v>
      </c>
      <c r="F176" s="362">
        <f t="shared" si="19"/>
        <v>-0.57905035475433497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60711960</v>
      </c>
      <c r="D179" s="361">
        <f>LN_IE1+LN_IE14</f>
        <v>38782220</v>
      </c>
      <c r="E179" s="361">
        <f>D179-C179</f>
        <v>-21929740</v>
      </c>
      <c r="F179" s="362">
        <f>IF(C179=0,0,E179/C179)</f>
        <v>-0.36120955409774286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6824641</v>
      </c>
      <c r="D180" s="361">
        <f>LN_IE15+LN_IE2</f>
        <v>4605238</v>
      </c>
      <c r="E180" s="361">
        <f>D180-C180</f>
        <v>-2219403</v>
      </c>
      <c r="F180" s="362">
        <f>IF(C180=0,0,E180/C180)</f>
        <v>-0.32520435873476716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53887319</v>
      </c>
      <c r="D181" s="361">
        <f>LN_IE23-LN_IE24</f>
        <v>34176982</v>
      </c>
      <c r="E181" s="361">
        <f>D181-C181</f>
        <v>-19710337</v>
      </c>
      <c r="F181" s="362">
        <f>IF(C181=0,0,E181/C181)</f>
        <v>-0.36576948650943275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23365437.141513944</v>
      </c>
      <c r="D183" s="361">
        <f>LN_IE10+LN_IE22</f>
        <v>9610268.1493161079</v>
      </c>
      <c r="E183" s="353">
        <f>D183-C183</f>
        <v>-13755168.992197836</v>
      </c>
      <c r="F183" s="362">
        <f>IF(C183=0,0,E183/C183)</f>
        <v>-0.58869726720236237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126467315</v>
      </c>
      <c r="D188" s="361">
        <f>LN_ID1+LN_IE1</f>
        <v>138059317</v>
      </c>
      <c r="E188" s="361">
        <f t="shared" ref="E188:E200" si="20">D188-C188</f>
        <v>11592002</v>
      </c>
      <c r="F188" s="362">
        <f t="shared" ref="F188:F200" si="21">IF(C188=0,0,E188/C188)</f>
        <v>9.1660062522873995E-2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38477707</v>
      </c>
      <c r="D189" s="361">
        <f>LN_1D2+LN_IE2</f>
        <v>39896546</v>
      </c>
      <c r="E189" s="361">
        <f t="shared" si="20"/>
        <v>1418839</v>
      </c>
      <c r="F189" s="362">
        <f t="shared" si="21"/>
        <v>3.6874312702677423E-2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0.30425020883854459</v>
      </c>
      <c r="D190" s="366">
        <f>IF(LN_IF1=0,0,LN_IF2/LN_IF1)</f>
        <v>0.28898119204805278</v>
      </c>
      <c r="E190" s="367">
        <f t="shared" si="20"/>
        <v>-1.5269016790491807E-2</v>
      </c>
      <c r="F190" s="362">
        <f t="shared" si="21"/>
        <v>-5.0185723286042393E-2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7149</v>
      </c>
      <c r="D191" s="369">
        <f>LN_ID4+LN_IE4</f>
        <v>6759</v>
      </c>
      <c r="E191" s="369">
        <f t="shared" si="20"/>
        <v>-390</v>
      </c>
      <c r="F191" s="362">
        <f t="shared" si="21"/>
        <v>-5.4553084347461187E-2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1.0741983913834103</v>
      </c>
      <c r="D192" s="372">
        <f>IF((LN_ID4+LN_IE4)=0,0,(LN_ID6+LN_IE6)/(LN_ID4+LN_IE4))</f>
        <v>1.1283310105045126</v>
      </c>
      <c r="E192" s="373">
        <f t="shared" si="20"/>
        <v>5.4132619121102232E-2</v>
      </c>
      <c r="F192" s="362">
        <f t="shared" si="21"/>
        <v>5.0393502313280644E-2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7679.444300000001</v>
      </c>
      <c r="D193" s="376">
        <f>LN_IF4*LN_IF5</f>
        <v>7626.3893000000007</v>
      </c>
      <c r="E193" s="376">
        <f t="shared" si="20"/>
        <v>-53.055000000000291</v>
      </c>
      <c r="F193" s="362">
        <f t="shared" si="21"/>
        <v>-6.9087030164409532E-3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5010.4806411578502</v>
      </c>
      <c r="D194" s="378">
        <f>IF(LN_IF6=0,0,LN_IF2/LN_IF6)</f>
        <v>5231.380726918831</v>
      </c>
      <c r="E194" s="378">
        <f t="shared" si="20"/>
        <v>220.9000857609808</v>
      </c>
      <c r="F194" s="362">
        <f t="shared" si="21"/>
        <v>4.4087603881038835E-2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3261.3960734733682</v>
      </c>
      <c r="D195" s="378">
        <f>LN_IB7-LN_IF7</f>
        <v>4100.5372865393456</v>
      </c>
      <c r="E195" s="378">
        <f t="shared" si="20"/>
        <v>839.14121306597735</v>
      </c>
      <c r="F195" s="362">
        <f t="shared" si="21"/>
        <v>0.25729509515607429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3342.3600388129762</v>
      </c>
      <c r="D196" s="378">
        <f>LN_IA7-LN_IF7</f>
        <v>2886.2726600846308</v>
      </c>
      <c r="E196" s="378">
        <f t="shared" si="20"/>
        <v>-456.08737872834536</v>
      </c>
      <c r="F196" s="362">
        <f t="shared" si="21"/>
        <v>-0.13645668732035304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25667467.748610087</v>
      </c>
      <c r="D197" s="391">
        <f>LN_IF9*LN_IF6</f>
        <v>22011838.931751966</v>
      </c>
      <c r="E197" s="391">
        <f t="shared" si="20"/>
        <v>-3655628.8168581203</v>
      </c>
      <c r="F197" s="362">
        <f t="shared" si="21"/>
        <v>-0.14242265160949019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37041</v>
      </c>
      <c r="D198" s="369">
        <f>LN_ID11+LN_IE11</f>
        <v>35881</v>
      </c>
      <c r="E198" s="369">
        <f t="shared" si="20"/>
        <v>-1160</v>
      </c>
      <c r="F198" s="362">
        <f t="shared" si="21"/>
        <v>-3.1316649118544315E-2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1038.7869387975486</v>
      </c>
      <c r="D199" s="432">
        <f>IF(LN_IF11=0,0,LN_IF2/LN_IF11)</f>
        <v>1111.912878682311</v>
      </c>
      <c r="E199" s="432">
        <f t="shared" si="20"/>
        <v>73.125939884762374</v>
      </c>
      <c r="F199" s="362">
        <f t="shared" si="21"/>
        <v>7.0395513414338418E-2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5.1812840956777171</v>
      </c>
      <c r="D200" s="379">
        <f>IF(LN_IF4=0,0,LN_IF11/LN_IF4)</f>
        <v>5.3086255363219408</v>
      </c>
      <c r="E200" s="379">
        <f t="shared" si="20"/>
        <v>0.1273414406442237</v>
      </c>
      <c r="F200" s="362">
        <f t="shared" si="21"/>
        <v>2.4577197137376293E-2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104533934</v>
      </c>
      <c r="D203" s="361">
        <f>LN_ID14+LN_IE14</f>
        <v>123997827</v>
      </c>
      <c r="E203" s="361">
        <f t="shared" ref="E203:E211" si="22">D203-C203</f>
        <v>19463893</v>
      </c>
      <c r="F203" s="362">
        <f t="shared" ref="F203:F211" si="23">IF(C203=0,0,E203/C203)</f>
        <v>0.18619688607529111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21378110</v>
      </c>
      <c r="D204" s="361">
        <f>LN_ID15+LN_IE15</f>
        <v>23838215</v>
      </c>
      <c r="E204" s="361">
        <f t="shared" si="22"/>
        <v>2460105</v>
      </c>
      <c r="F204" s="362">
        <f t="shared" si="23"/>
        <v>0.11507588837366821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0.20450880572427324</v>
      </c>
      <c r="D205" s="366">
        <f>IF(LN_IF14=0,0,LN_IF15/LN_IF14)</f>
        <v>0.1922470383291475</v>
      </c>
      <c r="E205" s="367">
        <f t="shared" si="22"/>
        <v>-1.2261767395125744E-2</v>
      </c>
      <c r="F205" s="362">
        <f t="shared" si="23"/>
        <v>-5.9957161021504071E-2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0.82656877786960214</v>
      </c>
      <c r="D206" s="366">
        <f>IF(LN_IF1=0,0,LN_IF14/LN_IF1)</f>
        <v>0.89814892391507339</v>
      </c>
      <c r="E206" s="367">
        <f t="shared" si="22"/>
        <v>7.1580146045471249E-2</v>
      </c>
      <c r="F206" s="362">
        <f t="shared" si="23"/>
        <v>8.659914088451523E-2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5890.4508970736442</v>
      </c>
      <c r="D207" s="376">
        <f>LN_ID18+LN_IE18</f>
        <v>6044.3677240513225</v>
      </c>
      <c r="E207" s="376">
        <f t="shared" si="22"/>
        <v>153.91682697767828</v>
      </c>
      <c r="F207" s="362">
        <f t="shared" si="23"/>
        <v>2.6129888809385313E-2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3629.2824392476596</v>
      </c>
      <c r="D208" s="378">
        <f>IF(LN_IF18=0,0,LN_IF15/LN_IF18)</f>
        <v>3943.8723929956568</v>
      </c>
      <c r="E208" s="378">
        <f t="shared" si="22"/>
        <v>314.58995374799724</v>
      </c>
      <c r="F208" s="362">
        <f t="shared" si="23"/>
        <v>8.6681033789481235E-2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3877.0286902468542</v>
      </c>
      <c r="D209" s="378">
        <f>LN_IB18-LN_IF19</f>
        <v>4187.4277982180483</v>
      </c>
      <c r="E209" s="378">
        <f t="shared" si="22"/>
        <v>310.3991079711941</v>
      </c>
      <c r="F209" s="362">
        <f t="shared" si="23"/>
        <v>8.006108099020301E-2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5086.4826259769525</v>
      </c>
      <c r="D210" s="378">
        <f>LN_IA16-LN_IF19</f>
        <v>4592.029758910955</v>
      </c>
      <c r="E210" s="378">
        <f t="shared" si="22"/>
        <v>-494.45286706599745</v>
      </c>
      <c r="F210" s="362">
        <f t="shared" si="23"/>
        <v>-9.7209192171580194E-2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29961676.147135444</v>
      </c>
      <c r="D211" s="353">
        <f>LN_IF21*LN_IF18</f>
        <v>27755916.462644551</v>
      </c>
      <c r="E211" s="353">
        <f t="shared" si="22"/>
        <v>-2205759.684490893</v>
      </c>
      <c r="F211" s="362">
        <f t="shared" si="23"/>
        <v>-7.3619368744888461E-2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231001249</v>
      </c>
      <c r="D214" s="361">
        <f>LN_IF1+LN_IF14</f>
        <v>262057144</v>
      </c>
      <c r="E214" s="361">
        <f>D214-C214</f>
        <v>31055895</v>
      </c>
      <c r="F214" s="362">
        <f>IF(C214=0,0,E214/C214)</f>
        <v>0.13444037698687941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59855817</v>
      </c>
      <c r="D215" s="361">
        <f>LN_IF2+LN_IF15</f>
        <v>63734761</v>
      </c>
      <c r="E215" s="361">
        <f>D215-C215</f>
        <v>3878944</v>
      </c>
      <c r="F215" s="362">
        <f>IF(C215=0,0,E215/C215)</f>
        <v>6.480479583128905E-2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171145432</v>
      </c>
      <c r="D216" s="361">
        <f>LN_IF23-LN_IF24</f>
        <v>198322383</v>
      </c>
      <c r="E216" s="361">
        <f>D216-C216</f>
        <v>27176951</v>
      </c>
      <c r="F216" s="362">
        <f>IF(C216=0,0,E216/C216)</f>
        <v>0.15879448655106376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1590321</v>
      </c>
      <c r="D221" s="361">
        <v>1797493</v>
      </c>
      <c r="E221" s="361">
        <f t="shared" ref="E221:E230" si="24">D221-C221</f>
        <v>207172</v>
      </c>
      <c r="F221" s="362">
        <f t="shared" ref="F221:F230" si="25">IF(C221=0,0,E221/C221)</f>
        <v>0.13027055544132285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880269</v>
      </c>
      <c r="D222" s="361">
        <v>677923</v>
      </c>
      <c r="E222" s="361">
        <f t="shared" si="24"/>
        <v>-202346</v>
      </c>
      <c r="F222" s="362">
        <f t="shared" si="25"/>
        <v>-0.22986836978241879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0.55351655420509449</v>
      </c>
      <c r="D223" s="366">
        <f>IF(LN_IG1=0,0,LN_IG2/LN_IG1)</f>
        <v>0.37714917387717228</v>
      </c>
      <c r="E223" s="367">
        <f t="shared" si="24"/>
        <v>-0.17636738032792221</v>
      </c>
      <c r="F223" s="362">
        <f t="shared" si="25"/>
        <v>-0.31863072384746205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90</v>
      </c>
      <c r="D224" s="369">
        <v>90</v>
      </c>
      <c r="E224" s="369">
        <f t="shared" si="24"/>
        <v>0</v>
      </c>
      <c r="F224" s="362">
        <f t="shared" si="25"/>
        <v>0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1.1231</v>
      </c>
      <c r="D225" s="372">
        <v>1.4208000000000001</v>
      </c>
      <c r="E225" s="373">
        <f t="shared" si="24"/>
        <v>0.29770000000000008</v>
      </c>
      <c r="F225" s="362">
        <f t="shared" si="25"/>
        <v>0.26506989582405849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101.07899999999999</v>
      </c>
      <c r="D226" s="376">
        <f>LN_IG3*LN_IG4</f>
        <v>127.872</v>
      </c>
      <c r="E226" s="376">
        <f t="shared" si="24"/>
        <v>26.793000000000006</v>
      </c>
      <c r="F226" s="362">
        <f t="shared" si="25"/>
        <v>0.26506989582405849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8708.7228801234687</v>
      </c>
      <c r="D227" s="378">
        <f>IF(LN_IG5=0,0,LN_IG2/LN_IG5)</f>
        <v>5301.5750125125123</v>
      </c>
      <c r="E227" s="378">
        <f t="shared" si="24"/>
        <v>-3407.1478676109564</v>
      </c>
      <c r="F227" s="362">
        <f t="shared" si="25"/>
        <v>-0.39123392884475977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331</v>
      </c>
      <c r="D228" s="369">
        <v>405</v>
      </c>
      <c r="E228" s="369">
        <f t="shared" si="24"/>
        <v>74</v>
      </c>
      <c r="F228" s="362">
        <f t="shared" si="25"/>
        <v>0.22356495468277945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2659.4229607250754</v>
      </c>
      <c r="D229" s="378">
        <f>IF(LN_IG6=0,0,LN_IG2/LN_IG6)</f>
        <v>1673.883950617284</v>
      </c>
      <c r="E229" s="378">
        <f t="shared" si="24"/>
        <v>-985.53901010779146</v>
      </c>
      <c r="F229" s="362">
        <f t="shared" si="25"/>
        <v>-0.37058377876044596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3.6777777777777776</v>
      </c>
      <c r="D230" s="379">
        <f>IF(LN_IG3=0,0,LN_IG6/LN_IG3)</f>
        <v>4.5</v>
      </c>
      <c r="E230" s="379">
        <f t="shared" si="24"/>
        <v>0.82222222222222241</v>
      </c>
      <c r="F230" s="362">
        <f t="shared" si="25"/>
        <v>0.22356495468277951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2089478</v>
      </c>
      <c r="D233" s="361">
        <v>2497083</v>
      </c>
      <c r="E233" s="361">
        <f>D233-C233</f>
        <v>407605</v>
      </c>
      <c r="F233" s="362">
        <f>IF(C233=0,0,E233/C233)</f>
        <v>0.19507503788027442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721183</v>
      </c>
      <c r="D234" s="361">
        <v>583793</v>
      </c>
      <c r="E234" s="361">
        <f>D234-C234</f>
        <v>-137390</v>
      </c>
      <c r="F234" s="362">
        <f>IF(C234=0,0,E234/C234)</f>
        <v>-0.19050643179331736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3679799</v>
      </c>
      <c r="D237" s="361">
        <f>LN_IG1+LN_IG9</f>
        <v>4294576</v>
      </c>
      <c r="E237" s="361">
        <f>D237-C237</f>
        <v>614777</v>
      </c>
      <c r="F237" s="362">
        <f>IF(C237=0,0,E237/C237)</f>
        <v>0.16706809257788266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1601452</v>
      </c>
      <c r="D238" s="361">
        <f>LN_IG2+LN_IG10</f>
        <v>1261716</v>
      </c>
      <c r="E238" s="361">
        <f>D238-C238</f>
        <v>-339736</v>
      </c>
      <c r="F238" s="362">
        <f>IF(C238=0,0,E238/C238)</f>
        <v>-0.21214248069876587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2078347</v>
      </c>
      <c r="D239" s="361">
        <f>LN_IG13-LN_IG14</f>
        <v>3032860</v>
      </c>
      <c r="E239" s="361">
        <f>D239-C239</f>
        <v>954513</v>
      </c>
      <c r="F239" s="362">
        <f>IF(C239=0,0,E239/C239)</f>
        <v>0.45926546433295307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25203633</v>
      </c>
      <c r="D243" s="361">
        <v>29113845</v>
      </c>
      <c r="E243" s="353">
        <f>D243-C243</f>
        <v>3910212</v>
      </c>
      <c r="F243" s="415">
        <f>IF(C243=0,0,E243/C243)</f>
        <v>0.1551447761519143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591542174</v>
      </c>
      <c r="D244" s="361">
        <v>614686051</v>
      </c>
      <c r="E244" s="353">
        <f>D244-C244</f>
        <v>23143877</v>
      </c>
      <c r="F244" s="415">
        <f>IF(C244=0,0,E244/C244)</f>
        <v>3.9124644052851591E-2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3749526</v>
      </c>
      <c r="D245" s="400">
        <v>4009860</v>
      </c>
      <c r="E245" s="400">
        <f>D245-C245</f>
        <v>260334</v>
      </c>
      <c r="F245" s="401">
        <f>IF(C245=0,0,E245/C245)</f>
        <v>6.9431176100659117E-2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5153062</v>
      </c>
      <c r="D248" s="353">
        <v>5320840</v>
      </c>
      <c r="E248" s="353">
        <f>D248-C248</f>
        <v>167778</v>
      </c>
      <c r="F248" s="362">
        <f>IF(C248=0,0,E248/C248)</f>
        <v>3.2558894109948611E-2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21328662</v>
      </c>
      <c r="D249" s="353">
        <v>18896554</v>
      </c>
      <c r="E249" s="353">
        <f>D249-C249</f>
        <v>-2432108</v>
      </c>
      <c r="F249" s="362">
        <f>IF(C249=0,0,E249/C249)</f>
        <v>-0.11403003151346297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26481724</v>
      </c>
      <c r="D250" s="353">
        <f>LN_IH4+LN_IH5</f>
        <v>24217394</v>
      </c>
      <c r="E250" s="353">
        <f>D250-C250</f>
        <v>-2264330</v>
      </c>
      <c r="F250" s="362">
        <f>IF(C250=0,0,E250/C250)</f>
        <v>-8.5505384770266465E-2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11515268.88631119</v>
      </c>
      <c r="D251" s="353">
        <f>LN_IH6*LN_III10</f>
        <v>10170667.277918898</v>
      </c>
      <c r="E251" s="353">
        <f>D251-C251</f>
        <v>-1344601.6083922926</v>
      </c>
      <c r="F251" s="362">
        <f>IF(C251=0,0,E251/C251)</f>
        <v>-0.1167668442367587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231001249</v>
      </c>
      <c r="D254" s="353">
        <f>LN_IF23</f>
        <v>262057144</v>
      </c>
      <c r="E254" s="353">
        <f>D254-C254</f>
        <v>31055895</v>
      </c>
      <c r="F254" s="362">
        <f>IF(C254=0,0,E254/C254)</f>
        <v>0.13444037698687941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59855817</v>
      </c>
      <c r="D255" s="353">
        <f>LN_IF24</f>
        <v>63734761</v>
      </c>
      <c r="E255" s="353">
        <f>D255-C255</f>
        <v>3878944</v>
      </c>
      <c r="F255" s="362">
        <f>IF(C255=0,0,E255/C255)</f>
        <v>6.480479583128905E-2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100448199.49444093</v>
      </c>
      <c r="D256" s="353">
        <f>LN_IH8*LN_III10</f>
        <v>110057094.47621328</v>
      </c>
      <c r="E256" s="353">
        <f>D256-C256</f>
        <v>9608894.9817723483</v>
      </c>
      <c r="F256" s="362">
        <f>IF(C256=0,0,E256/C256)</f>
        <v>9.5660201279208892E-2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40592382.494440928</v>
      </c>
      <c r="D257" s="353">
        <f>LN_IH10-LN_IH9</f>
        <v>46322333.476213276</v>
      </c>
      <c r="E257" s="353">
        <f>D257-C257</f>
        <v>5729950.9817723483</v>
      </c>
      <c r="F257" s="362">
        <f>IF(C257=0,0,E257/C257)</f>
        <v>0.14115828216185777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754771971</v>
      </c>
      <c r="D261" s="361">
        <f>LN_IA1+LN_IB1+LN_IF1+LN_IG1</f>
        <v>784347703</v>
      </c>
      <c r="E261" s="361">
        <f t="shared" ref="E261:E274" si="26">D261-C261</f>
        <v>29575732</v>
      </c>
      <c r="F261" s="415">
        <f t="shared" ref="F261:F274" si="27">IF(C261=0,0,E261/C261)</f>
        <v>3.918498981992536E-2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373573162</v>
      </c>
      <c r="D262" s="361">
        <f>+LN_IA2+LN_IB2+LN_IF2+LN_IG2</f>
        <v>375093881</v>
      </c>
      <c r="E262" s="361">
        <f t="shared" si="26"/>
        <v>1520719</v>
      </c>
      <c r="F262" s="415">
        <f t="shared" si="27"/>
        <v>4.0707394285459941E-3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0.49494837693171306</v>
      </c>
      <c r="D263" s="366">
        <f>IF(LN_IIA1=0,0,LN_IIA2/LN_IIA1)</f>
        <v>0.47822398097849722</v>
      </c>
      <c r="E263" s="367">
        <f t="shared" si="26"/>
        <v>-1.6724395953215843E-2</v>
      </c>
      <c r="F263" s="371">
        <f t="shared" si="27"/>
        <v>-3.3790182436588274E-2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33057</v>
      </c>
      <c r="D264" s="369">
        <f>LN_IA4+LN_IB4+LN_IF4+LN_IG3</f>
        <v>31400</v>
      </c>
      <c r="E264" s="369">
        <f t="shared" si="26"/>
        <v>-1657</v>
      </c>
      <c r="F264" s="415">
        <f t="shared" si="27"/>
        <v>-5.0125540732673869E-2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1.4504499470611367</v>
      </c>
      <c r="D265" s="439">
        <f>IF(LN_IIA4=0,0,LN_IIA6/LN_IIA4)</f>
        <v>1.4865788853503186</v>
      </c>
      <c r="E265" s="439">
        <f t="shared" si="26"/>
        <v>3.6128938289181844E-2</v>
      </c>
      <c r="F265" s="415">
        <f t="shared" si="27"/>
        <v>2.4908779763400554E-2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47947.5239</v>
      </c>
      <c r="D266" s="376">
        <f>LN_IA6+LN_IB6+LN_IF6+LN_IG5</f>
        <v>46678.577000000005</v>
      </c>
      <c r="E266" s="376">
        <f t="shared" si="26"/>
        <v>-1268.9468999999954</v>
      </c>
      <c r="F266" s="415">
        <f t="shared" si="27"/>
        <v>-2.6465327023904885E-2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563041619</v>
      </c>
      <c r="D267" s="361">
        <f>LN_IA11+LN_IB13+LN_IF14+LN_IG9</f>
        <v>620641344</v>
      </c>
      <c r="E267" s="361">
        <f t="shared" si="26"/>
        <v>57599725</v>
      </c>
      <c r="F267" s="415">
        <f t="shared" si="27"/>
        <v>0.10230100769868666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0.74597579220386812</v>
      </c>
      <c r="D268" s="366">
        <f>IF(LN_IIA1=0,0,LN_IIA7/LN_IIA1)</f>
        <v>0.79128343415318192</v>
      </c>
      <c r="E268" s="367">
        <f t="shared" si="26"/>
        <v>4.5307641949313804E-2</v>
      </c>
      <c r="F268" s="371">
        <f t="shared" si="27"/>
        <v>6.0736075383169615E-2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184887180</v>
      </c>
      <c r="D269" s="361">
        <f>LN_IA12+LN_IB14+LN_IF15+LN_IG10</f>
        <v>192520591</v>
      </c>
      <c r="E269" s="361">
        <f t="shared" si="26"/>
        <v>7633411</v>
      </c>
      <c r="F269" s="415">
        <f t="shared" si="27"/>
        <v>4.1286859370130477E-2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0.32837213761990125</v>
      </c>
      <c r="D270" s="366">
        <f>IF(LN_IIA7=0,0,LN_IIA9/LN_IIA7)</f>
        <v>0.31019620729617392</v>
      </c>
      <c r="E270" s="367">
        <f t="shared" si="26"/>
        <v>-1.817593032372733E-2</v>
      </c>
      <c r="F270" s="371">
        <f t="shared" si="27"/>
        <v>-5.5351621655447554E-2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1317813590</v>
      </c>
      <c r="D271" s="353">
        <f>LN_IIA1+LN_IIA7</f>
        <v>1404989047</v>
      </c>
      <c r="E271" s="353">
        <f t="shared" si="26"/>
        <v>87175457</v>
      </c>
      <c r="F271" s="415">
        <f t="shared" si="27"/>
        <v>6.6151584458921844E-2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558460342</v>
      </c>
      <c r="D272" s="353">
        <f>LN_IIA2+LN_IIA9</f>
        <v>567614472</v>
      </c>
      <c r="E272" s="353">
        <f t="shared" si="26"/>
        <v>9154130</v>
      </c>
      <c r="F272" s="415">
        <f t="shared" si="27"/>
        <v>1.6391727955500913E-2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0.42377795026381537</v>
      </c>
      <c r="D273" s="366">
        <f>IF(LN_IIA11=0,0,LN_IIA12/LN_IIA11)</f>
        <v>0.40399921494904012</v>
      </c>
      <c r="E273" s="367">
        <f t="shared" si="26"/>
        <v>-1.9778735314775253E-2</v>
      </c>
      <c r="F273" s="371">
        <f t="shared" si="27"/>
        <v>-4.6672403088604202E-2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162158</v>
      </c>
      <c r="D274" s="421">
        <f>LN_IA8+LN_IB10+LN_IF11+LN_IG6</f>
        <v>154460</v>
      </c>
      <c r="E274" s="442">
        <f t="shared" si="26"/>
        <v>-7698</v>
      </c>
      <c r="F274" s="371">
        <f t="shared" si="27"/>
        <v>-4.7472218453606975E-2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523416142</v>
      </c>
      <c r="D277" s="361">
        <f>LN_IA1+LN_IF1+LN_IG1</f>
        <v>547072084</v>
      </c>
      <c r="E277" s="361">
        <f t="shared" ref="E277:E291" si="28">D277-C277</f>
        <v>23655942</v>
      </c>
      <c r="F277" s="415">
        <f t="shared" ref="F277:F291" si="29">IF(C277=0,0,E277/C277)</f>
        <v>4.5195285551586979E-2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241432868</v>
      </c>
      <c r="D278" s="361">
        <f>LN_IA2+LN_IF2+LN_IG2</f>
        <v>232568687</v>
      </c>
      <c r="E278" s="361">
        <f t="shared" si="28"/>
        <v>-8864181</v>
      </c>
      <c r="F278" s="415">
        <f t="shared" si="29"/>
        <v>-3.6714889208871095E-2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0.46126370325048172</v>
      </c>
      <c r="D279" s="366">
        <f>IF(D277=0,0,LN_IIB2/D277)</f>
        <v>0.42511525227085067</v>
      </c>
      <c r="E279" s="367">
        <f t="shared" si="28"/>
        <v>-3.6148450979631042E-2</v>
      </c>
      <c r="F279" s="371">
        <f t="shared" si="29"/>
        <v>-7.8368297190731295E-2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20987</v>
      </c>
      <c r="D280" s="369">
        <f>LN_IA4+LN_IF4+LN_IG3</f>
        <v>20225</v>
      </c>
      <c r="E280" s="369">
        <f t="shared" si="28"/>
        <v>-762</v>
      </c>
      <c r="F280" s="415">
        <f t="shared" si="29"/>
        <v>-3.6308190784771523E-2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1.5234611378472387</v>
      </c>
      <c r="D281" s="439">
        <f>IF(LN_IIB4=0,0,LN_IIB6/LN_IIB4)</f>
        <v>1.5528160444993822</v>
      </c>
      <c r="E281" s="439">
        <f t="shared" si="28"/>
        <v>2.9354906652143464E-2</v>
      </c>
      <c r="F281" s="415">
        <f t="shared" si="29"/>
        <v>1.9268562828996139E-2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31972.8789</v>
      </c>
      <c r="D282" s="376">
        <f>LN_IA6+LN_IF6+LN_IG5</f>
        <v>31405.704500000003</v>
      </c>
      <c r="E282" s="376">
        <f t="shared" si="28"/>
        <v>-567.17439999999624</v>
      </c>
      <c r="F282" s="415">
        <f t="shared" si="29"/>
        <v>-1.7739234611118995E-2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286783044</v>
      </c>
      <c r="D283" s="361">
        <f>LN_IA11+LN_IF14+LN_IG9</f>
        <v>332583819</v>
      </c>
      <c r="E283" s="361">
        <f t="shared" si="28"/>
        <v>45800775</v>
      </c>
      <c r="F283" s="415">
        <f t="shared" si="29"/>
        <v>0.15970531019260678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0.54790638077035081</v>
      </c>
      <c r="D284" s="366">
        <f>IF(D277=0,0,LN_IIB7/D277)</f>
        <v>0.6079341803885574</v>
      </c>
      <c r="E284" s="367">
        <f t="shared" si="28"/>
        <v>6.002779961820659E-2</v>
      </c>
      <c r="F284" s="371">
        <f t="shared" si="29"/>
        <v>0.10955849708084822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76701656</v>
      </c>
      <c r="D285" s="361">
        <f>LN_IA12+LN_IF15+LN_IG10</f>
        <v>82205828</v>
      </c>
      <c r="E285" s="361">
        <f t="shared" si="28"/>
        <v>5504172</v>
      </c>
      <c r="F285" s="415">
        <f t="shared" si="29"/>
        <v>7.1760797446146399E-2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0.26745533811964139</v>
      </c>
      <c r="D286" s="366">
        <f>IF(LN_IIB7=0,0,LN_IIB9/LN_IIB7)</f>
        <v>0.24717326371190657</v>
      </c>
      <c r="E286" s="367">
        <f t="shared" si="28"/>
        <v>-2.0282074407734829E-2</v>
      </c>
      <c r="F286" s="371">
        <f t="shared" si="29"/>
        <v>-7.5833500091376016E-2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810199186</v>
      </c>
      <c r="D287" s="353">
        <f>D277+LN_IIB7</f>
        <v>879655903</v>
      </c>
      <c r="E287" s="353">
        <f t="shared" si="28"/>
        <v>69456717</v>
      </c>
      <c r="F287" s="415">
        <f t="shared" si="29"/>
        <v>8.5727952089055787E-2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318134524</v>
      </c>
      <c r="D288" s="353">
        <f>LN_IIB2+LN_IIB9</f>
        <v>314774515</v>
      </c>
      <c r="E288" s="353">
        <f t="shared" si="28"/>
        <v>-3360009</v>
      </c>
      <c r="F288" s="415">
        <f t="shared" si="29"/>
        <v>-1.0561598149592843E-2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0.3926621125980741</v>
      </c>
      <c r="D289" s="366">
        <f>IF(LN_IIB11=0,0,LN_IIB12/LN_IIB11)</f>
        <v>0.35783823416234156</v>
      </c>
      <c r="E289" s="367">
        <f t="shared" si="28"/>
        <v>-3.4823878435732536E-2</v>
      </c>
      <c r="F289" s="371">
        <f t="shared" si="29"/>
        <v>-8.8686627302334078E-2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114318</v>
      </c>
      <c r="D290" s="421">
        <f>LN_IA8+LN_IF11+LN_IG6</f>
        <v>109780</v>
      </c>
      <c r="E290" s="442">
        <f t="shared" si="28"/>
        <v>-4538</v>
      </c>
      <c r="F290" s="371">
        <f t="shared" si="29"/>
        <v>-3.969628579926171E-2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492064662</v>
      </c>
      <c r="D291" s="429">
        <f>LN_IIB11-LN_IIB12</f>
        <v>564881388</v>
      </c>
      <c r="E291" s="353">
        <f t="shared" si="28"/>
        <v>72816726</v>
      </c>
      <c r="F291" s="415">
        <f t="shared" si="29"/>
        <v>0.14798202680118491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5.5968868199010764</v>
      </c>
      <c r="D294" s="379">
        <f>IF(LN_IA4=0,0,LN_IA8/LN_IA4)</f>
        <v>5.4944677033492821</v>
      </c>
      <c r="E294" s="379">
        <f t="shared" ref="E294:E300" si="30">D294-C294</f>
        <v>-0.10241911655179425</v>
      </c>
      <c r="F294" s="415">
        <f t="shared" ref="F294:F300" si="31">IF(C294=0,0,E294/C294)</f>
        <v>-1.8299300994906394E-2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3.9635459817729908</v>
      </c>
      <c r="D295" s="379">
        <f>IF(LN_IB4=0,0,(LN_IB10)/(LN_IB4))</f>
        <v>3.9982102908277404</v>
      </c>
      <c r="E295" s="379">
        <f t="shared" si="30"/>
        <v>3.4664309054749598E-2</v>
      </c>
      <c r="F295" s="415">
        <f t="shared" si="31"/>
        <v>8.7457819876845238E-3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3.1690140845070425</v>
      </c>
      <c r="D296" s="379">
        <f>IF(LN_IC4=0,0,LN_IC11/LN_IC4)</f>
        <v>3.6212624584717608</v>
      </c>
      <c r="E296" s="379">
        <f t="shared" si="30"/>
        <v>0.45224837396471829</v>
      </c>
      <c r="F296" s="415">
        <f t="shared" si="31"/>
        <v>0.14270948689553331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5.1695927601809952</v>
      </c>
      <c r="D297" s="379">
        <f>IF(LN_ID4=0,0,LN_ID11/LN_ID4)</f>
        <v>5.285359390526664</v>
      </c>
      <c r="E297" s="379">
        <f t="shared" si="30"/>
        <v>0.11576663034566881</v>
      </c>
      <c r="F297" s="415">
        <f t="shared" si="31"/>
        <v>2.2393762084581617E-2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5.2210591133004929</v>
      </c>
      <c r="D298" s="379">
        <f>IF(LN_IE4=0,0,LN_IE11/LN_IE4)</f>
        <v>5.503467406380028</v>
      </c>
      <c r="E298" s="379">
        <f t="shared" si="30"/>
        <v>0.28240829307953508</v>
      </c>
      <c r="F298" s="415">
        <f t="shared" si="31"/>
        <v>5.409023091887781E-2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3.6777777777777776</v>
      </c>
      <c r="D299" s="379">
        <f>IF(LN_IG3=0,0,LN_IG6/LN_IG3)</f>
        <v>4.5</v>
      </c>
      <c r="E299" s="379">
        <f t="shared" si="30"/>
        <v>0.82222222222222241</v>
      </c>
      <c r="F299" s="415">
        <f t="shared" si="31"/>
        <v>0.22356495468277951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4.9054058141997157</v>
      </c>
      <c r="D300" s="379">
        <f>IF(LN_IIA4=0,0,LN_IIA14/LN_IIA4)</f>
        <v>4.9191082802547772</v>
      </c>
      <c r="E300" s="379">
        <f t="shared" si="30"/>
        <v>1.3702466055061535E-2</v>
      </c>
      <c r="F300" s="415">
        <f t="shared" si="31"/>
        <v>2.7933399547488817E-3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1317813590</v>
      </c>
      <c r="D304" s="353">
        <f>LN_IIA11</f>
        <v>1404989047</v>
      </c>
      <c r="E304" s="353">
        <f t="shared" ref="E304:E316" si="32">D304-C304</f>
        <v>87175457</v>
      </c>
      <c r="F304" s="362">
        <f>IF(C304=0,0,E304/C304)</f>
        <v>6.6151584458921844E-2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492064662</v>
      </c>
      <c r="D305" s="353">
        <f>LN_IIB14</f>
        <v>564881388</v>
      </c>
      <c r="E305" s="353">
        <f t="shared" si="32"/>
        <v>72816726</v>
      </c>
      <c r="F305" s="362">
        <f>IF(C305=0,0,E305/C305)</f>
        <v>0.14798202680118491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26481724</v>
      </c>
      <c r="D306" s="353">
        <f>LN_IH6</f>
        <v>24217394</v>
      </c>
      <c r="E306" s="353">
        <f t="shared" si="32"/>
        <v>-2264330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221047153</v>
      </c>
      <c r="D307" s="353">
        <f>LN_IB32-LN_IB33</f>
        <v>217577312</v>
      </c>
      <c r="E307" s="353">
        <f t="shared" si="32"/>
        <v>-3469841</v>
      </c>
      <c r="F307" s="362">
        <f t="shared" ref="F307:F316" si="33">IF(C307=0,0,E307/C307)</f>
        <v>-1.5697288804257976E-2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8933704</v>
      </c>
      <c r="D308" s="353">
        <v>12264439</v>
      </c>
      <c r="E308" s="353">
        <f t="shared" si="32"/>
        <v>3330735</v>
      </c>
      <c r="F308" s="362">
        <f t="shared" si="33"/>
        <v>0.37282800056952858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748527243</v>
      </c>
      <c r="D309" s="353">
        <f>LN_III2+LN_III3+LN_III4+LN_III5</f>
        <v>818940533</v>
      </c>
      <c r="E309" s="353">
        <f t="shared" si="32"/>
        <v>70413290</v>
      </c>
      <c r="F309" s="362">
        <f t="shared" si="33"/>
        <v>9.4069107916223166E-2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569286347</v>
      </c>
      <c r="D310" s="353">
        <f>LN_III1-LN_III6</f>
        <v>586048514</v>
      </c>
      <c r="E310" s="353">
        <f t="shared" si="32"/>
        <v>16762167</v>
      </c>
      <c r="F310" s="362">
        <f t="shared" si="33"/>
        <v>2.9444175305331888E-2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3749526</v>
      </c>
      <c r="D311" s="353">
        <f>LN_IH3</f>
        <v>4009860</v>
      </c>
      <c r="E311" s="353">
        <f t="shared" si="32"/>
        <v>260334</v>
      </c>
      <c r="F311" s="362">
        <f t="shared" si="33"/>
        <v>6.9431176100659117E-2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573035873</v>
      </c>
      <c r="D312" s="353">
        <f>LN_III7+LN_III8</f>
        <v>590058374</v>
      </c>
      <c r="E312" s="353">
        <f t="shared" si="32"/>
        <v>17022501</v>
      </c>
      <c r="F312" s="362">
        <f t="shared" si="33"/>
        <v>2.9705820877988908E-2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0.43483833931322563</v>
      </c>
      <c r="D313" s="448">
        <f>IF(LN_III1=0,0,LN_III9/LN_III1)</f>
        <v>0.41997364695470113</v>
      </c>
      <c r="E313" s="448">
        <f t="shared" si="32"/>
        <v>-1.4864692358524501E-2</v>
      </c>
      <c r="F313" s="362">
        <f t="shared" si="33"/>
        <v>-3.418441065247714E-2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11515268.88631119</v>
      </c>
      <c r="D314" s="353">
        <f>D313*LN_III5</f>
        <v>10170667.277918898</v>
      </c>
      <c r="E314" s="353">
        <f t="shared" si="32"/>
        <v>-1344601.6083922926</v>
      </c>
      <c r="F314" s="362">
        <f t="shared" si="33"/>
        <v>-0.1167668442367587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40592382.494440928</v>
      </c>
      <c r="D315" s="353">
        <f>D313*LN_IH8-LN_IH9</f>
        <v>46322333.476213276</v>
      </c>
      <c r="E315" s="353">
        <f t="shared" si="32"/>
        <v>5729950.9817723483</v>
      </c>
      <c r="F315" s="362">
        <f t="shared" si="33"/>
        <v>0.14115828216185777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52107651.380752116</v>
      </c>
      <c r="D318" s="353">
        <f>D314+D315+D316</f>
        <v>56493000.754132174</v>
      </c>
      <c r="E318" s="353">
        <f>D318-C318</f>
        <v>4385349.3733800575</v>
      </c>
      <c r="F318" s="362">
        <f>IF(C318=0,0,E318/C318)</f>
        <v>8.4159413390870047E-2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20459869.493175447</v>
      </c>
      <c r="D322" s="353">
        <f>LN_ID22</f>
        <v>23756134.322467189</v>
      </c>
      <c r="E322" s="353">
        <f>LN_IV2-C322</f>
        <v>3296264.8292917423</v>
      </c>
      <c r="F322" s="362">
        <f>IF(C322=0,0,E322/C322)</f>
        <v>0.16110879057128091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23365437.141513944</v>
      </c>
      <c r="D323" s="353">
        <f>LN_IE10+LN_IE22</f>
        <v>9610268.1493161079</v>
      </c>
      <c r="E323" s="353">
        <f>LN_IV3-C323</f>
        <v>-13755168.992197836</v>
      </c>
      <c r="F323" s="362">
        <f>IF(C323=0,0,E323/C323)</f>
        <v>-0.58869726720236237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11778740.029056866</v>
      </c>
      <c r="D324" s="353">
        <f>LN_IC10+LN_IC22</f>
        <v>8585045.8030062672</v>
      </c>
      <c r="E324" s="353">
        <f>LN_IV1-C324</f>
        <v>-3193694.2260505985</v>
      </c>
      <c r="F324" s="362">
        <f>IF(C324=0,0,E324/C324)</f>
        <v>-0.27114056496468242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55604046.663746253</v>
      </c>
      <c r="D325" s="429">
        <f>LN_IV1+LN_IV2+LN_IV3</f>
        <v>41951448.274789564</v>
      </c>
      <c r="E325" s="353">
        <f>LN_IV4-C325</f>
        <v>-13652598.388956688</v>
      </c>
      <c r="F325" s="362">
        <f>IF(C325=0,0,E325/C325)</f>
        <v>-0.24553246046133834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16580888</v>
      </c>
      <c r="D329" s="431">
        <v>22487861</v>
      </c>
      <c r="E329" s="431">
        <f t="shared" ref="E329:E335" si="34">D329-C329</f>
        <v>5906973</v>
      </c>
      <c r="F329" s="462">
        <f t="shared" ref="F329:F335" si="35">IF(C329=0,0,E329/C329)</f>
        <v>0.35625190882418362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14692290</v>
      </c>
      <c r="D330" s="429">
        <v>11435922</v>
      </c>
      <c r="E330" s="431">
        <f t="shared" si="34"/>
        <v>-3256368</v>
      </c>
      <c r="F330" s="463">
        <f t="shared" si="35"/>
        <v>-0.22163787945922658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576902158</v>
      </c>
      <c r="D331" s="429">
        <v>583060254</v>
      </c>
      <c r="E331" s="431">
        <f t="shared" si="34"/>
        <v>6158096</v>
      </c>
      <c r="F331" s="462">
        <f t="shared" si="35"/>
        <v>1.0674420115447029E-2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46745587</v>
      </c>
      <c r="D332" s="429">
        <v>48004718</v>
      </c>
      <c r="E332" s="431">
        <f t="shared" si="34"/>
        <v>1259131</v>
      </c>
      <c r="F332" s="463">
        <f t="shared" si="35"/>
        <v>2.6935826049205459E-2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1364559180</v>
      </c>
      <c r="D333" s="429">
        <v>1452993764</v>
      </c>
      <c r="E333" s="431">
        <f t="shared" si="34"/>
        <v>88434584</v>
      </c>
      <c r="F333" s="462">
        <f t="shared" si="35"/>
        <v>6.4808170503825271E-2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8391995</v>
      </c>
      <c r="D334" s="429">
        <v>8422297</v>
      </c>
      <c r="E334" s="429">
        <f t="shared" si="34"/>
        <v>30302</v>
      </c>
      <c r="F334" s="463">
        <f t="shared" si="35"/>
        <v>3.6108219797557077E-3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34873718</v>
      </c>
      <c r="D335" s="429">
        <v>32639691</v>
      </c>
      <c r="E335" s="429">
        <f t="shared" si="34"/>
        <v>-2234027</v>
      </c>
      <c r="F335" s="462">
        <f t="shared" si="35"/>
        <v>-6.4060476717739123E-2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FRANCIS HOSPITAL AND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2" sqref="A2:E2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231355829</v>
      </c>
      <c r="D14" s="513">
        <v>237275619</v>
      </c>
      <c r="E14" s="514">
        <f t="shared" ref="E14:E22" si="0">D14-C14</f>
        <v>5919790</v>
      </c>
    </row>
    <row r="15" spans="1:5" s="506" customFormat="1" x14ac:dyDescent="0.2">
      <c r="A15" s="512">
        <v>2</v>
      </c>
      <c r="B15" s="511" t="s">
        <v>600</v>
      </c>
      <c r="C15" s="513">
        <v>395358506</v>
      </c>
      <c r="D15" s="515">
        <v>407215274</v>
      </c>
      <c r="E15" s="514">
        <f t="shared" si="0"/>
        <v>11856768</v>
      </c>
    </row>
    <row r="16" spans="1:5" s="506" customFormat="1" x14ac:dyDescent="0.2">
      <c r="A16" s="512">
        <v>3</v>
      </c>
      <c r="B16" s="511" t="s">
        <v>746</v>
      </c>
      <c r="C16" s="513">
        <v>126467315</v>
      </c>
      <c r="D16" s="515">
        <v>138059317</v>
      </c>
      <c r="E16" s="514">
        <f t="shared" si="0"/>
        <v>11592002</v>
      </c>
    </row>
    <row r="17" spans="1:5" s="506" customFormat="1" x14ac:dyDescent="0.2">
      <c r="A17" s="512">
        <v>4</v>
      </c>
      <c r="B17" s="511" t="s">
        <v>114</v>
      </c>
      <c r="C17" s="513">
        <v>94606537</v>
      </c>
      <c r="D17" s="515">
        <v>118629436</v>
      </c>
      <c r="E17" s="514">
        <f t="shared" si="0"/>
        <v>24022899</v>
      </c>
    </row>
    <row r="18" spans="1:5" s="506" customFormat="1" x14ac:dyDescent="0.2">
      <c r="A18" s="512">
        <v>5</v>
      </c>
      <c r="B18" s="511" t="s">
        <v>713</v>
      </c>
      <c r="C18" s="513">
        <v>31860778</v>
      </c>
      <c r="D18" s="515">
        <v>19429881</v>
      </c>
      <c r="E18" s="514">
        <f t="shared" si="0"/>
        <v>-12430897</v>
      </c>
    </row>
    <row r="19" spans="1:5" s="506" customFormat="1" x14ac:dyDescent="0.2">
      <c r="A19" s="512">
        <v>6</v>
      </c>
      <c r="B19" s="511" t="s">
        <v>418</v>
      </c>
      <c r="C19" s="513">
        <v>1590321</v>
      </c>
      <c r="D19" s="515">
        <v>1797493</v>
      </c>
      <c r="E19" s="514">
        <f t="shared" si="0"/>
        <v>207172</v>
      </c>
    </row>
    <row r="20" spans="1:5" s="506" customFormat="1" x14ac:dyDescent="0.2">
      <c r="A20" s="512">
        <v>7</v>
      </c>
      <c r="B20" s="511" t="s">
        <v>728</v>
      </c>
      <c r="C20" s="513">
        <v>6594206</v>
      </c>
      <c r="D20" s="515">
        <v>6234862</v>
      </c>
      <c r="E20" s="514">
        <f t="shared" si="0"/>
        <v>-359344</v>
      </c>
    </row>
    <row r="21" spans="1:5" s="506" customFormat="1" x14ac:dyDescent="0.2">
      <c r="A21" s="512"/>
      <c r="B21" s="516" t="s">
        <v>747</v>
      </c>
      <c r="C21" s="517">
        <f>SUM(C15+C16+C19)</f>
        <v>523416142</v>
      </c>
      <c r="D21" s="517">
        <f>SUM(D15+D16+D19)</f>
        <v>547072084</v>
      </c>
      <c r="E21" s="517">
        <f t="shared" si="0"/>
        <v>23655942</v>
      </c>
    </row>
    <row r="22" spans="1:5" s="506" customFormat="1" x14ac:dyDescent="0.2">
      <c r="A22" s="512"/>
      <c r="B22" s="516" t="s">
        <v>687</v>
      </c>
      <c r="C22" s="517">
        <f>SUM(C14+C21)</f>
        <v>754771971</v>
      </c>
      <c r="D22" s="517">
        <f>SUM(D14+D21)</f>
        <v>784347703</v>
      </c>
      <c r="E22" s="517">
        <f t="shared" si="0"/>
        <v>29575732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276258575</v>
      </c>
      <c r="D25" s="513">
        <v>288057525</v>
      </c>
      <c r="E25" s="514">
        <f t="shared" ref="E25:E33" si="1">D25-C25</f>
        <v>11798950</v>
      </c>
    </row>
    <row r="26" spans="1:5" s="506" customFormat="1" x14ac:dyDescent="0.2">
      <c r="A26" s="512">
        <v>2</v>
      </c>
      <c r="B26" s="511" t="s">
        <v>600</v>
      </c>
      <c r="C26" s="513">
        <v>180159632</v>
      </c>
      <c r="D26" s="515">
        <v>206088909</v>
      </c>
      <c r="E26" s="514">
        <f t="shared" si="1"/>
        <v>25929277</v>
      </c>
    </row>
    <row r="27" spans="1:5" s="506" customFormat="1" x14ac:dyDescent="0.2">
      <c r="A27" s="512">
        <v>3</v>
      </c>
      <c r="B27" s="511" t="s">
        <v>746</v>
      </c>
      <c r="C27" s="513">
        <v>104533934</v>
      </c>
      <c r="D27" s="515">
        <v>123997827</v>
      </c>
      <c r="E27" s="514">
        <f t="shared" si="1"/>
        <v>19463893</v>
      </c>
    </row>
    <row r="28" spans="1:5" s="506" customFormat="1" x14ac:dyDescent="0.2">
      <c r="A28" s="512">
        <v>4</v>
      </c>
      <c r="B28" s="511" t="s">
        <v>114</v>
      </c>
      <c r="C28" s="513">
        <v>75682752</v>
      </c>
      <c r="D28" s="515">
        <v>104645488</v>
      </c>
      <c r="E28" s="514">
        <f t="shared" si="1"/>
        <v>28962736</v>
      </c>
    </row>
    <row r="29" spans="1:5" s="506" customFormat="1" x14ac:dyDescent="0.2">
      <c r="A29" s="512">
        <v>5</v>
      </c>
      <c r="B29" s="511" t="s">
        <v>713</v>
      </c>
      <c r="C29" s="513">
        <v>28851182</v>
      </c>
      <c r="D29" s="515">
        <v>19352339</v>
      </c>
      <c r="E29" s="514">
        <f t="shared" si="1"/>
        <v>-9498843</v>
      </c>
    </row>
    <row r="30" spans="1:5" s="506" customFormat="1" x14ac:dyDescent="0.2">
      <c r="A30" s="512">
        <v>6</v>
      </c>
      <c r="B30" s="511" t="s">
        <v>418</v>
      </c>
      <c r="C30" s="513">
        <v>2089478</v>
      </c>
      <c r="D30" s="515">
        <v>2497083</v>
      </c>
      <c r="E30" s="514">
        <f t="shared" si="1"/>
        <v>407605</v>
      </c>
    </row>
    <row r="31" spans="1:5" s="506" customFormat="1" x14ac:dyDescent="0.2">
      <c r="A31" s="512">
        <v>7</v>
      </c>
      <c r="B31" s="511" t="s">
        <v>728</v>
      </c>
      <c r="C31" s="514">
        <v>20622357</v>
      </c>
      <c r="D31" s="518">
        <v>21275835</v>
      </c>
      <c r="E31" s="514">
        <f t="shared" si="1"/>
        <v>653478</v>
      </c>
    </row>
    <row r="32" spans="1:5" s="506" customFormat="1" x14ac:dyDescent="0.2">
      <c r="A32" s="512"/>
      <c r="B32" s="516" t="s">
        <v>749</v>
      </c>
      <c r="C32" s="517">
        <f>SUM(C26+C27+C30)</f>
        <v>286783044</v>
      </c>
      <c r="D32" s="517">
        <f>SUM(D26+D27+D30)</f>
        <v>332583819</v>
      </c>
      <c r="E32" s="517">
        <f t="shared" si="1"/>
        <v>45800775</v>
      </c>
    </row>
    <row r="33" spans="1:5" s="506" customFormat="1" x14ac:dyDescent="0.2">
      <c r="A33" s="512"/>
      <c r="B33" s="516" t="s">
        <v>693</v>
      </c>
      <c r="C33" s="517">
        <f>SUM(C25+C32)</f>
        <v>563041619</v>
      </c>
      <c r="D33" s="517">
        <f>SUM(D25+D32)</f>
        <v>620641344</v>
      </c>
      <c r="E33" s="517">
        <f t="shared" si="1"/>
        <v>57599725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507614404</v>
      </c>
      <c r="D36" s="514">
        <f t="shared" si="2"/>
        <v>525333144</v>
      </c>
      <c r="E36" s="514">
        <f t="shared" ref="E36:E44" si="3">D36-C36</f>
        <v>17718740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575518138</v>
      </c>
      <c r="D37" s="514">
        <f t="shared" si="2"/>
        <v>613304183</v>
      </c>
      <c r="E37" s="514">
        <f t="shared" si="3"/>
        <v>37786045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231001249</v>
      </c>
      <c r="D38" s="514">
        <f t="shared" si="2"/>
        <v>262057144</v>
      </c>
      <c r="E38" s="514">
        <f t="shared" si="3"/>
        <v>31055895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170289289</v>
      </c>
      <c r="D39" s="514">
        <f t="shared" si="2"/>
        <v>223274924</v>
      </c>
      <c r="E39" s="514">
        <f t="shared" si="3"/>
        <v>52985635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60711960</v>
      </c>
      <c r="D40" s="514">
        <f t="shared" si="2"/>
        <v>38782220</v>
      </c>
      <c r="E40" s="514">
        <f t="shared" si="3"/>
        <v>-21929740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3679799</v>
      </c>
      <c r="D41" s="514">
        <f t="shared" si="2"/>
        <v>4294576</v>
      </c>
      <c r="E41" s="514">
        <f t="shared" si="3"/>
        <v>614777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27216563</v>
      </c>
      <c r="D42" s="514">
        <f t="shared" si="2"/>
        <v>27510697</v>
      </c>
      <c r="E42" s="514">
        <f t="shared" si="3"/>
        <v>294134</v>
      </c>
    </row>
    <row r="43" spans="1:5" s="506" customFormat="1" x14ac:dyDescent="0.2">
      <c r="A43" s="512"/>
      <c r="B43" s="516" t="s">
        <v>757</v>
      </c>
      <c r="C43" s="517">
        <f>SUM(C37+C38+C41)</f>
        <v>810199186</v>
      </c>
      <c r="D43" s="517">
        <f>SUM(D37+D38+D41)</f>
        <v>879655903</v>
      </c>
      <c r="E43" s="517">
        <f t="shared" si="3"/>
        <v>69456717</v>
      </c>
    </row>
    <row r="44" spans="1:5" s="506" customFormat="1" x14ac:dyDescent="0.2">
      <c r="A44" s="512"/>
      <c r="B44" s="516" t="s">
        <v>695</v>
      </c>
      <c r="C44" s="517">
        <f>SUM(C36+C43)</f>
        <v>1317813590</v>
      </c>
      <c r="D44" s="517">
        <f>SUM(D36+D43)</f>
        <v>1404989047</v>
      </c>
      <c r="E44" s="517">
        <f t="shared" si="3"/>
        <v>87175457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132140294</v>
      </c>
      <c r="D47" s="513">
        <v>142525194</v>
      </c>
      <c r="E47" s="514">
        <f t="shared" ref="E47:E55" si="4">D47-C47</f>
        <v>10384900</v>
      </c>
    </row>
    <row r="48" spans="1:5" s="506" customFormat="1" x14ac:dyDescent="0.2">
      <c r="A48" s="512">
        <v>2</v>
      </c>
      <c r="B48" s="511" t="s">
        <v>600</v>
      </c>
      <c r="C48" s="513">
        <v>202074892</v>
      </c>
      <c r="D48" s="515">
        <v>191994218</v>
      </c>
      <c r="E48" s="514">
        <f t="shared" si="4"/>
        <v>-10080674</v>
      </c>
    </row>
    <row r="49" spans="1:5" s="506" customFormat="1" x14ac:dyDescent="0.2">
      <c r="A49" s="512">
        <v>3</v>
      </c>
      <c r="B49" s="511" t="s">
        <v>746</v>
      </c>
      <c r="C49" s="513">
        <v>38477707</v>
      </c>
      <c r="D49" s="515">
        <v>39896546</v>
      </c>
      <c r="E49" s="514">
        <f t="shared" si="4"/>
        <v>1418839</v>
      </c>
    </row>
    <row r="50" spans="1:5" s="506" customFormat="1" x14ac:dyDescent="0.2">
      <c r="A50" s="512">
        <v>4</v>
      </c>
      <c r="B50" s="511" t="s">
        <v>114</v>
      </c>
      <c r="C50" s="513">
        <v>34968625</v>
      </c>
      <c r="D50" s="515">
        <v>37421350</v>
      </c>
      <c r="E50" s="514">
        <f t="shared" si="4"/>
        <v>2452725</v>
      </c>
    </row>
    <row r="51" spans="1:5" s="506" customFormat="1" x14ac:dyDescent="0.2">
      <c r="A51" s="512">
        <v>5</v>
      </c>
      <c r="B51" s="511" t="s">
        <v>713</v>
      </c>
      <c r="C51" s="513">
        <v>3509082</v>
      </c>
      <c r="D51" s="515">
        <v>2475196</v>
      </c>
      <c r="E51" s="514">
        <f t="shared" si="4"/>
        <v>-1033886</v>
      </c>
    </row>
    <row r="52" spans="1:5" s="506" customFormat="1" x14ac:dyDescent="0.2">
      <c r="A52" s="512">
        <v>6</v>
      </c>
      <c r="B52" s="511" t="s">
        <v>418</v>
      </c>
      <c r="C52" s="513">
        <v>880269</v>
      </c>
      <c r="D52" s="515">
        <v>677923</v>
      </c>
      <c r="E52" s="514">
        <f t="shared" si="4"/>
        <v>-202346</v>
      </c>
    </row>
    <row r="53" spans="1:5" s="506" customFormat="1" x14ac:dyDescent="0.2">
      <c r="A53" s="512">
        <v>7</v>
      </c>
      <c r="B53" s="511" t="s">
        <v>728</v>
      </c>
      <c r="C53" s="513">
        <v>358585</v>
      </c>
      <c r="D53" s="515">
        <v>695157</v>
      </c>
      <c r="E53" s="514">
        <f t="shared" si="4"/>
        <v>336572</v>
      </c>
    </row>
    <row r="54" spans="1:5" s="506" customFormat="1" x14ac:dyDescent="0.2">
      <c r="A54" s="512"/>
      <c r="B54" s="516" t="s">
        <v>759</v>
      </c>
      <c r="C54" s="517">
        <f>SUM(C48+C49+C52)</f>
        <v>241432868</v>
      </c>
      <c r="D54" s="517">
        <f>SUM(D48+D49+D52)</f>
        <v>232568687</v>
      </c>
      <c r="E54" s="517">
        <f t="shared" si="4"/>
        <v>-8864181</v>
      </c>
    </row>
    <row r="55" spans="1:5" s="506" customFormat="1" x14ac:dyDescent="0.2">
      <c r="A55" s="512"/>
      <c r="B55" s="516" t="s">
        <v>688</v>
      </c>
      <c r="C55" s="517">
        <f>SUM(C47+C54)</f>
        <v>373573162</v>
      </c>
      <c r="D55" s="517">
        <f>SUM(D47+D54)</f>
        <v>375093881</v>
      </c>
      <c r="E55" s="517">
        <f t="shared" si="4"/>
        <v>1520719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108185524</v>
      </c>
      <c r="D58" s="513">
        <v>110314763</v>
      </c>
      <c r="E58" s="514">
        <f t="shared" ref="E58:E66" si="5">D58-C58</f>
        <v>2129239</v>
      </c>
    </row>
    <row r="59" spans="1:5" s="506" customFormat="1" x14ac:dyDescent="0.2">
      <c r="A59" s="512">
        <v>2</v>
      </c>
      <c r="B59" s="511" t="s">
        <v>600</v>
      </c>
      <c r="C59" s="513">
        <v>54602363</v>
      </c>
      <c r="D59" s="515">
        <v>57783820</v>
      </c>
      <c r="E59" s="514">
        <f t="shared" si="5"/>
        <v>3181457</v>
      </c>
    </row>
    <row r="60" spans="1:5" s="506" customFormat="1" x14ac:dyDescent="0.2">
      <c r="A60" s="512">
        <v>3</v>
      </c>
      <c r="B60" s="511" t="s">
        <v>746</v>
      </c>
      <c r="C60" s="513">
        <f>C61+C62</f>
        <v>21378110</v>
      </c>
      <c r="D60" s="515">
        <f>D61+D62</f>
        <v>23838215</v>
      </c>
      <c r="E60" s="514">
        <f t="shared" si="5"/>
        <v>2460105</v>
      </c>
    </row>
    <row r="61" spans="1:5" s="506" customFormat="1" x14ac:dyDescent="0.2">
      <c r="A61" s="512">
        <v>4</v>
      </c>
      <c r="B61" s="511" t="s">
        <v>114</v>
      </c>
      <c r="C61" s="513">
        <v>18062551</v>
      </c>
      <c r="D61" s="515">
        <v>21708173</v>
      </c>
      <c r="E61" s="514">
        <f t="shared" si="5"/>
        <v>3645622</v>
      </c>
    </row>
    <row r="62" spans="1:5" s="506" customFormat="1" x14ac:dyDescent="0.2">
      <c r="A62" s="512">
        <v>5</v>
      </c>
      <c r="B62" s="511" t="s">
        <v>713</v>
      </c>
      <c r="C62" s="513">
        <v>3315559</v>
      </c>
      <c r="D62" s="515">
        <v>2130042</v>
      </c>
      <c r="E62" s="514">
        <f t="shared" si="5"/>
        <v>-1185517</v>
      </c>
    </row>
    <row r="63" spans="1:5" s="506" customFormat="1" x14ac:dyDescent="0.2">
      <c r="A63" s="512">
        <v>6</v>
      </c>
      <c r="B63" s="511" t="s">
        <v>418</v>
      </c>
      <c r="C63" s="513">
        <v>721183</v>
      </c>
      <c r="D63" s="515">
        <v>583793</v>
      </c>
      <c r="E63" s="514">
        <f t="shared" si="5"/>
        <v>-137390</v>
      </c>
    </row>
    <row r="64" spans="1:5" s="506" customFormat="1" x14ac:dyDescent="0.2">
      <c r="A64" s="512">
        <v>7</v>
      </c>
      <c r="B64" s="511" t="s">
        <v>728</v>
      </c>
      <c r="C64" s="513">
        <v>781196</v>
      </c>
      <c r="D64" s="515">
        <v>2614132</v>
      </c>
      <c r="E64" s="514">
        <f t="shared" si="5"/>
        <v>1832936</v>
      </c>
    </row>
    <row r="65" spans="1:5" s="506" customFormat="1" x14ac:dyDescent="0.2">
      <c r="A65" s="512"/>
      <c r="B65" s="516" t="s">
        <v>761</v>
      </c>
      <c r="C65" s="517">
        <f>SUM(C59+C60+C63)</f>
        <v>76701656</v>
      </c>
      <c r="D65" s="517">
        <f>SUM(D59+D60+D63)</f>
        <v>82205828</v>
      </c>
      <c r="E65" s="517">
        <f t="shared" si="5"/>
        <v>5504172</v>
      </c>
    </row>
    <row r="66" spans="1:5" s="506" customFormat="1" x14ac:dyDescent="0.2">
      <c r="A66" s="512"/>
      <c r="B66" s="516" t="s">
        <v>694</v>
      </c>
      <c r="C66" s="517">
        <f>SUM(C58+C65)</f>
        <v>184887180</v>
      </c>
      <c r="D66" s="517">
        <f>SUM(D58+D65)</f>
        <v>192520591</v>
      </c>
      <c r="E66" s="517">
        <f t="shared" si="5"/>
        <v>7633411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240325818</v>
      </c>
      <c r="D69" s="514">
        <f t="shared" si="6"/>
        <v>252839957</v>
      </c>
      <c r="E69" s="514">
        <f t="shared" ref="E69:E77" si="7">D69-C69</f>
        <v>12514139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256677255</v>
      </c>
      <c r="D70" s="514">
        <f t="shared" si="6"/>
        <v>249778038</v>
      </c>
      <c r="E70" s="514">
        <f t="shared" si="7"/>
        <v>-6899217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59855817</v>
      </c>
      <c r="D71" s="514">
        <f t="shared" si="6"/>
        <v>63734761</v>
      </c>
      <c r="E71" s="514">
        <f t="shared" si="7"/>
        <v>3878944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53031176</v>
      </c>
      <c r="D72" s="514">
        <f t="shared" si="6"/>
        <v>59129523</v>
      </c>
      <c r="E72" s="514">
        <f t="shared" si="7"/>
        <v>6098347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6824641</v>
      </c>
      <c r="D73" s="514">
        <f t="shared" si="6"/>
        <v>4605238</v>
      </c>
      <c r="E73" s="514">
        <f t="shared" si="7"/>
        <v>-2219403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1601452</v>
      </c>
      <c r="D74" s="514">
        <f t="shared" si="6"/>
        <v>1261716</v>
      </c>
      <c r="E74" s="514">
        <f t="shared" si="7"/>
        <v>-339736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1139781</v>
      </c>
      <c r="D75" s="514">
        <f t="shared" si="6"/>
        <v>3309289</v>
      </c>
      <c r="E75" s="514">
        <f t="shared" si="7"/>
        <v>2169508</v>
      </c>
    </row>
    <row r="76" spans="1:5" s="506" customFormat="1" x14ac:dyDescent="0.2">
      <c r="A76" s="512"/>
      <c r="B76" s="516" t="s">
        <v>762</v>
      </c>
      <c r="C76" s="517">
        <f>SUM(C70+C71+C74)</f>
        <v>318134524</v>
      </c>
      <c r="D76" s="517">
        <f>SUM(D70+D71+D74)</f>
        <v>314774515</v>
      </c>
      <c r="E76" s="517">
        <f t="shared" si="7"/>
        <v>-3360009</v>
      </c>
    </row>
    <row r="77" spans="1:5" s="506" customFormat="1" x14ac:dyDescent="0.2">
      <c r="A77" s="512"/>
      <c r="B77" s="516" t="s">
        <v>696</v>
      </c>
      <c r="C77" s="517">
        <f>SUM(C69+C76)</f>
        <v>558460342</v>
      </c>
      <c r="D77" s="517">
        <f>SUM(D69+D76)</f>
        <v>567614472</v>
      </c>
      <c r="E77" s="517">
        <f t="shared" si="7"/>
        <v>9154130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0.17556036055144947</v>
      </c>
      <c r="D83" s="523">
        <f t="shared" si="8"/>
        <v>0.16888076067684818</v>
      </c>
      <c r="E83" s="523">
        <f t="shared" ref="E83:E91" si="9">D83-C83</f>
        <v>-6.6795998746012886E-3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0.30001094919653998</v>
      </c>
      <c r="D84" s="523">
        <f t="shared" si="8"/>
        <v>0.28983519470810509</v>
      </c>
      <c r="E84" s="523">
        <f t="shared" si="9"/>
        <v>-1.0175754488434885E-2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9.596752982339482E-2</v>
      </c>
      <c r="D85" s="523">
        <f t="shared" si="8"/>
        <v>9.8263625111377831E-2</v>
      </c>
      <c r="E85" s="523">
        <f t="shared" si="9"/>
        <v>2.2960952879830104E-3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7.1790530707761174E-2</v>
      </c>
      <c r="D86" s="523">
        <f t="shared" si="8"/>
        <v>8.4434420505485983E-2</v>
      </c>
      <c r="E86" s="523">
        <f t="shared" si="9"/>
        <v>1.2643889797724808E-2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2.4176999115633646E-2</v>
      </c>
      <c r="D87" s="523">
        <f t="shared" si="8"/>
        <v>1.382920460589185E-2</v>
      </c>
      <c r="E87" s="523">
        <f t="shared" si="9"/>
        <v>-1.0347794509741796E-2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1.2067875244783292E-3</v>
      </c>
      <c r="D88" s="523">
        <f t="shared" si="8"/>
        <v>1.2793644219775899E-3</v>
      </c>
      <c r="E88" s="523">
        <f t="shared" si="9"/>
        <v>7.2576897499260652E-5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5.0038989201803569E-3</v>
      </c>
      <c r="D89" s="523">
        <f t="shared" si="8"/>
        <v>4.4376587940759939E-3</v>
      </c>
      <c r="E89" s="523">
        <f t="shared" si="9"/>
        <v>-5.6624012610436304E-4</v>
      </c>
    </row>
    <row r="90" spans="1:5" s="506" customFormat="1" x14ac:dyDescent="0.2">
      <c r="A90" s="512"/>
      <c r="B90" s="516" t="s">
        <v>765</v>
      </c>
      <c r="C90" s="524">
        <f>SUM(C84+C85+C88)</f>
        <v>0.39718526654441311</v>
      </c>
      <c r="D90" s="524">
        <f>SUM(D84+D85+D88)</f>
        <v>0.38937818424146048</v>
      </c>
      <c r="E90" s="525">
        <f t="shared" si="9"/>
        <v>-7.8070823029526282E-3</v>
      </c>
    </row>
    <row r="91" spans="1:5" s="506" customFormat="1" x14ac:dyDescent="0.2">
      <c r="A91" s="512"/>
      <c r="B91" s="516" t="s">
        <v>766</v>
      </c>
      <c r="C91" s="524">
        <f>SUM(C83+C90)</f>
        <v>0.57274562709586263</v>
      </c>
      <c r="D91" s="524">
        <f>SUM(D83+D90)</f>
        <v>0.55825894491830863</v>
      </c>
      <c r="E91" s="525">
        <f t="shared" si="9"/>
        <v>-1.4486682177554E-2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0.20963403101648087</v>
      </c>
      <c r="D95" s="523">
        <f t="shared" si="10"/>
        <v>0.20502474778367435</v>
      </c>
      <c r="E95" s="523">
        <f t="shared" ref="E95:E103" si="11">D95-C95</f>
        <v>-4.6092832328065159E-3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0.13671101388474829</v>
      </c>
      <c r="D96" s="523">
        <f t="shared" si="10"/>
        <v>0.1466836410148897</v>
      </c>
      <c r="E96" s="523">
        <f t="shared" si="11"/>
        <v>9.9726271301414093E-3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7.9323763841288059E-2</v>
      </c>
      <c r="D97" s="523">
        <f t="shared" si="10"/>
        <v>8.8255369153778185E-2</v>
      </c>
      <c r="E97" s="523">
        <f t="shared" si="11"/>
        <v>8.9316053124901262E-3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5.743054448239527E-2</v>
      </c>
      <c r="D98" s="523">
        <f t="shared" si="10"/>
        <v>7.4481355013723466E-2</v>
      </c>
      <c r="E98" s="523">
        <f t="shared" si="11"/>
        <v>1.7050810531328196E-2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2.1893219358892786E-2</v>
      </c>
      <c r="D99" s="523">
        <f t="shared" si="10"/>
        <v>1.3774014140054715E-2</v>
      </c>
      <c r="E99" s="523">
        <f t="shared" si="11"/>
        <v>-8.1192052188380701E-3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1.5855641616201576E-3</v>
      </c>
      <c r="D100" s="523">
        <f t="shared" si="10"/>
        <v>1.7772971293490802E-3</v>
      </c>
      <c r="E100" s="523">
        <f t="shared" si="11"/>
        <v>1.9173296772892262E-4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1.5648918144788596E-2</v>
      </c>
      <c r="D101" s="523">
        <f t="shared" si="10"/>
        <v>1.5143061111707014E-2</v>
      </c>
      <c r="E101" s="523">
        <f t="shared" si="11"/>
        <v>-5.0585703308158106E-4</v>
      </c>
    </row>
    <row r="102" spans="1:5" s="506" customFormat="1" x14ac:dyDescent="0.2">
      <c r="A102" s="512"/>
      <c r="B102" s="516" t="s">
        <v>768</v>
      </c>
      <c r="C102" s="524">
        <f>SUM(C96+C97+C100)</f>
        <v>0.2176203418876565</v>
      </c>
      <c r="D102" s="524">
        <f>SUM(D96+D97+D100)</f>
        <v>0.23671630729801696</v>
      </c>
      <c r="E102" s="525">
        <f t="shared" si="11"/>
        <v>1.909596541036046E-2</v>
      </c>
    </row>
    <row r="103" spans="1:5" s="506" customFormat="1" x14ac:dyDescent="0.2">
      <c r="A103" s="512"/>
      <c r="B103" s="516" t="s">
        <v>769</v>
      </c>
      <c r="C103" s="524">
        <f>SUM(C95+C102)</f>
        <v>0.42725437290413737</v>
      </c>
      <c r="D103" s="524">
        <f>SUM(D95+D102)</f>
        <v>0.44174105508169131</v>
      </c>
      <c r="E103" s="525">
        <f t="shared" si="11"/>
        <v>1.4486682177553944E-2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0.23661535844563159</v>
      </c>
      <c r="D109" s="523">
        <f t="shared" si="12"/>
        <v>0.2510950672166794</v>
      </c>
      <c r="E109" s="523">
        <f t="shared" ref="E109:E117" si="13">D109-C109</f>
        <v>1.4479708771047817E-2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0.36184286833388074</v>
      </c>
      <c r="D110" s="523">
        <f t="shared" si="12"/>
        <v>0.33824757378631459</v>
      </c>
      <c r="E110" s="523">
        <f t="shared" si="13"/>
        <v>-2.3595294547566148E-2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6.8899622956575132E-2</v>
      </c>
      <c r="D111" s="523">
        <f t="shared" si="12"/>
        <v>7.0288105691568764E-2</v>
      </c>
      <c r="E111" s="523">
        <f t="shared" si="13"/>
        <v>1.3884827349936318E-3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6.2616129329376796E-2</v>
      </c>
      <c r="D112" s="523">
        <f t="shared" si="12"/>
        <v>6.5927406445690478E-2</v>
      </c>
      <c r="E112" s="523">
        <f t="shared" si="13"/>
        <v>3.3112771163136823E-3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6.28349362719833E-3</v>
      </c>
      <c r="D113" s="523">
        <f t="shared" si="12"/>
        <v>4.360699245878283E-3</v>
      </c>
      <c r="E113" s="523">
        <f t="shared" si="13"/>
        <v>-1.922794381320047E-3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1.5762426331787764E-3</v>
      </c>
      <c r="D114" s="523">
        <f t="shared" si="12"/>
        <v>1.1943370605251235E-3</v>
      </c>
      <c r="E114" s="523">
        <f t="shared" si="13"/>
        <v>-3.8190557265365289E-4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6.4209572825853407E-4</v>
      </c>
      <c r="D115" s="523">
        <f t="shared" si="12"/>
        <v>1.2246992180283945E-3</v>
      </c>
      <c r="E115" s="523">
        <f t="shared" si="13"/>
        <v>5.8260348976986042E-4</v>
      </c>
    </row>
    <row r="116" spans="1:5" s="506" customFormat="1" x14ac:dyDescent="0.2">
      <c r="A116" s="512"/>
      <c r="B116" s="516" t="s">
        <v>765</v>
      </c>
      <c r="C116" s="524">
        <f>SUM(C110+C111+C114)</f>
        <v>0.43231873392363468</v>
      </c>
      <c r="D116" s="524">
        <f>SUM(D110+D111+D114)</f>
        <v>0.40973001653840851</v>
      </c>
      <c r="E116" s="525">
        <f t="shared" si="13"/>
        <v>-2.2588717385226165E-2</v>
      </c>
    </row>
    <row r="117" spans="1:5" s="506" customFormat="1" x14ac:dyDescent="0.2">
      <c r="A117" s="512"/>
      <c r="B117" s="516" t="s">
        <v>766</v>
      </c>
      <c r="C117" s="524">
        <f>SUM(C109+C116)</f>
        <v>0.66893409236926626</v>
      </c>
      <c r="D117" s="524">
        <f>SUM(D109+D116)</f>
        <v>0.66082508375508797</v>
      </c>
      <c r="E117" s="525">
        <f t="shared" si="13"/>
        <v>-8.1090086141782924E-3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0.19372105029438241</v>
      </c>
      <c r="D121" s="523">
        <f t="shared" si="14"/>
        <v>0.19434804509353665</v>
      </c>
      <c r="E121" s="523">
        <f t="shared" ref="E121:E129" si="15">D121-C121</f>
        <v>6.2699479915423462E-4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9.7773035779862058E-2</v>
      </c>
      <c r="D122" s="523">
        <f t="shared" si="14"/>
        <v>0.10180117465363005</v>
      </c>
      <c r="E122" s="523">
        <f t="shared" si="15"/>
        <v>4.0281388737679891E-3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3.8280444271904988E-2</v>
      </c>
      <c r="D123" s="523">
        <f t="shared" si="14"/>
        <v>4.1997193827714809E-2</v>
      </c>
      <c r="E123" s="523">
        <f t="shared" si="15"/>
        <v>3.7167495558098201E-3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3.2343480174998711E-2</v>
      </c>
      <c r="D124" s="523">
        <f t="shared" si="14"/>
        <v>3.8244572805747633E-2</v>
      </c>
      <c r="E124" s="523">
        <f t="shared" si="15"/>
        <v>5.901092630748922E-3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5.9369640969062758E-3</v>
      </c>
      <c r="D125" s="523">
        <f t="shared" si="14"/>
        <v>3.7526210219671779E-3</v>
      </c>
      <c r="E125" s="523">
        <f t="shared" si="15"/>
        <v>-2.1843430749390979E-3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1.2913772845843368E-3</v>
      </c>
      <c r="D126" s="523">
        <f t="shared" si="14"/>
        <v>1.0285026700305837E-3</v>
      </c>
      <c r="E126" s="523">
        <f t="shared" si="15"/>
        <v>-2.6287461455375312E-4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1.3988388095783533E-3</v>
      </c>
      <c r="D127" s="523">
        <f t="shared" si="14"/>
        <v>4.6054710176593244E-3</v>
      </c>
      <c r="E127" s="523">
        <f t="shared" si="15"/>
        <v>3.2066322080809709E-3</v>
      </c>
    </row>
    <row r="128" spans="1:5" s="506" customFormat="1" x14ac:dyDescent="0.2">
      <c r="A128" s="512"/>
      <c r="B128" s="516" t="s">
        <v>768</v>
      </c>
      <c r="C128" s="524">
        <f>SUM(C122+C123+C126)</f>
        <v>0.13734485733635138</v>
      </c>
      <c r="D128" s="524">
        <f>SUM(D122+D123+D126)</f>
        <v>0.14482687115137544</v>
      </c>
      <c r="E128" s="525">
        <f t="shared" si="15"/>
        <v>7.4820138150240578E-3</v>
      </c>
    </row>
    <row r="129" spans="1:5" s="506" customFormat="1" x14ac:dyDescent="0.2">
      <c r="A129" s="512"/>
      <c r="B129" s="516" t="s">
        <v>769</v>
      </c>
      <c r="C129" s="524">
        <f>SUM(C121+C128)</f>
        <v>0.33106590763073379</v>
      </c>
      <c r="D129" s="524">
        <f>SUM(D121+D128)</f>
        <v>0.33917491624491208</v>
      </c>
      <c r="E129" s="525">
        <f t="shared" si="15"/>
        <v>8.1090086141782924E-3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12070</v>
      </c>
      <c r="D137" s="530">
        <v>11175</v>
      </c>
      <c r="E137" s="531">
        <f t="shared" ref="E137:E145" si="16">D137-C137</f>
        <v>-895</v>
      </c>
    </row>
    <row r="138" spans="1:5" s="506" customFormat="1" x14ac:dyDescent="0.2">
      <c r="A138" s="512">
        <v>2</v>
      </c>
      <c r="B138" s="511" t="s">
        <v>600</v>
      </c>
      <c r="C138" s="530">
        <v>13748</v>
      </c>
      <c r="D138" s="530">
        <v>13376</v>
      </c>
      <c r="E138" s="531">
        <f t="shared" si="16"/>
        <v>-372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7149</v>
      </c>
      <c r="D139" s="530">
        <f>D140+D141</f>
        <v>6759</v>
      </c>
      <c r="E139" s="531">
        <f t="shared" si="16"/>
        <v>-390</v>
      </c>
    </row>
    <row r="140" spans="1:5" s="506" customFormat="1" x14ac:dyDescent="0.2">
      <c r="A140" s="512">
        <v>4</v>
      </c>
      <c r="B140" s="511" t="s">
        <v>114</v>
      </c>
      <c r="C140" s="530">
        <v>5525</v>
      </c>
      <c r="D140" s="530">
        <v>6038</v>
      </c>
      <c r="E140" s="531">
        <f t="shared" si="16"/>
        <v>513</v>
      </c>
    </row>
    <row r="141" spans="1:5" s="506" customFormat="1" x14ac:dyDescent="0.2">
      <c r="A141" s="512">
        <v>5</v>
      </c>
      <c r="B141" s="511" t="s">
        <v>713</v>
      </c>
      <c r="C141" s="530">
        <v>1624</v>
      </c>
      <c r="D141" s="530">
        <v>721</v>
      </c>
      <c r="E141" s="531">
        <f t="shared" si="16"/>
        <v>-903</v>
      </c>
    </row>
    <row r="142" spans="1:5" s="506" customFormat="1" x14ac:dyDescent="0.2">
      <c r="A142" s="512">
        <v>6</v>
      </c>
      <c r="B142" s="511" t="s">
        <v>418</v>
      </c>
      <c r="C142" s="530">
        <v>90</v>
      </c>
      <c r="D142" s="530">
        <v>90</v>
      </c>
      <c r="E142" s="531">
        <f t="shared" si="16"/>
        <v>0</v>
      </c>
    </row>
    <row r="143" spans="1:5" s="506" customFormat="1" x14ac:dyDescent="0.2">
      <c r="A143" s="512">
        <v>7</v>
      </c>
      <c r="B143" s="511" t="s">
        <v>728</v>
      </c>
      <c r="C143" s="530">
        <v>355</v>
      </c>
      <c r="D143" s="530">
        <v>301</v>
      </c>
      <c r="E143" s="531">
        <f t="shared" si="16"/>
        <v>-54</v>
      </c>
    </row>
    <row r="144" spans="1:5" s="506" customFormat="1" x14ac:dyDescent="0.2">
      <c r="A144" s="512"/>
      <c r="B144" s="516" t="s">
        <v>776</v>
      </c>
      <c r="C144" s="532">
        <f>SUM(C138+C139+C142)</f>
        <v>20987</v>
      </c>
      <c r="D144" s="532">
        <f>SUM(D138+D139+D142)</f>
        <v>20225</v>
      </c>
      <c r="E144" s="533">
        <f t="shared" si="16"/>
        <v>-762</v>
      </c>
    </row>
    <row r="145" spans="1:5" s="506" customFormat="1" x14ac:dyDescent="0.2">
      <c r="A145" s="512"/>
      <c r="B145" s="516" t="s">
        <v>690</v>
      </c>
      <c r="C145" s="532">
        <f>SUM(C137+C144)</f>
        <v>33057</v>
      </c>
      <c r="D145" s="532">
        <f>SUM(D137+D144)</f>
        <v>31400</v>
      </c>
      <c r="E145" s="533">
        <f t="shared" si="16"/>
        <v>-1657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47840</v>
      </c>
      <c r="D149" s="534">
        <v>44680</v>
      </c>
      <c r="E149" s="531">
        <f t="shared" ref="E149:E157" si="17">D149-C149</f>
        <v>-3160</v>
      </c>
    </row>
    <row r="150" spans="1:5" s="506" customFormat="1" x14ac:dyDescent="0.2">
      <c r="A150" s="512">
        <v>2</v>
      </c>
      <c r="B150" s="511" t="s">
        <v>600</v>
      </c>
      <c r="C150" s="534">
        <v>76946</v>
      </c>
      <c r="D150" s="534">
        <v>73494</v>
      </c>
      <c r="E150" s="531">
        <f t="shared" si="17"/>
        <v>-3452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37041</v>
      </c>
      <c r="D151" s="534">
        <f>D152+D153</f>
        <v>35881</v>
      </c>
      <c r="E151" s="531">
        <f t="shared" si="17"/>
        <v>-1160</v>
      </c>
    </row>
    <row r="152" spans="1:5" s="506" customFormat="1" x14ac:dyDescent="0.2">
      <c r="A152" s="512">
        <v>4</v>
      </c>
      <c r="B152" s="511" t="s">
        <v>114</v>
      </c>
      <c r="C152" s="534">
        <v>28562</v>
      </c>
      <c r="D152" s="534">
        <v>31913</v>
      </c>
      <c r="E152" s="531">
        <f t="shared" si="17"/>
        <v>3351</v>
      </c>
    </row>
    <row r="153" spans="1:5" s="506" customFormat="1" x14ac:dyDescent="0.2">
      <c r="A153" s="512">
        <v>5</v>
      </c>
      <c r="B153" s="511" t="s">
        <v>713</v>
      </c>
      <c r="C153" s="535">
        <v>8479</v>
      </c>
      <c r="D153" s="534">
        <v>3968</v>
      </c>
      <c r="E153" s="531">
        <f t="shared" si="17"/>
        <v>-4511</v>
      </c>
    </row>
    <row r="154" spans="1:5" s="506" customFormat="1" x14ac:dyDescent="0.2">
      <c r="A154" s="512">
        <v>6</v>
      </c>
      <c r="B154" s="511" t="s">
        <v>418</v>
      </c>
      <c r="C154" s="534">
        <v>331</v>
      </c>
      <c r="D154" s="534">
        <v>405</v>
      </c>
      <c r="E154" s="531">
        <f t="shared" si="17"/>
        <v>74</v>
      </c>
    </row>
    <row r="155" spans="1:5" s="506" customFormat="1" x14ac:dyDescent="0.2">
      <c r="A155" s="512">
        <v>7</v>
      </c>
      <c r="B155" s="511" t="s">
        <v>728</v>
      </c>
      <c r="C155" s="534">
        <v>1125</v>
      </c>
      <c r="D155" s="534">
        <v>1090</v>
      </c>
      <c r="E155" s="531">
        <f t="shared" si="17"/>
        <v>-35</v>
      </c>
    </row>
    <row r="156" spans="1:5" s="506" customFormat="1" x14ac:dyDescent="0.2">
      <c r="A156" s="512"/>
      <c r="B156" s="516" t="s">
        <v>777</v>
      </c>
      <c r="C156" s="532">
        <f>SUM(C150+C151+C154)</f>
        <v>114318</v>
      </c>
      <c r="D156" s="532">
        <f>SUM(D150+D151+D154)</f>
        <v>109780</v>
      </c>
      <c r="E156" s="533">
        <f t="shared" si="17"/>
        <v>-4538</v>
      </c>
    </row>
    <row r="157" spans="1:5" s="506" customFormat="1" x14ac:dyDescent="0.2">
      <c r="A157" s="512"/>
      <c r="B157" s="516" t="s">
        <v>778</v>
      </c>
      <c r="C157" s="532">
        <f>SUM(C149+C156)</f>
        <v>162158</v>
      </c>
      <c r="D157" s="532">
        <f>SUM(D149+D156)</f>
        <v>154460</v>
      </c>
      <c r="E157" s="533">
        <f t="shared" si="17"/>
        <v>-7698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3.9635459817729908</v>
      </c>
      <c r="D161" s="536">
        <f t="shared" si="18"/>
        <v>3.9982102908277404</v>
      </c>
      <c r="E161" s="537">
        <f t="shared" ref="E161:E169" si="19">D161-C161</f>
        <v>3.4664309054749598E-2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5.5968868199010764</v>
      </c>
      <c r="D162" s="536">
        <f t="shared" si="18"/>
        <v>5.4944677033492821</v>
      </c>
      <c r="E162" s="537">
        <f t="shared" si="19"/>
        <v>-0.10241911655179425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5.1812840956777171</v>
      </c>
      <c r="D163" s="536">
        <f t="shared" si="18"/>
        <v>5.3086255363219408</v>
      </c>
      <c r="E163" s="537">
        <f t="shared" si="19"/>
        <v>0.1273414406442237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5.1695927601809952</v>
      </c>
      <c r="D164" s="536">
        <f t="shared" si="18"/>
        <v>5.285359390526664</v>
      </c>
      <c r="E164" s="537">
        <f t="shared" si="19"/>
        <v>0.11576663034566881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5.2210591133004929</v>
      </c>
      <c r="D165" s="536">
        <f t="shared" si="18"/>
        <v>5.503467406380028</v>
      </c>
      <c r="E165" s="537">
        <f t="shared" si="19"/>
        <v>0.28240829307953508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3.6777777777777776</v>
      </c>
      <c r="D166" s="536">
        <f t="shared" si="18"/>
        <v>4.5</v>
      </c>
      <c r="E166" s="537">
        <f t="shared" si="19"/>
        <v>0.82222222222222241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3.1690140845070425</v>
      </c>
      <c r="D167" s="536">
        <f t="shared" si="18"/>
        <v>3.6212624584717608</v>
      </c>
      <c r="E167" s="537">
        <f t="shared" si="19"/>
        <v>0.45224837396471829</v>
      </c>
    </row>
    <row r="168" spans="1:5" s="506" customFormat="1" x14ac:dyDescent="0.2">
      <c r="A168" s="512"/>
      <c r="B168" s="516" t="s">
        <v>780</v>
      </c>
      <c r="C168" s="538">
        <f t="shared" si="18"/>
        <v>5.4470862915137941</v>
      </c>
      <c r="D168" s="538">
        <f t="shared" si="18"/>
        <v>5.427935723114957</v>
      </c>
      <c r="E168" s="539">
        <f t="shared" si="19"/>
        <v>-1.9150568398837109E-2</v>
      </c>
    </row>
    <row r="169" spans="1:5" s="506" customFormat="1" x14ac:dyDescent="0.2">
      <c r="A169" s="512"/>
      <c r="B169" s="516" t="s">
        <v>714</v>
      </c>
      <c r="C169" s="538">
        <f t="shared" si="18"/>
        <v>4.9054058141997157</v>
      </c>
      <c r="D169" s="538">
        <f t="shared" si="18"/>
        <v>4.9191082802547772</v>
      </c>
      <c r="E169" s="539">
        <f t="shared" si="19"/>
        <v>1.3702466055061535E-2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1.3234999999999999</v>
      </c>
      <c r="D173" s="541">
        <f t="shared" si="20"/>
        <v>1.3667</v>
      </c>
      <c r="E173" s="542">
        <f t="shared" ref="E173:E181" si="21">D173-C173</f>
        <v>4.3200000000000127E-2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1.7596999999999998</v>
      </c>
      <c r="D174" s="541">
        <f t="shared" si="20"/>
        <v>1.7682000000000002</v>
      </c>
      <c r="E174" s="542">
        <f t="shared" si="21"/>
        <v>8.5000000000003961E-3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1.0741983913834103</v>
      </c>
      <c r="D175" s="541">
        <f t="shared" si="20"/>
        <v>1.1283310105045126</v>
      </c>
      <c r="E175" s="542">
        <f t="shared" si="21"/>
        <v>5.4132619121102232E-2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1.0135000000000001</v>
      </c>
      <c r="D176" s="541">
        <f t="shared" si="20"/>
        <v>1.0981000000000001</v>
      </c>
      <c r="E176" s="542">
        <f t="shared" si="21"/>
        <v>8.4600000000000009E-2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1.2806999999999999</v>
      </c>
      <c r="D177" s="541">
        <f t="shared" si="20"/>
        <v>1.3815</v>
      </c>
      <c r="E177" s="542">
        <f t="shared" si="21"/>
        <v>0.1008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1.1231</v>
      </c>
      <c r="D178" s="541">
        <f t="shared" si="20"/>
        <v>1.4208000000000001</v>
      </c>
      <c r="E178" s="542">
        <f t="shared" si="21"/>
        <v>0.29770000000000008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1.0933999999999999</v>
      </c>
      <c r="D179" s="541">
        <f t="shared" si="20"/>
        <v>1.2797000000000001</v>
      </c>
      <c r="E179" s="542">
        <f t="shared" si="21"/>
        <v>0.18630000000000013</v>
      </c>
    </row>
    <row r="180" spans="1:5" s="506" customFormat="1" x14ac:dyDescent="0.2">
      <c r="A180" s="512"/>
      <c r="B180" s="516" t="s">
        <v>782</v>
      </c>
      <c r="C180" s="543">
        <f t="shared" si="20"/>
        <v>1.5234611378472387</v>
      </c>
      <c r="D180" s="543">
        <f t="shared" si="20"/>
        <v>1.5528160444993819</v>
      </c>
      <c r="E180" s="544">
        <f t="shared" si="21"/>
        <v>2.9354906652143242E-2</v>
      </c>
    </row>
    <row r="181" spans="1:5" s="506" customFormat="1" x14ac:dyDescent="0.2">
      <c r="A181" s="512"/>
      <c r="B181" s="516" t="s">
        <v>691</v>
      </c>
      <c r="C181" s="543">
        <f t="shared" si="20"/>
        <v>1.4504499470611367</v>
      </c>
      <c r="D181" s="543">
        <f t="shared" si="20"/>
        <v>1.4865788853503183</v>
      </c>
      <c r="E181" s="544">
        <f t="shared" si="21"/>
        <v>3.6128938289181622E-2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427595555</v>
      </c>
      <c r="D185" s="513">
        <v>425690074</v>
      </c>
      <c r="E185" s="514">
        <f>D185-C185</f>
        <v>-1905481</v>
      </c>
    </row>
    <row r="186" spans="1:5" s="506" customFormat="1" ht="25.5" x14ac:dyDescent="0.2">
      <c r="A186" s="512">
        <v>2</v>
      </c>
      <c r="B186" s="511" t="s">
        <v>785</v>
      </c>
      <c r="C186" s="513">
        <v>206548402</v>
      </c>
      <c r="D186" s="513">
        <v>208112762</v>
      </c>
      <c r="E186" s="514">
        <f>D186-C186</f>
        <v>1564360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221047153</v>
      </c>
      <c r="D188" s="546">
        <f>+D185-D186</f>
        <v>217577312</v>
      </c>
      <c r="E188" s="514">
        <f t="shared" ref="E188:E197" si="22">D188-C188</f>
        <v>-3469841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0.51695381398433859</v>
      </c>
      <c r="D189" s="547">
        <f>IF(D185=0,0,+D188/D185)</f>
        <v>0.51111671445738249</v>
      </c>
      <c r="E189" s="523">
        <f t="shared" si="22"/>
        <v>-5.8370995269561021E-3</v>
      </c>
    </row>
    <row r="190" spans="1:5" s="506" customFormat="1" x14ac:dyDescent="0.2">
      <c r="A190" s="512">
        <v>5</v>
      </c>
      <c r="B190" s="511" t="s">
        <v>732</v>
      </c>
      <c r="C190" s="513">
        <v>16580888</v>
      </c>
      <c r="D190" s="513">
        <v>22487861</v>
      </c>
      <c r="E190" s="546">
        <f t="shared" si="22"/>
        <v>5906973</v>
      </c>
    </row>
    <row r="191" spans="1:5" s="506" customFormat="1" x14ac:dyDescent="0.2">
      <c r="A191" s="512">
        <v>6</v>
      </c>
      <c r="B191" s="511" t="s">
        <v>718</v>
      </c>
      <c r="C191" s="513">
        <v>8933704</v>
      </c>
      <c r="D191" s="513">
        <v>12264439</v>
      </c>
      <c r="E191" s="546">
        <f t="shared" si="22"/>
        <v>3330735</v>
      </c>
    </row>
    <row r="192" spans="1:5" ht="29.25" x14ac:dyDescent="0.2">
      <c r="A192" s="512">
        <v>7</v>
      </c>
      <c r="B192" s="548" t="s">
        <v>786</v>
      </c>
      <c r="C192" s="513">
        <v>3749526</v>
      </c>
      <c r="D192" s="513">
        <v>4009860</v>
      </c>
      <c r="E192" s="546">
        <f t="shared" si="22"/>
        <v>260334</v>
      </c>
    </row>
    <row r="193" spans="1:5" s="506" customFormat="1" x14ac:dyDescent="0.2">
      <c r="A193" s="512">
        <v>8</v>
      </c>
      <c r="B193" s="511" t="s">
        <v>787</v>
      </c>
      <c r="C193" s="513">
        <v>5153062</v>
      </c>
      <c r="D193" s="513">
        <v>5320840</v>
      </c>
      <c r="E193" s="546">
        <f t="shared" si="22"/>
        <v>167778</v>
      </c>
    </row>
    <row r="194" spans="1:5" s="506" customFormat="1" x14ac:dyDescent="0.2">
      <c r="A194" s="512">
        <v>9</v>
      </c>
      <c r="B194" s="511" t="s">
        <v>788</v>
      </c>
      <c r="C194" s="513">
        <v>21328662</v>
      </c>
      <c r="D194" s="513">
        <v>18896554</v>
      </c>
      <c r="E194" s="546">
        <f t="shared" si="22"/>
        <v>-2432108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26481724</v>
      </c>
      <c r="D195" s="513">
        <f>+D193+D194</f>
        <v>24217394</v>
      </c>
      <c r="E195" s="549">
        <f t="shared" si="22"/>
        <v>-2264330</v>
      </c>
    </row>
    <row r="196" spans="1:5" s="506" customFormat="1" x14ac:dyDescent="0.2">
      <c r="A196" s="512">
        <v>11</v>
      </c>
      <c r="B196" s="511" t="s">
        <v>790</v>
      </c>
      <c r="C196" s="513">
        <v>427595555</v>
      </c>
      <c r="D196" s="513">
        <v>425690074</v>
      </c>
      <c r="E196" s="546">
        <f t="shared" si="22"/>
        <v>-1905481</v>
      </c>
    </row>
    <row r="197" spans="1:5" s="506" customFormat="1" x14ac:dyDescent="0.2">
      <c r="A197" s="512">
        <v>12</v>
      </c>
      <c r="B197" s="511" t="s">
        <v>675</v>
      </c>
      <c r="C197" s="513">
        <v>591542174</v>
      </c>
      <c r="D197" s="513">
        <v>614686051</v>
      </c>
      <c r="E197" s="546">
        <f t="shared" si="22"/>
        <v>23143877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15974.644999999999</v>
      </c>
      <c r="D203" s="553">
        <v>15272.872499999999</v>
      </c>
      <c r="E203" s="554">
        <f t="shared" ref="E203:E211" si="23">D203-C203</f>
        <v>-701.77249999999913</v>
      </c>
    </row>
    <row r="204" spans="1:5" s="506" customFormat="1" x14ac:dyDescent="0.2">
      <c r="A204" s="512">
        <v>2</v>
      </c>
      <c r="B204" s="511" t="s">
        <v>600</v>
      </c>
      <c r="C204" s="553">
        <v>24192.355599999999</v>
      </c>
      <c r="D204" s="553">
        <v>23651.443200000002</v>
      </c>
      <c r="E204" s="554">
        <f t="shared" si="23"/>
        <v>-540.91239999999743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7679.444300000001</v>
      </c>
      <c r="D205" s="553">
        <f>D206+D207</f>
        <v>7626.3892999999998</v>
      </c>
      <c r="E205" s="554">
        <f t="shared" si="23"/>
        <v>-53.055000000001201</v>
      </c>
    </row>
    <row r="206" spans="1:5" s="506" customFormat="1" x14ac:dyDescent="0.2">
      <c r="A206" s="512">
        <v>4</v>
      </c>
      <c r="B206" s="511" t="s">
        <v>114</v>
      </c>
      <c r="C206" s="553">
        <v>5599.5875000000005</v>
      </c>
      <c r="D206" s="553">
        <v>6630.3278</v>
      </c>
      <c r="E206" s="554">
        <f t="shared" si="23"/>
        <v>1030.7402999999995</v>
      </c>
    </row>
    <row r="207" spans="1:5" s="506" customFormat="1" x14ac:dyDescent="0.2">
      <c r="A207" s="512">
        <v>5</v>
      </c>
      <c r="B207" s="511" t="s">
        <v>713</v>
      </c>
      <c r="C207" s="553">
        <v>2079.8568</v>
      </c>
      <c r="D207" s="553">
        <v>996.06149999999991</v>
      </c>
      <c r="E207" s="554">
        <f t="shared" si="23"/>
        <v>-1083.7953000000002</v>
      </c>
    </row>
    <row r="208" spans="1:5" s="506" customFormat="1" x14ac:dyDescent="0.2">
      <c r="A208" s="512">
        <v>6</v>
      </c>
      <c r="B208" s="511" t="s">
        <v>418</v>
      </c>
      <c r="C208" s="553">
        <v>101.07899999999999</v>
      </c>
      <c r="D208" s="553">
        <v>127.872</v>
      </c>
      <c r="E208" s="554">
        <f t="shared" si="23"/>
        <v>26.793000000000006</v>
      </c>
    </row>
    <row r="209" spans="1:5" s="506" customFormat="1" x14ac:dyDescent="0.2">
      <c r="A209" s="512">
        <v>7</v>
      </c>
      <c r="B209" s="511" t="s">
        <v>728</v>
      </c>
      <c r="C209" s="553">
        <v>388.15699999999998</v>
      </c>
      <c r="D209" s="553">
        <v>385.18970000000002</v>
      </c>
      <c r="E209" s="554">
        <f t="shared" si="23"/>
        <v>-2.9672999999999661</v>
      </c>
    </row>
    <row r="210" spans="1:5" s="506" customFormat="1" x14ac:dyDescent="0.2">
      <c r="A210" s="512"/>
      <c r="B210" s="516" t="s">
        <v>793</v>
      </c>
      <c r="C210" s="555">
        <f>C204+C205+C208</f>
        <v>31972.8789</v>
      </c>
      <c r="D210" s="555">
        <f>D204+D205+D208</f>
        <v>31405.7045</v>
      </c>
      <c r="E210" s="556">
        <f t="shared" si="23"/>
        <v>-567.17439999999988</v>
      </c>
    </row>
    <row r="211" spans="1:5" s="506" customFormat="1" x14ac:dyDescent="0.2">
      <c r="A211" s="512"/>
      <c r="B211" s="516" t="s">
        <v>692</v>
      </c>
      <c r="C211" s="555">
        <f>C210+C203</f>
        <v>47947.5239</v>
      </c>
      <c r="D211" s="555">
        <f>D210+D203</f>
        <v>46678.576999999997</v>
      </c>
      <c r="E211" s="556">
        <f t="shared" si="23"/>
        <v>-1268.9469000000026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14412.608554807583</v>
      </c>
      <c r="D215" s="557">
        <f>IF(D14*D137=0,0,D25/D14*D137)</f>
        <v>13566.681884306874</v>
      </c>
      <c r="E215" s="557">
        <f t="shared" ref="E215:E223" si="24">D215-C215</f>
        <v>-845.9266705007085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6264.7814152150804</v>
      </c>
      <c r="D216" s="557">
        <f>IF(D15*D138=0,0,D26/D15*D138)</f>
        <v>6769.5035593974308</v>
      </c>
      <c r="E216" s="557">
        <f t="shared" si="24"/>
        <v>504.72214418235035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5890.4508970736442</v>
      </c>
      <c r="D217" s="557">
        <f>D218+D219</f>
        <v>6044.3677240513225</v>
      </c>
      <c r="E217" s="557">
        <f t="shared" si="24"/>
        <v>153.91682697767828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4419.8553087298824</v>
      </c>
      <c r="D218" s="557">
        <f t="shared" si="25"/>
        <v>5326.2451365274974</v>
      </c>
      <c r="E218" s="557">
        <f t="shared" si="24"/>
        <v>906.389827797615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1470.5955883437623</v>
      </c>
      <c r="D219" s="557">
        <f t="shared" si="25"/>
        <v>718.12258752382479</v>
      </c>
      <c r="E219" s="557">
        <f t="shared" si="24"/>
        <v>-752.47300081993751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118.24846681896297</v>
      </c>
      <c r="D220" s="557">
        <f t="shared" si="25"/>
        <v>125.02828661919686</v>
      </c>
      <c r="E220" s="557">
        <f t="shared" si="24"/>
        <v>6.779819800233895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1110.2074662211037</v>
      </c>
      <c r="D221" s="557">
        <f t="shared" si="25"/>
        <v>1027.132009497564</v>
      </c>
      <c r="E221" s="557">
        <f t="shared" si="24"/>
        <v>-83.075456723539673</v>
      </c>
    </row>
    <row r="222" spans="1:5" s="506" customFormat="1" x14ac:dyDescent="0.2">
      <c r="A222" s="512"/>
      <c r="B222" s="516" t="s">
        <v>795</v>
      </c>
      <c r="C222" s="558">
        <f>C216+C218+C219+C220</f>
        <v>12273.480779107687</v>
      </c>
      <c r="D222" s="558">
        <f>D216+D218+D219+D220</f>
        <v>12938.899570067952</v>
      </c>
      <c r="E222" s="558">
        <f t="shared" si="24"/>
        <v>665.41879096026423</v>
      </c>
    </row>
    <row r="223" spans="1:5" s="506" customFormat="1" x14ac:dyDescent="0.2">
      <c r="A223" s="512"/>
      <c r="B223" s="516" t="s">
        <v>796</v>
      </c>
      <c r="C223" s="558">
        <f>C215+C222</f>
        <v>26686.089333915268</v>
      </c>
      <c r="D223" s="558">
        <f>D215+D222</f>
        <v>26505.581454374827</v>
      </c>
      <c r="E223" s="558">
        <f t="shared" si="24"/>
        <v>-180.50787954044063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8271.8767146312184</v>
      </c>
      <c r="D227" s="560">
        <f t="shared" si="26"/>
        <v>9331.9180134581766</v>
      </c>
      <c r="E227" s="560">
        <f t="shared" ref="E227:E235" si="27">D227-C227</f>
        <v>1060.0412988269582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8352.8406799708264</v>
      </c>
      <c r="D228" s="560">
        <f t="shared" si="26"/>
        <v>8117.6533870034618</v>
      </c>
      <c r="E228" s="560">
        <f t="shared" si="27"/>
        <v>-235.18729296736456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5010.4806411578502</v>
      </c>
      <c r="D229" s="560">
        <f t="shared" si="26"/>
        <v>5231.3807269188319</v>
      </c>
      <c r="E229" s="560">
        <f t="shared" si="27"/>
        <v>220.90008576098171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6244.8573220795279</v>
      </c>
      <c r="D230" s="560">
        <f t="shared" si="26"/>
        <v>5643.9668035719142</v>
      </c>
      <c r="E230" s="560">
        <f t="shared" si="27"/>
        <v>-600.89051850761371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1687.1748093426431</v>
      </c>
      <c r="D231" s="560">
        <f t="shared" si="26"/>
        <v>2484.983105962835</v>
      </c>
      <c r="E231" s="560">
        <f t="shared" si="27"/>
        <v>797.80829662019187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8708.7228801234687</v>
      </c>
      <c r="D232" s="560">
        <f t="shared" si="26"/>
        <v>5301.5750125125123</v>
      </c>
      <c r="E232" s="560">
        <f t="shared" si="27"/>
        <v>-3407.1478676109564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923.81433286015715</v>
      </c>
      <c r="D233" s="560">
        <f t="shared" si="26"/>
        <v>1804.7133659077592</v>
      </c>
      <c r="E233" s="560">
        <f t="shared" si="27"/>
        <v>880.89903304760207</v>
      </c>
    </row>
    <row r="234" spans="1:5" x14ac:dyDescent="0.2">
      <c r="A234" s="512"/>
      <c r="B234" s="516" t="s">
        <v>798</v>
      </c>
      <c r="C234" s="561">
        <f t="shared" si="26"/>
        <v>7551.1770070852144</v>
      </c>
      <c r="D234" s="561">
        <f t="shared" si="26"/>
        <v>7405.3007471938736</v>
      </c>
      <c r="E234" s="561">
        <f t="shared" si="27"/>
        <v>-145.87625989134085</v>
      </c>
    </row>
    <row r="235" spans="1:5" s="506" customFormat="1" x14ac:dyDescent="0.2">
      <c r="A235" s="512"/>
      <c r="B235" s="516" t="s">
        <v>799</v>
      </c>
      <c r="C235" s="561">
        <f t="shared" si="26"/>
        <v>7791.2920546038877</v>
      </c>
      <c r="D235" s="561">
        <f t="shared" si="26"/>
        <v>8035.6751449385447</v>
      </c>
      <c r="E235" s="561">
        <f t="shared" si="27"/>
        <v>244.38309033465703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7506.3111294945138</v>
      </c>
      <c r="D239" s="560">
        <f t="shared" si="28"/>
        <v>8131.3001912137051</v>
      </c>
      <c r="E239" s="562">
        <f t="shared" ref="E239:E247" si="29">D239-C239</f>
        <v>624.98906171919134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8715.765065224612</v>
      </c>
      <c r="D240" s="560">
        <f t="shared" si="28"/>
        <v>8535.9021519066118</v>
      </c>
      <c r="E240" s="562">
        <f t="shared" si="29"/>
        <v>-179.86291331800021</v>
      </c>
    </row>
    <row r="241" spans="1:5" x14ac:dyDescent="0.2">
      <c r="A241" s="512">
        <v>3</v>
      </c>
      <c r="B241" s="511" t="s">
        <v>746</v>
      </c>
      <c r="C241" s="560">
        <f t="shared" si="28"/>
        <v>3629.2824392476596</v>
      </c>
      <c r="D241" s="560">
        <f t="shared" si="28"/>
        <v>3943.8723929956568</v>
      </c>
      <c r="E241" s="562">
        <f t="shared" si="29"/>
        <v>314.58995374799724</v>
      </c>
    </row>
    <row r="242" spans="1:5" x14ac:dyDescent="0.2">
      <c r="A242" s="512">
        <v>4</v>
      </c>
      <c r="B242" s="511" t="s">
        <v>114</v>
      </c>
      <c r="C242" s="560">
        <f t="shared" si="28"/>
        <v>4086.6837799698401</v>
      </c>
      <c r="D242" s="560">
        <f t="shared" si="28"/>
        <v>4075.6991921240929</v>
      </c>
      <c r="E242" s="562">
        <f t="shared" si="29"/>
        <v>-10.984587845747228</v>
      </c>
    </row>
    <row r="243" spans="1:5" x14ac:dyDescent="0.2">
      <c r="A243" s="512">
        <v>5</v>
      </c>
      <c r="B243" s="511" t="s">
        <v>713</v>
      </c>
      <c r="C243" s="560">
        <f t="shared" si="28"/>
        <v>2254.5688469894717</v>
      </c>
      <c r="D243" s="560">
        <f t="shared" si="28"/>
        <v>2966.1258913253896</v>
      </c>
      <c r="E243" s="562">
        <f t="shared" si="29"/>
        <v>711.55704433591791</v>
      </c>
    </row>
    <row r="244" spans="1:5" x14ac:dyDescent="0.2">
      <c r="A244" s="512">
        <v>6</v>
      </c>
      <c r="B244" s="511" t="s">
        <v>418</v>
      </c>
      <c r="C244" s="560">
        <f t="shared" si="28"/>
        <v>6098.878229889634</v>
      </c>
      <c r="D244" s="560">
        <f t="shared" si="28"/>
        <v>4669.2873731692353</v>
      </c>
      <c r="E244" s="562">
        <f t="shared" si="29"/>
        <v>-1429.5908567203987</v>
      </c>
    </row>
    <row r="245" spans="1:5" x14ac:dyDescent="0.2">
      <c r="A245" s="512">
        <v>7</v>
      </c>
      <c r="B245" s="511" t="s">
        <v>728</v>
      </c>
      <c r="C245" s="560">
        <f t="shared" si="28"/>
        <v>703.64866366735521</v>
      </c>
      <c r="D245" s="560">
        <f t="shared" si="28"/>
        <v>2545.0788952422376</v>
      </c>
      <c r="E245" s="562">
        <f t="shared" si="29"/>
        <v>1841.4302315748823</v>
      </c>
    </row>
    <row r="246" spans="1:5" ht="25.5" x14ac:dyDescent="0.2">
      <c r="A246" s="512"/>
      <c r="B246" s="516" t="s">
        <v>801</v>
      </c>
      <c r="C246" s="561">
        <f t="shared" si="28"/>
        <v>6249.3808708743827</v>
      </c>
      <c r="D246" s="561">
        <f t="shared" si="28"/>
        <v>6353.3863567632807</v>
      </c>
      <c r="E246" s="563">
        <f t="shared" si="29"/>
        <v>104.00548588889797</v>
      </c>
    </row>
    <row r="247" spans="1:5" x14ac:dyDescent="0.2">
      <c r="A247" s="512"/>
      <c r="B247" s="516" t="s">
        <v>802</v>
      </c>
      <c r="C247" s="561">
        <f t="shared" si="28"/>
        <v>6928.2230785695319</v>
      </c>
      <c r="D247" s="561">
        <f t="shared" si="28"/>
        <v>7263.3981386672767</v>
      </c>
      <c r="E247" s="563">
        <f t="shared" si="29"/>
        <v>335.17506009774479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20459869.493175447</v>
      </c>
      <c r="D251" s="546">
        <f>((IF((IF(D15=0,0,D26/D15)*D138)=0,0,D59/(IF(D15=0,0,D26/D15)*D138)))-(IF((IF(D17=0,0,D28/D17)*D140)=0,0,D61/(IF(D17=0,0,D28/D17)*D140))))*(IF(D17=0,0,D28/D17)*D140)</f>
        <v>23756134.322467189</v>
      </c>
      <c r="E251" s="546">
        <f>D251-C251</f>
        <v>3296264.8292917423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23365437.141513944</v>
      </c>
      <c r="D252" s="546">
        <f>IF(D231=0,0,(D228-D231)*D207)+IF(D243=0,0,(D240-D243)*D219)</f>
        <v>9610268.1493161079</v>
      </c>
      <c r="E252" s="546">
        <f>D252-C252</f>
        <v>-13755168.992197836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11778740.029056866</v>
      </c>
      <c r="D253" s="546">
        <f>IF(D233=0,0,(D228-D233)*D209+IF(D221=0,0,(D240-D245)*D221))</f>
        <v>8585045.8030062672</v>
      </c>
      <c r="E253" s="546">
        <f>D253-C253</f>
        <v>-3193694.2260505985</v>
      </c>
    </row>
    <row r="254" spans="1:5" ht="15" customHeight="1" x14ac:dyDescent="0.2">
      <c r="A254" s="512"/>
      <c r="B254" s="516" t="s">
        <v>729</v>
      </c>
      <c r="C254" s="564">
        <f>+C251+C252+C253</f>
        <v>55604046.663746253</v>
      </c>
      <c r="D254" s="564">
        <f>+D251+D252+D253</f>
        <v>41951448.274789564</v>
      </c>
      <c r="E254" s="564">
        <f>D254-C254</f>
        <v>-13652598.388956688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1317813590</v>
      </c>
      <c r="D258" s="549">
        <f>+D44</f>
        <v>1404989047</v>
      </c>
      <c r="E258" s="546">
        <f t="shared" ref="E258:E271" si="30">D258-C258</f>
        <v>87175457</v>
      </c>
    </row>
    <row r="259" spans="1:5" x14ac:dyDescent="0.2">
      <c r="A259" s="512">
        <v>2</v>
      </c>
      <c r="B259" s="511" t="s">
        <v>712</v>
      </c>
      <c r="C259" s="546">
        <f>+(C43-C76)</f>
        <v>492064662</v>
      </c>
      <c r="D259" s="549">
        <f>+(D43-D76)</f>
        <v>564881388</v>
      </c>
      <c r="E259" s="546">
        <f t="shared" si="30"/>
        <v>72816726</v>
      </c>
    </row>
    <row r="260" spans="1:5" x14ac:dyDescent="0.2">
      <c r="A260" s="512">
        <v>3</v>
      </c>
      <c r="B260" s="511" t="s">
        <v>716</v>
      </c>
      <c r="C260" s="546">
        <f>C195</f>
        <v>26481724</v>
      </c>
      <c r="D260" s="546">
        <f>D195</f>
        <v>24217394</v>
      </c>
      <c r="E260" s="546">
        <f t="shared" si="30"/>
        <v>-2264330</v>
      </c>
    </row>
    <row r="261" spans="1:5" x14ac:dyDescent="0.2">
      <c r="A261" s="512">
        <v>4</v>
      </c>
      <c r="B261" s="511" t="s">
        <v>717</v>
      </c>
      <c r="C261" s="546">
        <f>C188</f>
        <v>221047153</v>
      </c>
      <c r="D261" s="546">
        <f>D188</f>
        <v>217577312</v>
      </c>
      <c r="E261" s="546">
        <f t="shared" si="30"/>
        <v>-3469841</v>
      </c>
    </row>
    <row r="262" spans="1:5" x14ac:dyDescent="0.2">
      <c r="A262" s="512">
        <v>5</v>
      </c>
      <c r="B262" s="511" t="s">
        <v>718</v>
      </c>
      <c r="C262" s="546">
        <f>C191</f>
        <v>8933704</v>
      </c>
      <c r="D262" s="546">
        <f>D191</f>
        <v>12264439</v>
      </c>
      <c r="E262" s="546">
        <f t="shared" si="30"/>
        <v>3330735</v>
      </c>
    </row>
    <row r="263" spans="1:5" x14ac:dyDescent="0.2">
      <c r="A263" s="512">
        <v>6</v>
      </c>
      <c r="B263" s="511" t="s">
        <v>719</v>
      </c>
      <c r="C263" s="546">
        <f>+C259+C260+C261+C262</f>
        <v>748527243</v>
      </c>
      <c r="D263" s="546">
        <f>+D259+D260+D261+D262</f>
        <v>818940533</v>
      </c>
      <c r="E263" s="546">
        <f t="shared" si="30"/>
        <v>70413290</v>
      </c>
    </row>
    <row r="264" spans="1:5" x14ac:dyDescent="0.2">
      <c r="A264" s="512">
        <v>7</v>
      </c>
      <c r="B264" s="511" t="s">
        <v>619</v>
      </c>
      <c r="C264" s="546">
        <f>+C258-C263</f>
        <v>569286347</v>
      </c>
      <c r="D264" s="546">
        <f>+D258-D263</f>
        <v>586048514</v>
      </c>
      <c r="E264" s="546">
        <f t="shared" si="30"/>
        <v>16762167</v>
      </c>
    </row>
    <row r="265" spans="1:5" x14ac:dyDescent="0.2">
      <c r="A265" s="512">
        <v>8</v>
      </c>
      <c r="B265" s="511" t="s">
        <v>805</v>
      </c>
      <c r="C265" s="565">
        <f>C192</f>
        <v>3749526</v>
      </c>
      <c r="D265" s="565">
        <f>D192</f>
        <v>4009860</v>
      </c>
      <c r="E265" s="546">
        <f t="shared" si="30"/>
        <v>260334</v>
      </c>
    </row>
    <row r="266" spans="1:5" x14ac:dyDescent="0.2">
      <c r="A266" s="512">
        <v>9</v>
      </c>
      <c r="B266" s="511" t="s">
        <v>806</v>
      </c>
      <c r="C266" s="546">
        <f>+C264+C265</f>
        <v>573035873</v>
      </c>
      <c r="D266" s="546">
        <f>+D264+D265</f>
        <v>590058374</v>
      </c>
      <c r="E266" s="565">
        <f t="shared" si="30"/>
        <v>17022501</v>
      </c>
    </row>
    <row r="267" spans="1:5" x14ac:dyDescent="0.2">
      <c r="A267" s="512">
        <v>10</v>
      </c>
      <c r="B267" s="511" t="s">
        <v>807</v>
      </c>
      <c r="C267" s="566">
        <f>IF(C258=0,0,C266/C258)</f>
        <v>0.43483833931322563</v>
      </c>
      <c r="D267" s="566">
        <f>IF(D258=0,0,D266/D258)</f>
        <v>0.41997364695470113</v>
      </c>
      <c r="E267" s="567">
        <f t="shared" si="30"/>
        <v>-1.4864692358524501E-2</v>
      </c>
    </row>
    <row r="268" spans="1:5" x14ac:dyDescent="0.2">
      <c r="A268" s="512">
        <v>11</v>
      </c>
      <c r="B268" s="511" t="s">
        <v>681</v>
      </c>
      <c r="C268" s="546">
        <f>+C260*C267</f>
        <v>11515268.88631119</v>
      </c>
      <c r="D268" s="568">
        <f>+D260*D267</f>
        <v>10170667.277918898</v>
      </c>
      <c r="E268" s="546">
        <f t="shared" si="30"/>
        <v>-1344601.6083922926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40592382.494440928</v>
      </c>
      <c r="D269" s="568">
        <f>((D17+D18+D28+D29)*D267)-(D50+D51+D61+D62)</f>
        <v>46322333.476213276</v>
      </c>
      <c r="E269" s="546">
        <f t="shared" si="30"/>
        <v>5729950.9817723483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52107651.380752116</v>
      </c>
      <c r="D271" s="546">
        <f>+D268+D269+D270</f>
        <v>56493000.754132174</v>
      </c>
      <c r="E271" s="549">
        <f t="shared" si="30"/>
        <v>4385349.3733800575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0.57115610430545927</v>
      </c>
      <c r="D276" s="547">
        <f t="shared" si="31"/>
        <v>0.60067357362999863</v>
      </c>
      <c r="E276" s="574">
        <f t="shared" ref="E276:E284" si="32">D276-C276</f>
        <v>2.9517469324539358E-2</v>
      </c>
    </row>
    <row r="277" spans="1:5" x14ac:dyDescent="0.2">
      <c r="A277" s="512">
        <v>2</v>
      </c>
      <c r="B277" s="511" t="s">
        <v>600</v>
      </c>
      <c r="C277" s="547">
        <f t="shared" si="31"/>
        <v>0.51111810909160005</v>
      </c>
      <c r="D277" s="547">
        <f t="shared" si="31"/>
        <v>0.47148088556226403</v>
      </c>
      <c r="E277" s="574">
        <f t="shared" si="32"/>
        <v>-3.9637223529336019E-2</v>
      </c>
    </row>
    <row r="278" spans="1:5" x14ac:dyDescent="0.2">
      <c r="A278" s="512">
        <v>3</v>
      </c>
      <c r="B278" s="511" t="s">
        <v>746</v>
      </c>
      <c r="C278" s="547">
        <f t="shared" si="31"/>
        <v>0.30425020883854459</v>
      </c>
      <c r="D278" s="547">
        <f t="shared" si="31"/>
        <v>0.28898119204805278</v>
      </c>
      <c r="E278" s="574">
        <f t="shared" si="32"/>
        <v>-1.5269016790491807E-2</v>
      </c>
    </row>
    <row r="279" spans="1:5" x14ac:dyDescent="0.2">
      <c r="A279" s="512">
        <v>4</v>
      </c>
      <c r="B279" s="511" t="s">
        <v>114</v>
      </c>
      <c r="C279" s="547">
        <f t="shared" si="31"/>
        <v>0.36962165732797092</v>
      </c>
      <c r="D279" s="547">
        <f t="shared" si="31"/>
        <v>0.31544742402720349</v>
      </c>
      <c r="E279" s="574">
        <f t="shared" si="32"/>
        <v>-5.4174233300767427E-2</v>
      </c>
    </row>
    <row r="280" spans="1:5" x14ac:dyDescent="0.2">
      <c r="A280" s="512">
        <v>5</v>
      </c>
      <c r="B280" s="511" t="s">
        <v>713</v>
      </c>
      <c r="C280" s="547">
        <f t="shared" si="31"/>
        <v>0.11013798846971032</v>
      </c>
      <c r="D280" s="547">
        <f t="shared" si="31"/>
        <v>0.12739120738824905</v>
      </c>
      <c r="E280" s="574">
        <f t="shared" si="32"/>
        <v>1.7253218918538732E-2</v>
      </c>
    </row>
    <row r="281" spans="1:5" x14ac:dyDescent="0.2">
      <c r="A281" s="512">
        <v>6</v>
      </c>
      <c r="B281" s="511" t="s">
        <v>418</v>
      </c>
      <c r="C281" s="547">
        <f t="shared" si="31"/>
        <v>0.55351655420509449</v>
      </c>
      <c r="D281" s="547">
        <f t="shared" si="31"/>
        <v>0.37714917387717228</v>
      </c>
      <c r="E281" s="574">
        <f t="shared" si="32"/>
        <v>-0.17636738032792221</v>
      </c>
    </row>
    <row r="282" spans="1:5" x14ac:dyDescent="0.2">
      <c r="A282" s="512">
        <v>7</v>
      </c>
      <c r="B282" s="511" t="s">
        <v>728</v>
      </c>
      <c r="C282" s="547">
        <f t="shared" si="31"/>
        <v>5.4378798599861757E-2</v>
      </c>
      <c r="D282" s="547">
        <f t="shared" si="31"/>
        <v>0.11149517022189104</v>
      </c>
      <c r="E282" s="574">
        <f t="shared" si="32"/>
        <v>5.7116371622029281E-2</v>
      </c>
    </row>
    <row r="283" spans="1:5" ht="29.25" customHeight="1" x14ac:dyDescent="0.2">
      <c r="A283" s="512"/>
      <c r="B283" s="516" t="s">
        <v>814</v>
      </c>
      <c r="C283" s="575">
        <f t="shared" si="31"/>
        <v>0.46126370325048172</v>
      </c>
      <c r="D283" s="575">
        <f t="shared" si="31"/>
        <v>0.42511525227085067</v>
      </c>
      <c r="E283" s="576">
        <f t="shared" si="32"/>
        <v>-3.6148450979631042E-2</v>
      </c>
    </row>
    <row r="284" spans="1:5" x14ac:dyDescent="0.2">
      <c r="A284" s="512"/>
      <c r="B284" s="516" t="s">
        <v>815</v>
      </c>
      <c r="C284" s="575">
        <f t="shared" si="31"/>
        <v>0.49494837693171306</v>
      </c>
      <c r="D284" s="575">
        <f t="shared" si="31"/>
        <v>0.47822398097849722</v>
      </c>
      <c r="E284" s="576">
        <f t="shared" si="32"/>
        <v>-1.6724395953215843E-2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0.39160965048777219</v>
      </c>
      <c r="D287" s="547">
        <f t="shared" si="33"/>
        <v>0.38296087908135712</v>
      </c>
      <c r="E287" s="574">
        <f t="shared" ref="E287:E295" si="34">D287-C287</f>
        <v>-8.6487714064150678E-3</v>
      </c>
    </row>
    <row r="288" spans="1:5" x14ac:dyDescent="0.2">
      <c r="A288" s="512">
        <v>2</v>
      </c>
      <c r="B288" s="511" t="s">
        <v>600</v>
      </c>
      <c r="C288" s="547">
        <f t="shared" si="33"/>
        <v>0.30307767835582611</v>
      </c>
      <c r="D288" s="547">
        <f t="shared" si="33"/>
        <v>0.28038296811013735</v>
      </c>
      <c r="E288" s="574">
        <f t="shared" si="34"/>
        <v>-2.2694710245688754E-2</v>
      </c>
    </row>
    <row r="289" spans="1:5" x14ac:dyDescent="0.2">
      <c r="A289" s="512">
        <v>3</v>
      </c>
      <c r="B289" s="511" t="s">
        <v>746</v>
      </c>
      <c r="C289" s="547">
        <f t="shared" si="33"/>
        <v>0.20450880572427324</v>
      </c>
      <c r="D289" s="547">
        <f t="shared" si="33"/>
        <v>0.1922470383291475</v>
      </c>
      <c r="E289" s="574">
        <f t="shared" si="34"/>
        <v>-1.2261767395125744E-2</v>
      </c>
    </row>
    <row r="290" spans="1:5" x14ac:dyDescent="0.2">
      <c r="A290" s="512">
        <v>4</v>
      </c>
      <c r="B290" s="511" t="s">
        <v>114</v>
      </c>
      <c r="C290" s="547">
        <f t="shared" si="33"/>
        <v>0.2386613927569653</v>
      </c>
      <c r="D290" s="547">
        <f t="shared" si="33"/>
        <v>0.20744490197226659</v>
      </c>
      <c r="E290" s="574">
        <f t="shared" si="34"/>
        <v>-3.1216490784698708E-2</v>
      </c>
    </row>
    <row r="291" spans="1:5" x14ac:dyDescent="0.2">
      <c r="A291" s="512">
        <v>5</v>
      </c>
      <c r="B291" s="511" t="s">
        <v>713</v>
      </c>
      <c r="C291" s="547">
        <f t="shared" si="33"/>
        <v>0.11491934715187752</v>
      </c>
      <c r="D291" s="547">
        <f t="shared" si="33"/>
        <v>0.11006638525709993</v>
      </c>
      <c r="E291" s="574">
        <f t="shared" si="34"/>
        <v>-4.8529618947775882E-3</v>
      </c>
    </row>
    <row r="292" spans="1:5" x14ac:dyDescent="0.2">
      <c r="A292" s="512">
        <v>6</v>
      </c>
      <c r="B292" s="511" t="s">
        <v>418</v>
      </c>
      <c r="C292" s="547">
        <f t="shared" si="33"/>
        <v>0.34514984125221704</v>
      </c>
      <c r="D292" s="547">
        <f t="shared" si="33"/>
        <v>0.23378998615584665</v>
      </c>
      <c r="E292" s="574">
        <f t="shared" si="34"/>
        <v>-0.11135985509637039</v>
      </c>
    </row>
    <row r="293" spans="1:5" x14ac:dyDescent="0.2">
      <c r="A293" s="512">
        <v>7</v>
      </c>
      <c r="B293" s="511" t="s">
        <v>728</v>
      </c>
      <c r="C293" s="547">
        <f t="shared" si="33"/>
        <v>3.7881023978006002E-2</v>
      </c>
      <c r="D293" s="547">
        <f t="shared" si="33"/>
        <v>0.1228685971666917</v>
      </c>
      <c r="E293" s="574">
        <f t="shared" si="34"/>
        <v>8.4987573188685689E-2</v>
      </c>
    </row>
    <row r="294" spans="1:5" ht="29.25" customHeight="1" x14ac:dyDescent="0.2">
      <c r="A294" s="512"/>
      <c r="B294" s="516" t="s">
        <v>817</v>
      </c>
      <c r="C294" s="575">
        <f t="shared" si="33"/>
        <v>0.26745533811964139</v>
      </c>
      <c r="D294" s="575">
        <f t="shared" si="33"/>
        <v>0.24717326371190657</v>
      </c>
      <c r="E294" s="576">
        <f t="shared" si="34"/>
        <v>-2.0282074407734829E-2</v>
      </c>
    </row>
    <row r="295" spans="1:5" x14ac:dyDescent="0.2">
      <c r="A295" s="512"/>
      <c r="B295" s="516" t="s">
        <v>818</v>
      </c>
      <c r="C295" s="575">
        <f t="shared" si="33"/>
        <v>0.32837213761990125</v>
      </c>
      <c r="D295" s="575">
        <f t="shared" si="33"/>
        <v>0.31019620729617392</v>
      </c>
      <c r="E295" s="576">
        <f t="shared" si="34"/>
        <v>-1.817593032372733E-2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558460342</v>
      </c>
      <c r="D301" s="514">
        <f>+D48+D47+D50+D51+D52+D59+D58+D61+D62+D63</f>
        <v>567614472</v>
      </c>
      <c r="E301" s="514">
        <f>D301-C301</f>
        <v>9154130</v>
      </c>
    </row>
    <row r="302" spans="1:5" ht="25.5" x14ac:dyDescent="0.2">
      <c r="A302" s="512">
        <v>2</v>
      </c>
      <c r="B302" s="511" t="s">
        <v>822</v>
      </c>
      <c r="C302" s="546">
        <f>C265</f>
        <v>3749526</v>
      </c>
      <c r="D302" s="546">
        <f>D265</f>
        <v>4009860</v>
      </c>
      <c r="E302" s="514">
        <f>D302-C302</f>
        <v>260334</v>
      </c>
    </row>
    <row r="303" spans="1:5" x14ac:dyDescent="0.2">
      <c r="A303" s="512"/>
      <c r="B303" s="516" t="s">
        <v>823</v>
      </c>
      <c r="C303" s="517">
        <f>+C301+C302</f>
        <v>562209868</v>
      </c>
      <c r="D303" s="517">
        <f>+D301+D302</f>
        <v>571624332</v>
      </c>
      <c r="E303" s="517">
        <f>D303-C303</f>
        <v>9414464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14692290</v>
      </c>
      <c r="D305" s="578">
        <v>11435922</v>
      </c>
      <c r="E305" s="579">
        <f>D305-C305</f>
        <v>-3256368</v>
      </c>
    </row>
    <row r="306" spans="1:5" x14ac:dyDescent="0.2">
      <c r="A306" s="512">
        <v>4</v>
      </c>
      <c r="B306" s="516" t="s">
        <v>825</v>
      </c>
      <c r="C306" s="580">
        <f>+C303+C305</f>
        <v>576902158</v>
      </c>
      <c r="D306" s="580">
        <f>+D303+D305</f>
        <v>583060254</v>
      </c>
      <c r="E306" s="580">
        <f>D306-C306</f>
        <v>6158096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576902158</v>
      </c>
      <c r="D308" s="513">
        <v>583060254</v>
      </c>
      <c r="E308" s="514">
        <f>D308-C308</f>
        <v>6158096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1317813590</v>
      </c>
      <c r="D314" s="514">
        <f>+D14+D15+D16+D19+D25+D26+D27+D30</f>
        <v>1404989047</v>
      </c>
      <c r="E314" s="514">
        <f>D314-C314</f>
        <v>87175457</v>
      </c>
    </row>
    <row r="315" spans="1:5" x14ac:dyDescent="0.2">
      <c r="A315" s="512">
        <v>2</v>
      </c>
      <c r="B315" s="583" t="s">
        <v>830</v>
      </c>
      <c r="C315" s="513">
        <v>46745587</v>
      </c>
      <c r="D315" s="513">
        <v>48004718</v>
      </c>
      <c r="E315" s="514">
        <f>D315-C315</f>
        <v>1259131</v>
      </c>
    </row>
    <row r="316" spans="1:5" x14ac:dyDescent="0.2">
      <c r="A316" s="512"/>
      <c r="B316" s="516" t="s">
        <v>831</v>
      </c>
      <c r="C316" s="581">
        <f>C314+C315</f>
        <v>1364559177</v>
      </c>
      <c r="D316" s="581">
        <f>D314+D315</f>
        <v>1452993765</v>
      </c>
      <c r="E316" s="517">
        <f>D316-C316</f>
        <v>88434588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1364559180</v>
      </c>
      <c r="D318" s="513">
        <v>1452993764</v>
      </c>
      <c r="E318" s="514">
        <f>D318-C318</f>
        <v>88434584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-3</v>
      </c>
      <c r="D320" s="581">
        <f>D316-D318</f>
        <v>1</v>
      </c>
      <c r="E320" s="517">
        <f>D320-C320</f>
        <v>4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26481724</v>
      </c>
      <c r="D324" s="513">
        <f>+D193+D194</f>
        <v>24217394</v>
      </c>
      <c r="E324" s="514">
        <f>D324-C324</f>
        <v>-2264330</v>
      </c>
    </row>
    <row r="325" spans="1:5" x14ac:dyDescent="0.2">
      <c r="A325" s="512">
        <v>2</v>
      </c>
      <c r="B325" s="511" t="s">
        <v>835</v>
      </c>
      <c r="C325" s="513">
        <v>8391995</v>
      </c>
      <c r="D325" s="513">
        <v>8422297</v>
      </c>
      <c r="E325" s="514">
        <f>D325-C325</f>
        <v>30302</v>
      </c>
    </row>
    <row r="326" spans="1:5" x14ac:dyDescent="0.2">
      <c r="A326" s="512"/>
      <c r="B326" s="516" t="s">
        <v>836</v>
      </c>
      <c r="C326" s="581">
        <f>C324+C325</f>
        <v>34873719</v>
      </c>
      <c r="D326" s="581">
        <f>D324+D325</f>
        <v>32639691</v>
      </c>
      <c r="E326" s="517">
        <f>D326-C326</f>
        <v>-2234028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34873718</v>
      </c>
      <c r="D328" s="513">
        <v>32639691</v>
      </c>
      <c r="E328" s="514">
        <f>D328-C328</f>
        <v>-2234027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1</v>
      </c>
      <c r="D330" s="581">
        <f>D326-D328</f>
        <v>0</v>
      </c>
      <c r="E330" s="517">
        <f>D330-C330</f>
        <v>-1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FILING&amp;RSAINT FRANCIS HOSPITAL AND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3" sqref="A3:C3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237275619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600</v>
      </c>
      <c r="C15" s="515">
        <v>407215274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138059317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118629436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19429881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1797493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6234862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547072084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784347703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288057525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206088909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123997827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104645488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19352339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2497083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21275835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332583819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620641344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525333144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879655903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1404989047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142525194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191994218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39896546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37421350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2475196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677923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695157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232568687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375093881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110314763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57783820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23838215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21708173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2130042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583793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2614132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82205828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192520591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252839957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314774515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567614472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11175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13376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6759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6038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721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90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301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20225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31400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1.3667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1.7682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1.1283310105045126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1.0981000000000001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1.3815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1.4208000000000001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1.2797000000000001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1.5528160444993819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1.4865788853503186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425690074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208112762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217577312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0.51111671445738249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22487861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12264439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4009860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5320840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18896554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24217394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29113845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614686051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567614472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4009860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571624332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11435922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583060254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583060254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1404989047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48004718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1452993765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1452993764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24217394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8422297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32639691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32639691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FILING&amp;RSAINT FRANCIS HOSPITAL AND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13602</v>
      </c>
      <c r="D12" s="49">
        <v>12809</v>
      </c>
      <c r="E12" s="49">
        <f>+D12-C12</f>
        <v>-793</v>
      </c>
      <c r="F12" s="70">
        <f>IF(C12=0,0,+E12/C12)</f>
        <v>-5.8300249963240701E-2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12950</v>
      </c>
      <c r="D13" s="49">
        <v>11758</v>
      </c>
      <c r="E13" s="49">
        <f>+D13-C13</f>
        <v>-1192</v>
      </c>
      <c r="F13" s="70">
        <f>IF(C13=0,0,+E13/C13)</f>
        <v>-9.2046332046332044E-2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856</v>
      </c>
      <c r="C15" s="51">
        <v>5153062</v>
      </c>
      <c r="D15" s="51">
        <v>5320840</v>
      </c>
      <c r="E15" s="51">
        <f>+D15-C15</f>
        <v>167778</v>
      </c>
      <c r="F15" s="70">
        <f>IF(C15=0,0,+E15/C15)</f>
        <v>3.2558894109948611E-2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397.91984555984556</v>
      </c>
      <c r="D16" s="27">
        <f>IF(D13=0,0,+D15/+D13)</f>
        <v>452.52934172478314</v>
      </c>
      <c r="E16" s="27">
        <f>+D16-C16</f>
        <v>54.609496164937582</v>
      </c>
      <c r="F16" s="28">
        <f>IF(C16=0,0,+E16/C16)</f>
        <v>0.13723742802550051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0.46560000000000001</v>
      </c>
      <c r="D18" s="210">
        <v>0.44045800000000002</v>
      </c>
      <c r="E18" s="210">
        <f>+D18-C18</f>
        <v>-2.5141999999999998E-2</v>
      </c>
      <c r="F18" s="70">
        <f>IF(C18=0,0,+E18/C18)</f>
        <v>-5.3999140893470784E-2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2399265.6672</v>
      </c>
      <c r="D19" s="27">
        <f>+D15*D18</f>
        <v>2343606.5447200001</v>
      </c>
      <c r="E19" s="27">
        <f>+D19-C19</f>
        <v>-55659.122479999904</v>
      </c>
      <c r="F19" s="28">
        <f>IF(C19=0,0,+E19/C19)</f>
        <v>-2.319839909390085E-2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185.27148009266409</v>
      </c>
      <c r="D20" s="27">
        <f>IF(D13=0,0,+D19/D13)</f>
        <v>199.32016879741454</v>
      </c>
      <c r="E20" s="27">
        <f>+D20-C20</f>
        <v>14.048688704750447</v>
      </c>
      <c r="F20" s="28">
        <f>IF(C20=0,0,+E20/C20)</f>
        <v>7.5827583920223193E-2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1886021</v>
      </c>
      <c r="D22" s="51">
        <v>1755877</v>
      </c>
      <c r="E22" s="51">
        <f>+D22-C22</f>
        <v>-130144</v>
      </c>
      <c r="F22" s="70">
        <f>IF(C22=0,0,+E22/C22)</f>
        <v>-6.9004533883769051E-2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1365561</v>
      </c>
      <c r="D23" s="49">
        <v>1383418</v>
      </c>
      <c r="E23" s="49">
        <f>+D23-C23</f>
        <v>17857</v>
      </c>
      <c r="F23" s="70">
        <f>IF(C23=0,0,+E23/C23)</f>
        <v>1.3076676911540385E-2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1901480</v>
      </c>
      <c r="D24" s="49">
        <v>2181545</v>
      </c>
      <c r="E24" s="49">
        <f>+D24-C24</f>
        <v>280065</v>
      </c>
      <c r="F24" s="70">
        <f>IF(C24=0,0,+E24/C24)</f>
        <v>0.14728790205524117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5153062</v>
      </c>
      <c r="D25" s="27">
        <f>+D22+D23+D24</f>
        <v>5320840</v>
      </c>
      <c r="E25" s="27">
        <f>+E22+E23+E24</f>
        <v>167778</v>
      </c>
      <c r="F25" s="28">
        <f>IF(C25=0,0,+E25/C25)</f>
        <v>3.2558894109948611E-2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1930</v>
      </c>
      <c r="D27" s="49">
        <v>2344</v>
      </c>
      <c r="E27" s="49">
        <f>+D27-C27</f>
        <v>414</v>
      </c>
      <c r="F27" s="70">
        <f>IF(C27=0,0,+E27/C27)</f>
        <v>0.21450777202072538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430</v>
      </c>
      <c r="D28" s="49">
        <v>566</v>
      </c>
      <c r="E28" s="49">
        <f>+D28-C28</f>
        <v>136</v>
      </c>
      <c r="F28" s="70">
        <f>IF(C28=0,0,+E28/C28)</f>
        <v>0.31627906976744186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733</v>
      </c>
      <c r="D29" s="49">
        <v>921</v>
      </c>
      <c r="E29" s="49">
        <f>+D29-C29</f>
        <v>188</v>
      </c>
      <c r="F29" s="70">
        <f>IF(C29=0,0,+E29/C29)</f>
        <v>0.25648021828103684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3813</v>
      </c>
      <c r="D30" s="49">
        <v>4702</v>
      </c>
      <c r="E30" s="49">
        <f>+D30-C30</f>
        <v>889</v>
      </c>
      <c r="F30" s="70">
        <f>IF(C30=0,0,+E30/C30)</f>
        <v>0.23314975085234724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7806290</v>
      </c>
      <c r="D33" s="51">
        <v>6235863</v>
      </c>
      <c r="E33" s="51">
        <f>+D33-C33</f>
        <v>-1570427</v>
      </c>
      <c r="F33" s="70">
        <f>IF(C33=0,0,+E33/C33)</f>
        <v>-0.20117456563873493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5652096</v>
      </c>
      <c r="D34" s="49">
        <v>4913104</v>
      </c>
      <c r="E34" s="49">
        <f>+D34-C34</f>
        <v>-738992</v>
      </c>
      <c r="F34" s="70">
        <f>IF(C34=0,0,+E34/C34)</f>
        <v>-0.13074654075231559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7870276</v>
      </c>
      <c r="D35" s="49">
        <v>7747587</v>
      </c>
      <c r="E35" s="49">
        <f>+D35-C35</f>
        <v>-122689</v>
      </c>
      <c r="F35" s="70">
        <f>IF(C35=0,0,+E35/C35)</f>
        <v>-1.5588906920163919E-2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21328662</v>
      </c>
      <c r="D36" s="27">
        <f>+D33+D34+D35</f>
        <v>18896554</v>
      </c>
      <c r="E36" s="27">
        <f>+E33+E34+E35</f>
        <v>-2432108</v>
      </c>
      <c r="F36" s="28">
        <f>IF(C36=0,0,+E36/C36)</f>
        <v>-0.11403003151346297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5153062</v>
      </c>
      <c r="D39" s="51">
        <f>+D25</f>
        <v>5320840</v>
      </c>
      <c r="E39" s="51">
        <f>+D39-C39</f>
        <v>167778</v>
      </c>
      <c r="F39" s="70">
        <f>IF(C39=0,0,+E39/C39)</f>
        <v>3.2558894109948611E-2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21328662</v>
      </c>
      <c r="D40" s="49">
        <f>+D36</f>
        <v>18896554</v>
      </c>
      <c r="E40" s="49">
        <f>+D40-C40</f>
        <v>-2432108</v>
      </c>
      <c r="F40" s="70">
        <f>IF(C40=0,0,+E40/C40)</f>
        <v>-0.11403003151346297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26481724</v>
      </c>
      <c r="D41" s="27">
        <f>+D39+D40</f>
        <v>24217394</v>
      </c>
      <c r="E41" s="27">
        <f>+E39+E40</f>
        <v>-2264330</v>
      </c>
      <c r="F41" s="28">
        <f>IF(C41=0,0,+E41/C41)</f>
        <v>-8.5505384770266465E-2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9692311</v>
      </c>
      <c r="D43" s="51">
        <f t="shared" si="0"/>
        <v>7991740</v>
      </c>
      <c r="E43" s="51">
        <f>+D43-C43</f>
        <v>-1700571</v>
      </c>
      <c r="F43" s="70">
        <f>IF(C43=0,0,+E43/C43)</f>
        <v>-0.17545567821750663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7017657</v>
      </c>
      <c r="D44" s="49">
        <f t="shared" si="0"/>
        <v>6296522</v>
      </c>
      <c r="E44" s="49">
        <f>+D44-C44</f>
        <v>-721135</v>
      </c>
      <c r="F44" s="70">
        <f>IF(C44=0,0,+E44/C44)</f>
        <v>-0.1027600807505981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9771756</v>
      </c>
      <c r="D45" s="49">
        <f t="shared" si="0"/>
        <v>9929132</v>
      </c>
      <c r="E45" s="49">
        <f>+D45-C45</f>
        <v>157376</v>
      </c>
      <c r="F45" s="70">
        <f>IF(C45=0,0,+E45/C45)</f>
        <v>1.6105191328968919E-2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26481724</v>
      </c>
      <c r="D46" s="27">
        <f>+D43+D44+D45</f>
        <v>24217394</v>
      </c>
      <c r="E46" s="27">
        <f>+E43+E44+E45</f>
        <v>-2264330</v>
      </c>
      <c r="F46" s="28">
        <f>IF(C46=0,0,+E46/C46)</f>
        <v>-8.5505384770266465E-2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FILING&amp;RSAINT FRANCIS HOSPITAL AND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B1" sqref="B1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427595555</v>
      </c>
      <c r="D15" s="51">
        <v>425690074</v>
      </c>
      <c r="E15" s="51">
        <f>+D15-C15</f>
        <v>-1905481</v>
      </c>
      <c r="F15" s="70">
        <f>+E15/C15</f>
        <v>-4.4562694296483036E-3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221047153</v>
      </c>
      <c r="D17" s="51">
        <v>217577312</v>
      </c>
      <c r="E17" s="51">
        <f>+D17-C17</f>
        <v>-3469841</v>
      </c>
      <c r="F17" s="70">
        <f>+E17/C17</f>
        <v>-1.5697288804257976E-2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206548402</v>
      </c>
      <c r="D19" s="27">
        <f>+D15-D17</f>
        <v>208112762</v>
      </c>
      <c r="E19" s="27">
        <f>+D19-C19</f>
        <v>1564360</v>
      </c>
      <c r="F19" s="28">
        <f>+E19/C19</f>
        <v>7.5738179760887229E-3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0.51695381398433859</v>
      </c>
      <c r="D21" s="628">
        <f>+D17/D15</f>
        <v>0.51111671445738249</v>
      </c>
      <c r="E21" s="628">
        <f>+D21-C21</f>
        <v>-5.8370995269561021E-3</v>
      </c>
      <c r="F21" s="28">
        <f>+E21/C21</f>
        <v>-1.1291336612777056E-2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FILING&amp;R&amp;12SAINT FRANCIS HOSPITAL AND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>
      <selection activeCell="A2" sqref="A2:E2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712984590</v>
      </c>
      <c r="D10" s="641">
        <v>754771971</v>
      </c>
      <c r="E10" s="641">
        <v>784347703</v>
      </c>
    </row>
    <row r="11" spans="1:6" ht="26.1" customHeight="1" x14ac:dyDescent="0.25">
      <c r="A11" s="639">
        <v>2</v>
      </c>
      <c r="B11" s="640" t="s">
        <v>902</v>
      </c>
      <c r="C11" s="641">
        <v>498431053</v>
      </c>
      <c r="D11" s="641">
        <v>563041619</v>
      </c>
      <c r="E11" s="641">
        <v>620641344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1211415643</v>
      </c>
      <c r="D12" s="641">
        <f>+D11+D10</f>
        <v>1317813590</v>
      </c>
      <c r="E12" s="641">
        <f>+E11+E10</f>
        <v>1404989047</v>
      </c>
    </row>
    <row r="13" spans="1:6" ht="26.1" customHeight="1" x14ac:dyDescent="0.25">
      <c r="A13" s="639">
        <v>4</v>
      </c>
      <c r="B13" s="640" t="s">
        <v>484</v>
      </c>
      <c r="C13" s="641">
        <v>549018192</v>
      </c>
      <c r="D13" s="641">
        <v>569815727</v>
      </c>
      <c r="E13" s="641">
        <v>575650377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602971403</v>
      </c>
      <c r="D16" s="641">
        <v>591542174</v>
      </c>
      <c r="E16" s="641">
        <v>614686051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164576</v>
      </c>
      <c r="D19" s="644">
        <v>162158</v>
      </c>
      <c r="E19" s="644">
        <v>154460</v>
      </c>
    </row>
    <row r="20" spans="1:5" ht="26.1" customHeight="1" x14ac:dyDescent="0.25">
      <c r="A20" s="639">
        <v>2</v>
      </c>
      <c r="B20" s="640" t="s">
        <v>373</v>
      </c>
      <c r="C20" s="645">
        <v>32807</v>
      </c>
      <c r="D20" s="645">
        <v>33057</v>
      </c>
      <c r="E20" s="645">
        <v>31400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5.0164903831499377</v>
      </c>
      <c r="D21" s="646">
        <f>IF(D20=0,0,+D19/D20)</f>
        <v>4.9054058141997157</v>
      </c>
      <c r="E21" s="646">
        <f>IF(E20=0,0,+E19/E20)</f>
        <v>4.9191082802547772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279627.27898841124</v>
      </c>
      <c r="D22" s="645">
        <f>IF(D10=0,0,D19*(D12/D10))</f>
        <v>283123.94251219486</v>
      </c>
      <c r="E22" s="645">
        <f>IF(E10=0,0,E19*(E12/E10))</f>
        <v>276681.63923930051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55741.615677697882</v>
      </c>
      <c r="D23" s="645">
        <f>IF(D10=0,0,D20*(D12/D10))</f>
        <v>57716.721762883266</v>
      </c>
      <c r="E23" s="645">
        <f>IF(E10=0,0,E20*(E12/E10))</f>
        <v>56246.299832409917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1.4442264272868595</v>
      </c>
      <c r="D26" s="647">
        <v>1.4504499470611367</v>
      </c>
      <c r="E26" s="647">
        <v>1.4865788853503186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237685.00849716217</v>
      </c>
      <c r="D27" s="645">
        <f>D19*D26</f>
        <v>235202.06251553982</v>
      </c>
      <c r="E27" s="645">
        <f>E19*E26</f>
        <v>229616.97463121021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47380.736400000002</v>
      </c>
      <c r="D28" s="645">
        <f>D20*D26</f>
        <v>47947.5239</v>
      </c>
      <c r="E28" s="645">
        <f>E20*E26</f>
        <v>46678.577000000005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403845.10610537906</v>
      </c>
      <c r="D29" s="645">
        <f>D22*D26</f>
        <v>410657.10742855334</v>
      </c>
      <c r="E29" s="645">
        <f>E22*E26</f>
        <v>411309.08285725833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80503.514461398809</v>
      </c>
      <c r="D30" s="645">
        <f>D23*D26</f>
        <v>83715.216025516391</v>
      </c>
      <c r="E30" s="645">
        <f>E23*E26</f>
        <v>83614.561709943751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7360.8280855045696</v>
      </c>
      <c r="D33" s="641">
        <f>IF(D19=0,0,D12/D19)</f>
        <v>8126.7257242935902</v>
      </c>
      <c r="E33" s="641">
        <f>IF(E19=0,0,E12/E19)</f>
        <v>9096.1352259484647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36925.523302953639</v>
      </c>
      <c r="D34" s="641">
        <f>IF(D20=0,0,D12/D20)</f>
        <v>39864.887618356173</v>
      </c>
      <c r="E34" s="641">
        <f>IF(E20=0,0,E12/E20)</f>
        <v>44744.874108280252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4332.2513003111026</v>
      </c>
      <c r="D35" s="641">
        <f>IF(D22=0,0,D12/D22)</f>
        <v>4654.5466211966104</v>
      </c>
      <c r="E35" s="641">
        <f>IF(E22=0,0,E12/E22)</f>
        <v>5077.9988540722516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21732.69698539946</v>
      </c>
      <c r="D36" s="641">
        <f>IF(D23=0,0,D12/D23)</f>
        <v>22832.440058081498</v>
      </c>
      <c r="E36" s="641">
        <f>IF(E23=0,0,E12/E23)</f>
        <v>24979.226210191082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2999.7036603531205</v>
      </c>
      <c r="D37" s="641">
        <f>IF(D29=0,0,D12/D29)</f>
        <v>3209.0363618734518</v>
      </c>
      <c r="E37" s="641">
        <f>IF(E29=0,0,E12/E29)</f>
        <v>3415.8959905283459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15047.984564461098</v>
      </c>
      <c r="D38" s="641">
        <f>IF(D30=0,0,D12/D30)</f>
        <v>15741.625627512334</v>
      </c>
      <c r="E38" s="641">
        <f>IF(E30=0,0,E12/E30)</f>
        <v>16803.16225149708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2549.7676499206955</v>
      </c>
      <c r="D39" s="641">
        <f>IF(D22=0,0,D10/D22)</f>
        <v>2665.8712234041814</v>
      </c>
      <c r="E39" s="641">
        <f>IF(E22=0,0,E10/E22)</f>
        <v>2834.8382825707554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12790.884895093986</v>
      </c>
      <c r="D40" s="641">
        <f>IF(D23=0,0,D10/D23)</f>
        <v>13077.180199194581</v>
      </c>
      <c r="E40" s="641">
        <f>IF(E23=0,0,E10/E23)</f>
        <v>13944.876468977034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3335.955376239549</v>
      </c>
      <c r="D43" s="641">
        <f>IF(D19=0,0,D13/D19)</f>
        <v>3513.9538413152604</v>
      </c>
      <c r="E43" s="641">
        <f>IF(E19=0,0,E13/E19)</f>
        <v>3726.8572899132459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16734.788063523029</v>
      </c>
      <c r="D44" s="641">
        <f>IF(D20=0,0,D13/D20)</f>
        <v>17237.369604017302</v>
      </c>
      <c r="E44" s="641">
        <f>IF(E20=0,0,E13/E20)</f>
        <v>18332.814554140128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1963.3928205650968</v>
      </c>
      <c r="D45" s="641">
        <f>IF(D22=0,0,D13/D22)</f>
        <v>2012.601696430024</v>
      </c>
      <c r="E45" s="641">
        <f>IF(E22=0,0,E13/E22)</f>
        <v>2080.5514185280758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9849.3412027104405</v>
      </c>
      <c r="D46" s="641">
        <f>IF(D23=0,0,D13/D23)</f>
        <v>9872.6280633360529</v>
      </c>
      <c r="E46" s="641">
        <f>IF(E23=0,0,E13/E23)</f>
        <v>10234.457710377281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1359.4771453210074</v>
      </c>
      <c r="D47" s="641">
        <f>IF(D29=0,0,D13/D29)</f>
        <v>1387.5705952541862</v>
      </c>
      <c r="E47" s="641">
        <f>IF(E29=0,0,E13/E29)</f>
        <v>1399.5566861813627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6819.8040256149634</v>
      </c>
      <c r="D48" s="641">
        <f>IF(D30=0,0,D13/D30)</f>
        <v>6806.5968655724455</v>
      </c>
      <c r="E48" s="641">
        <f>IF(E30=0,0,E13/E30)</f>
        <v>6884.570883680678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3663.7869616468988</v>
      </c>
      <c r="D51" s="641">
        <f>IF(D19=0,0,D16/D19)</f>
        <v>3647.9370367172755</v>
      </c>
      <c r="E51" s="641">
        <f>IF(E19=0,0,E16/E19)</f>
        <v>3979.5808040916741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18379.352059011795</v>
      </c>
      <c r="D52" s="641">
        <f>IF(D20=0,0,D16/D20)</f>
        <v>17894.611549747406</v>
      </c>
      <c r="E52" s="641">
        <f>IF(E20=0,0,E16/E20)</f>
        <v>19575.988885350318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2156.3397004088047</v>
      </c>
      <c r="D53" s="641">
        <f>IF(D22=0,0,D16/D22)</f>
        <v>2089.339985700859</v>
      </c>
      <c r="E53" s="641">
        <f>IF(E22=0,0,E16/E22)</f>
        <v>2221.6365809093722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10817.257369905188</v>
      </c>
      <c r="D54" s="641">
        <f>IF(D23=0,0,D16/D23)</f>
        <v>10249.060513696944</v>
      </c>
      <c r="E54" s="641">
        <f>IF(E23=0,0,E16/E23)</f>
        <v>10928.470900868206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1493.0759191685265</v>
      </c>
      <c r="D55" s="641">
        <f>IF(D29=0,0,D16/D29)</f>
        <v>1440.4771360323218</v>
      </c>
      <c r="E55" s="641">
        <f>IF(E29=0,0,E16/E29)</f>
        <v>1494.462623411898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7490.0009898216676</v>
      </c>
      <c r="D56" s="641">
        <f>IF(D30=0,0,D16/D30)</f>
        <v>7066.1249183147065</v>
      </c>
      <c r="E56" s="641">
        <f>IF(E30=0,0,E16/E30)</f>
        <v>7351.4234653567437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99052110</v>
      </c>
      <c r="D59" s="649">
        <v>99917154</v>
      </c>
      <c r="E59" s="649">
        <v>100307204</v>
      </c>
    </row>
    <row r="60" spans="1:6" ht="26.1" customHeight="1" x14ac:dyDescent="0.25">
      <c r="A60" s="639">
        <v>2</v>
      </c>
      <c r="B60" s="640" t="s">
        <v>938</v>
      </c>
      <c r="C60" s="649">
        <v>25924458</v>
      </c>
      <c r="D60" s="649">
        <v>24062802</v>
      </c>
      <c r="E60" s="649">
        <v>26305917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124976568</v>
      </c>
      <c r="D61" s="652">
        <f>D59+D60</f>
        <v>123979956</v>
      </c>
      <c r="E61" s="652">
        <f>E59+E60</f>
        <v>126613121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12779026</v>
      </c>
      <c r="D64" s="641">
        <v>13856651</v>
      </c>
      <c r="E64" s="649">
        <v>12923717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3344596</v>
      </c>
      <c r="D65" s="649">
        <v>3337063</v>
      </c>
      <c r="E65" s="649">
        <v>3389290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16123622</v>
      </c>
      <c r="D66" s="654">
        <f>D64+D65</f>
        <v>17193714</v>
      </c>
      <c r="E66" s="654">
        <f>E64+E65</f>
        <v>16313007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121941945</v>
      </c>
      <c r="D69" s="649">
        <v>119253156</v>
      </c>
      <c r="E69" s="649">
        <v>124767276</v>
      </c>
    </row>
    <row r="70" spans="1:6" ht="26.1" customHeight="1" x14ac:dyDescent="0.25">
      <c r="A70" s="639">
        <v>2</v>
      </c>
      <c r="B70" s="640" t="s">
        <v>946</v>
      </c>
      <c r="C70" s="649">
        <v>31915310</v>
      </c>
      <c r="D70" s="649">
        <v>28719444</v>
      </c>
      <c r="E70" s="649">
        <v>32720657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153857255</v>
      </c>
      <c r="D71" s="652">
        <f>D69+D70</f>
        <v>147972600</v>
      </c>
      <c r="E71" s="652">
        <f>E69+E70</f>
        <v>157487933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233773081</v>
      </c>
      <c r="D75" s="641">
        <f t="shared" si="0"/>
        <v>233026961</v>
      </c>
      <c r="E75" s="641">
        <f t="shared" si="0"/>
        <v>237998197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61184364</v>
      </c>
      <c r="D76" s="641">
        <f t="shared" si="0"/>
        <v>56119309</v>
      </c>
      <c r="E76" s="641">
        <f t="shared" si="0"/>
        <v>62415864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294957445</v>
      </c>
      <c r="D77" s="654">
        <f>D75+D76</f>
        <v>289146270</v>
      </c>
      <c r="E77" s="654">
        <f>E75+E76</f>
        <v>300414061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1221.5</v>
      </c>
      <c r="D80" s="646">
        <v>1378.3</v>
      </c>
      <c r="E80" s="646">
        <v>1364.4</v>
      </c>
    </row>
    <row r="81" spans="1:5" ht="26.1" customHeight="1" x14ac:dyDescent="0.25">
      <c r="A81" s="639">
        <v>2</v>
      </c>
      <c r="B81" s="640" t="s">
        <v>579</v>
      </c>
      <c r="C81" s="646">
        <v>78.5</v>
      </c>
      <c r="D81" s="646">
        <v>78</v>
      </c>
      <c r="E81" s="646">
        <v>75.5</v>
      </c>
    </row>
    <row r="82" spans="1:5" ht="26.1" customHeight="1" x14ac:dyDescent="0.25">
      <c r="A82" s="639">
        <v>3</v>
      </c>
      <c r="B82" s="640" t="s">
        <v>952</v>
      </c>
      <c r="C82" s="646">
        <v>2294.9</v>
      </c>
      <c r="D82" s="646">
        <v>2154.5</v>
      </c>
      <c r="E82" s="646">
        <v>2148.6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3594.9</v>
      </c>
      <c r="D83" s="656">
        <f>D80+D81+D82</f>
        <v>3610.8</v>
      </c>
      <c r="E83" s="656">
        <f>E80+E81+E82</f>
        <v>3588.5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81090.552599263203</v>
      </c>
      <c r="D86" s="649">
        <f>IF(D80=0,0,D59/D80)</f>
        <v>72493.037800188642</v>
      </c>
      <c r="E86" s="649">
        <f>IF(E80=0,0,E59/E80)</f>
        <v>73517.446496628545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21223.461318051577</v>
      </c>
      <c r="D87" s="649">
        <f>IF(D80=0,0,D60/D80)</f>
        <v>17458.31966915766</v>
      </c>
      <c r="E87" s="649">
        <f>IF(E80=0,0,E60/E80)</f>
        <v>19280.208883025505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102314.01391731478</v>
      </c>
      <c r="D88" s="652">
        <f>+D86+D87</f>
        <v>89951.357469346302</v>
      </c>
      <c r="E88" s="652">
        <f>+E86+E87</f>
        <v>92797.655379654054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162790.14012738853</v>
      </c>
      <c r="D91" s="641">
        <f>IF(D81=0,0,D64/D81)</f>
        <v>177649.37179487178</v>
      </c>
      <c r="E91" s="641">
        <f>IF(E81=0,0,E64/E81)</f>
        <v>171175.05960264901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42606.318471337581</v>
      </c>
      <c r="D92" s="641">
        <f>IF(D81=0,0,D65/D81)</f>
        <v>42782.858974358976</v>
      </c>
      <c r="E92" s="641">
        <f>IF(E81=0,0,E65/E81)</f>
        <v>44891.258278145695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205396.45859872611</v>
      </c>
      <c r="D93" s="654">
        <f>+D91+D92</f>
        <v>220432.23076923075</v>
      </c>
      <c r="E93" s="654">
        <f>+E91+E92</f>
        <v>216066.3178807947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53136.060394788445</v>
      </c>
      <c r="D96" s="649">
        <f>IF(D82=0,0,D69/D82)</f>
        <v>55350.733812949642</v>
      </c>
      <c r="E96" s="649">
        <f>IF(E82=0,0,E69/E82)</f>
        <v>58069.103602345713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13907.059131116825</v>
      </c>
      <c r="D97" s="649">
        <f>IF(D82=0,0,D70/D82)</f>
        <v>13329.980970062659</v>
      </c>
      <c r="E97" s="649">
        <f>IF(E82=0,0,E70/E82)</f>
        <v>15228.826677836732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67043.119525905262</v>
      </c>
      <c r="D98" s="654">
        <f>+D96+D97</f>
        <v>68680.714783012299</v>
      </c>
      <c r="E98" s="654">
        <f>+E96+E97</f>
        <v>73297.930280182452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65029.091490722967</v>
      </c>
      <c r="D101" s="641">
        <f>IF(D83=0,0,D75/D83)</f>
        <v>64536.103079649933</v>
      </c>
      <c r="E101" s="641">
        <f>IF(E83=0,0,E75/E83)</f>
        <v>66322.473735544103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17019.768004673286</v>
      </c>
      <c r="D102" s="658">
        <f>IF(D83=0,0,D76/D83)</f>
        <v>15542.070732247701</v>
      </c>
      <c r="E102" s="658">
        <f>IF(E83=0,0,E76/E83)</f>
        <v>17393.301936742373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82048.85949539626</v>
      </c>
      <c r="D103" s="654">
        <f>+D101+D102</f>
        <v>80078.173811897635</v>
      </c>
      <c r="E103" s="654">
        <f>+E101+E102</f>
        <v>83715.775672286472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1792.2263574275714</v>
      </c>
      <c r="D108" s="641">
        <f>IF(D19=0,0,D77/D19)</f>
        <v>1783.1144316037446</v>
      </c>
      <c r="E108" s="641">
        <f>IF(E19=0,0,E77/E19)</f>
        <v>1944.9311213259095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8990.6862864632549</v>
      </c>
      <c r="D109" s="641">
        <f>IF(D20=0,0,D77/D20)</f>
        <v>8746.8999001724296</v>
      </c>
      <c r="E109" s="641">
        <f>IF(E20=0,0,E77/E20)</f>
        <v>9567.3267834394901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1054.8235711016739</v>
      </c>
      <c r="D110" s="641">
        <f>IF(D22=0,0,D77/D22)</f>
        <v>1021.2709933125693</v>
      </c>
      <c r="E110" s="641">
        <f>IF(E22=0,0,E77/E22)</f>
        <v>1085.7751957301853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5291.5123003514218</v>
      </c>
      <c r="D111" s="641">
        <f>IF(D23=0,0,D77/D23)</f>
        <v>5009.7486684689966</v>
      </c>
      <c r="E111" s="641">
        <f>IF(E23=0,0,E77/E23)</f>
        <v>5341.045755811605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730.37271107362142</v>
      </c>
      <c r="D112" s="641">
        <f>IF(D29=0,0,D77/D29)</f>
        <v>704.10633292230557</v>
      </c>
      <c r="E112" s="641">
        <f>IF(E29=0,0,E77/E29)</f>
        <v>730.38518603358045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3663.9076812159697</v>
      </c>
      <c r="D113" s="641">
        <f>IF(D30=0,0,D77/D30)</f>
        <v>3453.9272993319187</v>
      </c>
      <c r="E113" s="641">
        <f>IF(E30=0,0,E77/E30)</f>
        <v>3592.8438163932115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FILING&amp;R&amp;12SAINT FRANCIS HOSPITAL AND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1317813591</v>
      </c>
      <c r="D12" s="51">
        <v>1404989046</v>
      </c>
      <c r="E12" s="51">
        <f t="shared" ref="E12:E19" si="0">D12-C12</f>
        <v>87175455</v>
      </c>
      <c r="F12" s="70">
        <f t="shared" ref="F12:F19" si="1">IF(C12=0,0,E12/C12)</f>
        <v>6.6151582891058533E-2</v>
      </c>
    </row>
    <row r="13" spans="1:8" ht="23.1" customHeight="1" x14ac:dyDescent="0.2">
      <c r="A13" s="25">
        <v>2</v>
      </c>
      <c r="B13" s="48" t="s">
        <v>72</v>
      </c>
      <c r="C13" s="51">
        <v>734581266</v>
      </c>
      <c r="D13" s="51">
        <v>815747184</v>
      </c>
      <c r="E13" s="51">
        <f t="shared" si="0"/>
        <v>81165918</v>
      </c>
      <c r="F13" s="70">
        <f t="shared" si="1"/>
        <v>0.11049276881504354</v>
      </c>
    </row>
    <row r="14" spans="1:8" ht="23.1" customHeight="1" x14ac:dyDescent="0.2">
      <c r="A14" s="25">
        <v>3</v>
      </c>
      <c r="B14" s="48" t="s">
        <v>73</v>
      </c>
      <c r="C14" s="51">
        <v>13416598</v>
      </c>
      <c r="D14" s="51">
        <v>13591485</v>
      </c>
      <c r="E14" s="51">
        <f t="shared" si="0"/>
        <v>174887</v>
      </c>
      <c r="F14" s="70">
        <f t="shared" si="1"/>
        <v>1.3035122614540587E-2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569815727</v>
      </c>
      <c r="D16" s="27">
        <f>D12-D13-D14-D15</f>
        <v>575650377</v>
      </c>
      <c r="E16" s="27">
        <f t="shared" si="0"/>
        <v>5834650</v>
      </c>
      <c r="F16" s="28">
        <f t="shared" si="1"/>
        <v>1.0239538369217387E-2</v>
      </c>
    </row>
    <row r="17" spans="1:7" ht="23.1" customHeight="1" x14ac:dyDescent="0.2">
      <c r="A17" s="25">
        <v>5</v>
      </c>
      <c r="B17" s="48" t="s">
        <v>76</v>
      </c>
      <c r="C17" s="51">
        <v>32290064</v>
      </c>
      <c r="D17" s="51">
        <v>36523722</v>
      </c>
      <c r="E17" s="51">
        <f t="shared" si="0"/>
        <v>4233658</v>
      </c>
      <c r="F17" s="70">
        <f t="shared" si="1"/>
        <v>0.13111333566882988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5808791</v>
      </c>
      <c r="D18" s="51">
        <v>4693884</v>
      </c>
      <c r="E18" s="51">
        <f t="shared" si="0"/>
        <v>-1114907</v>
      </c>
      <c r="F18" s="70">
        <f t="shared" si="1"/>
        <v>-0.19193443179484337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607914582</v>
      </c>
      <c r="D19" s="27">
        <f>SUM(D16:D18)</f>
        <v>616867983</v>
      </c>
      <c r="E19" s="27">
        <f t="shared" si="0"/>
        <v>8953401</v>
      </c>
      <c r="F19" s="28">
        <f t="shared" si="1"/>
        <v>1.4728057633596952E-2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233026961</v>
      </c>
      <c r="D22" s="51">
        <v>237998197</v>
      </c>
      <c r="E22" s="51">
        <f t="shared" ref="E22:E31" si="2">D22-C22</f>
        <v>4971236</v>
      </c>
      <c r="F22" s="70">
        <f t="shared" ref="F22:F31" si="3">IF(C22=0,0,E22/C22)</f>
        <v>2.1333308294742771E-2</v>
      </c>
    </row>
    <row r="23" spans="1:7" ht="23.1" customHeight="1" x14ac:dyDescent="0.2">
      <c r="A23" s="25">
        <v>2</v>
      </c>
      <c r="B23" s="48" t="s">
        <v>81</v>
      </c>
      <c r="C23" s="51">
        <v>56119309</v>
      </c>
      <c r="D23" s="51">
        <v>62415864</v>
      </c>
      <c r="E23" s="51">
        <f t="shared" si="2"/>
        <v>6296555</v>
      </c>
      <c r="F23" s="70">
        <f t="shared" si="3"/>
        <v>0.11219943923400767</v>
      </c>
    </row>
    <row r="24" spans="1:7" ht="23.1" customHeight="1" x14ac:dyDescent="0.2">
      <c r="A24" s="25">
        <v>3</v>
      </c>
      <c r="B24" s="48" t="s">
        <v>82</v>
      </c>
      <c r="C24" s="51">
        <v>34737325</v>
      </c>
      <c r="D24" s="51">
        <v>36936708</v>
      </c>
      <c r="E24" s="51">
        <f t="shared" si="2"/>
        <v>2199383</v>
      </c>
      <c r="F24" s="70">
        <f t="shared" si="3"/>
        <v>6.3314691041984381E-2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103722033</v>
      </c>
      <c r="D25" s="51">
        <v>105518000</v>
      </c>
      <c r="E25" s="51">
        <f t="shared" si="2"/>
        <v>1795967</v>
      </c>
      <c r="F25" s="70">
        <f t="shared" si="3"/>
        <v>1.7315192809612592E-2</v>
      </c>
    </row>
    <row r="26" spans="1:7" ht="23.1" customHeight="1" x14ac:dyDescent="0.2">
      <c r="A26" s="25">
        <v>5</v>
      </c>
      <c r="B26" s="48" t="s">
        <v>84</v>
      </c>
      <c r="C26" s="51">
        <v>24490507</v>
      </c>
      <c r="D26" s="51">
        <v>25239204</v>
      </c>
      <c r="E26" s="51">
        <f t="shared" si="2"/>
        <v>748697</v>
      </c>
      <c r="F26" s="70">
        <f t="shared" si="3"/>
        <v>3.0570906514920251E-2</v>
      </c>
    </row>
    <row r="27" spans="1:7" ht="23.1" customHeight="1" x14ac:dyDescent="0.2">
      <c r="A27" s="25">
        <v>6</v>
      </c>
      <c r="B27" s="48" t="s">
        <v>85</v>
      </c>
      <c r="C27" s="51">
        <v>21328662</v>
      </c>
      <c r="D27" s="51">
        <v>18896554</v>
      </c>
      <c r="E27" s="51">
        <f t="shared" si="2"/>
        <v>-2432108</v>
      </c>
      <c r="F27" s="70">
        <f t="shared" si="3"/>
        <v>-0.11403003151346297</v>
      </c>
    </row>
    <row r="28" spans="1:7" ht="23.1" customHeight="1" x14ac:dyDescent="0.2">
      <c r="A28" s="25">
        <v>7</v>
      </c>
      <c r="B28" s="48" t="s">
        <v>86</v>
      </c>
      <c r="C28" s="51">
        <v>7207306</v>
      </c>
      <c r="D28" s="51">
        <v>8911665</v>
      </c>
      <c r="E28" s="51">
        <f t="shared" si="2"/>
        <v>1704359</v>
      </c>
      <c r="F28" s="70">
        <f t="shared" si="3"/>
        <v>0.23647656974742018</v>
      </c>
    </row>
    <row r="29" spans="1:7" ht="23.1" customHeight="1" x14ac:dyDescent="0.2">
      <c r="A29" s="25">
        <v>8</v>
      </c>
      <c r="B29" s="48" t="s">
        <v>87</v>
      </c>
      <c r="C29" s="51">
        <v>6799761</v>
      </c>
      <c r="D29" s="51">
        <v>8034177</v>
      </c>
      <c r="E29" s="51">
        <f t="shared" si="2"/>
        <v>1234416</v>
      </c>
      <c r="F29" s="70">
        <f t="shared" si="3"/>
        <v>0.18153814523775175</v>
      </c>
    </row>
    <row r="30" spans="1:7" ht="23.1" customHeight="1" x14ac:dyDescent="0.2">
      <c r="A30" s="25">
        <v>9</v>
      </c>
      <c r="B30" s="48" t="s">
        <v>88</v>
      </c>
      <c r="C30" s="51">
        <v>104110310</v>
      </c>
      <c r="D30" s="51">
        <v>110735682</v>
      </c>
      <c r="E30" s="51">
        <f t="shared" si="2"/>
        <v>6625372</v>
      </c>
      <c r="F30" s="70">
        <f t="shared" si="3"/>
        <v>6.3638000885791232E-2</v>
      </c>
    </row>
    <row r="31" spans="1:7" ht="23.1" customHeight="1" x14ac:dyDescent="0.25">
      <c r="A31" s="29"/>
      <c r="B31" s="71" t="s">
        <v>89</v>
      </c>
      <c r="C31" s="27">
        <f>SUM(C22:C30)</f>
        <v>591542174</v>
      </c>
      <c r="D31" s="27">
        <f>SUM(D22:D30)</f>
        <v>614686051</v>
      </c>
      <c r="E31" s="27">
        <f t="shared" si="2"/>
        <v>23143877</v>
      </c>
      <c r="F31" s="28">
        <f t="shared" si="3"/>
        <v>3.9124644052851591E-2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16372408</v>
      </c>
      <c r="D33" s="27">
        <f>+D19-D31</f>
        <v>2181932</v>
      </c>
      <c r="E33" s="27">
        <f>D33-C33</f>
        <v>-14190476</v>
      </c>
      <c r="F33" s="28">
        <f>IF(C33=0,0,E33/C33)</f>
        <v>-0.86673114913823301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-2985358</v>
      </c>
      <c r="D36" s="51">
        <v>1622470</v>
      </c>
      <c r="E36" s="51">
        <f>D36-C36</f>
        <v>4607828</v>
      </c>
      <c r="F36" s="70">
        <f>IF(C36=0,0,E36/C36)</f>
        <v>-1.5434758578368155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-2745687</v>
      </c>
      <c r="D38" s="51">
        <v>-10850066</v>
      </c>
      <c r="E38" s="51">
        <f>D38-C38</f>
        <v>-8104379</v>
      </c>
      <c r="F38" s="70">
        <f>IF(C38=0,0,E38/C38)</f>
        <v>2.9516762107261316</v>
      </c>
    </row>
    <row r="39" spans="1:6" ht="23.1" customHeight="1" x14ac:dyDescent="0.25">
      <c r="A39" s="20"/>
      <c r="B39" s="71" t="s">
        <v>95</v>
      </c>
      <c r="C39" s="27">
        <f>SUM(C36:C38)</f>
        <v>-5731045</v>
      </c>
      <c r="D39" s="27">
        <f>SUM(D36:D38)</f>
        <v>-9227596</v>
      </c>
      <c r="E39" s="27">
        <f>D39-C39</f>
        <v>-3496551</v>
      </c>
      <c r="F39" s="28">
        <f>IF(C39=0,0,E39/C39)</f>
        <v>0.6101070572644256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10641363</v>
      </c>
      <c r="D41" s="27">
        <f>D33+D39</f>
        <v>-7045664</v>
      </c>
      <c r="E41" s="27">
        <f>D41-C41</f>
        <v>-17687027</v>
      </c>
      <c r="F41" s="28">
        <f>IF(C41=0,0,E41/C41)</f>
        <v>-1.6621016499484136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10641363</v>
      </c>
      <c r="D48" s="27">
        <f>D41+D46</f>
        <v>-7045664</v>
      </c>
      <c r="E48" s="27">
        <f>D48-C48</f>
        <v>-17687027</v>
      </c>
      <c r="F48" s="28">
        <f>IF(C48=0,0,E48/C48)</f>
        <v>-1.6621016499484136</v>
      </c>
    </row>
    <row r="49" spans="1:6" ht="23.1" customHeight="1" x14ac:dyDescent="0.2">
      <c r="A49" s="44"/>
      <c r="B49" s="48" t="s">
        <v>102</v>
      </c>
      <c r="C49" s="51">
        <v>33111925</v>
      </c>
      <c r="D49" s="51">
        <v>6263159</v>
      </c>
      <c r="E49" s="51">
        <f>D49-C49</f>
        <v>-26848766</v>
      </c>
      <c r="F49" s="70">
        <f>IF(C49=0,0,E49/C49)</f>
        <v>-0.81084884071222074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FRANCIS HOSPITAL AND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322647709</v>
      </c>
      <c r="D14" s="97">
        <v>328902915</v>
      </c>
      <c r="E14" s="97">
        <f t="shared" ref="E14:E25" si="0">D14-C14</f>
        <v>6255206</v>
      </c>
      <c r="F14" s="98">
        <f t="shared" ref="F14:F25" si="1">IF(C14=0,0,E14/C14)</f>
        <v>1.9387108060947057E-2</v>
      </c>
    </row>
    <row r="15" spans="1:6" ht="18" customHeight="1" x14ac:dyDescent="0.25">
      <c r="A15" s="99">
        <v>2</v>
      </c>
      <c r="B15" s="100" t="s">
        <v>113</v>
      </c>
      <c r="C15" s="97">
        <v>72710797</v>
      </c>
      <c r="D15" s="97">
        <v>78312359</v>
      </c>
      <c r="E15" s="97">
        <f t="shared" si="0"/>
        <v>5601562</v>
      </c>
      <c r="F15" s="98">
        <f t="shared" si="1"/>
        <v>7.7038929995499841E-2</v>
      </c>
    </row>
    <row r="16" spans="1:6" ht="18" customHeight="1" x14ac:dyDescent="0.25">
      <c r="A16" s="99">
        <v>3</v>
      </c>
      <c r="B16" s="100" t="s">
        <v>114</v>
      </c>
      <c r="C16" s="97">
        <v>52346655</v>
      </c>
      <c r="D16" s="97">
        <v>69725335</v>
      </c>
      <c r="E16" s="97">
        <f t="shared" si="0"/>
        <v>17378680</v>
      </c>
      <c r="F16" s="98">
        <f t="shared" si="1"/>
        <v>0.33199217791471108</v>
      </c>
    </row>
    <row r="17" spans="1:6" ht="18" customHeight="1" x14ac:dyDescent="0.25">
      <c r="A17" s="99">
        <v>4</v>
      </c>
      <c r="B17" s="100" t="s">
        <v>115</v>
      </c>
      <c r="C17" s="97">
        <v>42259882</v>
      </c>
      <c r="D17" s="97">
        <v>48904101</v>
      </c>
      <c r="E17" s="97">
        <f t="shared" si="0"/>
        <v>6644219</v>
      </c>
      <c r="F17" s="98">
        <f t="shared" si="1"/>
        <v>0.15722284790099508</v>
      </c>
    </row>
    <row r="18" spans="1:6" ht="18" customHeight="1" x14ac:dyDescent="0.25">
      <c r="A18" s="99">
        <v>5</v>
      </c>
      <c r="B18" s="100" t="s">
        <v>116</v>
      </c>
      <c r="C18" s="97">
        <v>1590321</v>
      </c>
      <c r="D18" s="97">
        <v>1797493</v>
      </c>
      <c r="E18" s="97">
        <f t="shared" si="0"/>
        <v>207172</v>
      </c>
      <c r="F18" s="98">
        <f t="shared" si="1"/>
        <v>0.13027055544132285</v>
      </c>
    </row>
    <row r="19" spans="1:6" ht="18" customHeight="1" x14ac:dyDescent="0.25">
      <c r="A19" s="99">
        <v>6</v>
      </c>
      <c r="B19" s="100" t="s">
        <v>117</v>
      </c>
      <c r="C19" s="97">
        <v>17849366</v>
      </c>
      <c r="D19" s="97">
        <v>20679815</v>
      </c>
      <c r="E19" s="97">
        <f t="shared" si="0"/>
        <v>2830449</v>
      </c>
      <c r="F19" s="98">
        <f t="shared" si="1"/>
        <v>0.15857420370000816</v>
      </c>
    </row>
    <row r="20" spans="1:6" ht="18" customHeight="1" x14ac:dyDescent="0.25">
      <c r="A20" s="99">
        <v>7</v>
      </c>
      <c r="B20" s="100" t="s">
        <v>118</v>
      </c>
      <c r="C20" s="97">
        <v>203262448</v>
      </c>
      <c r="D20" s="97">
        <v>206582802</v>
      </c>
      <c r="E20" s="97">
        <f t="shared" si="0"/>
        <v>3320354</v>
      </c>
      <c r="F20" s="98">
        <f t="shared" si="1"/>
        <v>1.6335304591037887E-2</v>
      </c>
    </row>
    <row r="21" spans="1:6" ht="18" customHeight="1" x14ac:dyDescent="0.25">
      <c r="A21" s="99">
        <v>8</v>
      </c>
      <c r="B21" s="100" t="s">
        <v>119</v>
      </c>
      <c r="C21" s="97">
        <v>3649809</v>
      </c>
      <c r="D21" s="97">
        <v>3778140</v>
      </c>
      <c r="E21" s="97">
        <f t="shared" si="0"/>
        <v>128331</v>
      </c>
      <c r="F21" s="98">
        <f t="shared" si="1"/>
        <v>3.51610180149153E-2</v>
      </c>
    </row>
    <row r="22" spans="1:6" ht="18" customHeight="1" x14ac:dyDescent="0.25">
      <c r="A22" s="99">
        <v>9</v>
      </c>
      <c r="B22" s="100" t="s">
        <v>120</v>
      </c>
      <c r="C22" s="97">
        <v>6594206</v>
      </c>
      <c r="D22" s="97">
        <v>6234862</v>
      </c>
      <c r="E22" s="97">
        <f t="shared" si="0"/>
        <v>-359344</v>
      </c>
      <c r="F22" s="98">
        <f t="shared" si="1"/>
        <v>-5.4493899644627419E-2</v>
      </c>
    </row>
    <row r="23" spans="1:6" ht="18" customHeight="1" x14ac:dyDescent="0.25">
      <c r="A23" s="99">
        <v>10</v>
      </c>
      <c r="B23" s="100" t="s">
        <v>121</v>
      </c>
      <c r="C23" s="97">
        <v>31860778</v>
      </c>
      <c r="D23" s="97">
        <v>19429881</v>
      </c>
      <c r="E23" s="97">
        <f t="shared" si="0"/>
        <v>-12430897</v>
      </c>
      <c r="F23" s="98">
        <f t="shared" si="1"/>
        <v>-0.39016300857436687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754771971</v>
      </c>
      <c r="D25" s="103">
        <f>SUM(D14:D24)</f>
        <v>784347703</v>
      </c>
      <c r="E25" s="103">
        <f t="shared" si="0"/>
        <v>29575732</v>
      </c>
      <c r="F25" s="104">
        <f t="shared" si="1"/>
        <v>3.918498981992536E-2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142291267</v>
      </c>
      <c r="D27" s="97">
        <v>157772376</v>
      </c>
      <c r="E27" s="97">
        <f t="shared" ref="E27:E38" si="2">D27-C27</f>
        <v>15481109</v>
      </c>
      <c r="F27" s="98">
        <f t="shared" ref="F27:F38" si="3">IF(C27=0,0,E27/C27)</f>
        <v>0.10879872901827489</v>
      </c>
    </row>
    <row r="28" spans="1:6" ht="18" customHeight="1" x14ac:dyDescent="0.25">
      <c r="A28" s="99">
        <v>2</v>
      </c>
      <c r="B28" s="100" t="s">
        <v>113</v>
      </c>
      <c r="C28" s="97">
        <v>37868365</v>
      </c>
      <c r="D28" s="97">
        <v>48316533</v>
      </c>
      <c r="E28" s="97">
        <f t="shared" si="2"/>
        <v>10448168</v>
      </c>
      <c r="F28" s="98">
        <f t="shared" si="3"/>
        <v>0.2759075550264713</v>
      </c>
    </row>
    <row r="29" spans="1:6" ht="18" customHeight="1" x14ac:dyDescent="0.25">
      <c r="A29" s="99">
        <v>3</v>
      </c>
      <c r="B29" s="100" t="s">
        <v>114</v>
      </c>
      <c r="C29" s="97">
        <v>33637672</v>
      </c>
      <c r="D29" s="97">
        <v>54000678</v>
      </c>
      <c r="E29" s="97">
        <f t="shared" si="2"/>
        <v>20363006</v>
      </c>
      <c r="F29" s="98">
        <f t="shared" si="3"/>
        <v>0.60536311787569608</v>
      </c>
    </row>
    <row r="30" spans="1:6" ht="18" customHeight="1" x14ac:dyDescent="0.25">
      <c r="A30" s="99">
        <v>4</v>
      </c>
      <c r="B30" s="100" t="s">
        <v>115</v>
      </c>
      <c r="C30" s="97">
        <v>42045080</v>
      </c>
      <c r="D30" s="97">
        <v>50644810</v>
      </c>
      <c r="E30" s="97">
        <f t="shared" si="2"/>
        <v>8599730</v>
      </c>
      <c r="F30" s="98">
        <f t="shared" si="3"/>
        <v>0.20453594094719288</v>
      </c>
    </row>
    <row r="31" spans="1:6" ht="18" customHeight="1" x14ac:dyDescent="0.25">
      <c r="A31" s="99">
        <v>5</v>
      </c>
      <c r="B31" s="100" t="s">
        <v>116</v>
      </c>
      <c r="C31" s="97">
        <v>2089478</v>
      </c>
      <c r="D31" s="97">
        <v>2497083</v>
      </c>
      <c r="E31" s="97">
        <f t="shared" si="2"/>
        <v>407605</v>
      </c>
      <c r="F31" s="98">
        <f t="shared" si="3"/>
        <v>0.19507503788027442</v>
      </c>
    </row>
    <row r="32" spans="1:6" ht="18" customHeight="1" x14ac:dyDescent="0.25">
      <c r="A32" s="99">
        <v>6</v>
      </c>
      <c r="B32" s="100" t="s">
        <v>117</v>
      </c>
      <c r="C32" s="97">
        <v>26447692</v>
      </c>
      <c r="D32" s="97">
        <v>27627654</v>
      </c>
      <c r="E32" s="97">
        <f t="shared" si="2"/>
        <v>1179962</v>
      </c>
      <c r="F32" s="98">
        <f t="shared" si="3"/>
        <v>4.4614932751031733E-2</v>
      </c>
    </row>
    <row r="33" spans="1:6" ht="18" customHeight="1" x14ac:dyDescent="0.25">
      <c r="A33" s="99">
        <v>7</v>
      </c>
      <c r="B33" s="100" t="s">
        <v>118</v>
      </c>
      <c r="C33" s="97">
        <v>223656077</v>
      </c>
      <c r="D33" s="97">
        <v>233502475</v>
      </c>
      <c r="E33" s="97">
        <f t="shared" si="2"/>
        <v>9846398</v>
      </c>
      <c r="F33" s="98">
        <f t="shared" si="3"/>
        <v>4.4024728199091145E-2</v>
      </c>
    </row>
    <row r="34" spans="1:6" ht="18" customHeight="1" x14ac:dyDescent="0.25">
      <c r="A34" s="99">
        <v>8</v>
      </c>
      <c r="B34" s="100" t="s">
        <v>119</v>
      </c>
      <c r="C34" s="97">
        <v>5532449</v>
      </c>
      <c r="D34" s="97">
        <v>5651561</v>
      </c>
      <c r="E34" s="97">
        <f t="shared" si="2"/>
        <v>119112</v>
      </c>
      <c r="F34" s="98">
        <f t="shared" si="3"/>
        <v>2.152970592227782E-2</v>
      </c>
    </row>
    <row r="35" spans="1:6" ht="18" customHeight="1" x14ac:dyDescent="0.25">
      <c r="A35" s="99">
        <v>9</v>
      </c>
      <c r="B35" s="100" t="s">
        <v>120</v>
      </c>
      <c r="C35" s="97">
        <v>20622357</v>
      </c>
      <c r="D35" s="97">
        <v>21275835</v>
      </c>
      <c r="E35" s="97">
        <f t="shared" si="2"/>
        <v>653478</v>
      </c>
      <c r="F35" s="98">
        <f t="shared" si="3"/>
        <v>3.1687842471158849E-2</v>
      </c>
    </row>
    <row r="36" spans="1:6" ht="18" customHeight="1" x14ac:dyDescent="0.25">
      <c r="A36" s="99">
        <v>10</v>
      </c>
      <c r="B36" s="100" t="s">
        <v>121</v>
      </c>
      <c r="C36" s="97">
        <v>28851182</v>
      </c>
      <c r="D36" s="97">
        <v>19352339</v>
      </c>
      <c r="E36" s="97">
        <f t="shared" si="2"/>
        <v>-9498843</v>
      </c>
      <c r="F36" s="98">
        <f t="shared" si="3"/>
        <v>-0.32923583512107063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563041619</v>
      </c>
      <c r="D38" s="103">
        <f>SUM(D27:D37)</f>
        <v>620641344</v>
      </c>
      <c r="E38" s="103">
        <f t="shared" si="2"/>
        <v>57599725</v>
      </c>
      <c r="F38" s="104">
        <f t="shared" si="3"/>
        <v>0.10230100769868666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464938976</v>
      </c>
      <c r="D41" s="103">
        <f t="shared" si="4"/>
        <v>486675291</v>
      </c>
      <c r="E41" s="107">
        <f t="shared" ref="E41:E52" si="5">D41-C41</f>
        <v>21736315</v>
      </c>
      <c r="F41" s="108">
        <f t="shared" ref="F41:F52" si="6">IF(C41=0,0,E41/C41)</f>
        <v>4.6750898767411578E-2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110579162</v>
      </c>
      <c r="D42" s="103">
        <f t="shared" si="4"/>
        <v>126628892</v>
      </c>
      <c r="E42" s="107">
        <f t="shared" si="5"/>
        <v>16049730</v>
      </c>
      <c r="F42" s="108">
        <f t="shared" si="6"/>
        <v>0.14514244555407282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85984327</v>
      </c>
      <c r="D43" s="103">
        <f t="shared" si="4"/>
        <v>123726013</v>
      </c>
      <c r="E43" s="107">
        <f t="shared" si="5"/>
        <v>37741686</v>
      </c>
      <c r="F43" s="108">
        <f t="shared" si="6"/>
        <v>0.43893680763472159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84304962</v>
      </c>
      <c r="D44" s="103">
        <f t="shared" si="4"/>
        <v>99548911</v>
      </c>
      <c r="E44" s="107">
        <f t="shared" si="5"/>
        <v>15243949</v>
      </c>
      <c r="F44" s="108">
        <f t="shared" si="6"/>
        <v>0.18081911951991628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3679799</v>
      </c>
      <c r="D45" s="103">
        <f t="shared" si="4"/>
        <v>4294576</v>
      </c>
      <c r="E45" s="107">
        <f t="shared" si="5"/>
        <v>614777</v>
      </c>
      <c r="F45" s="108">
        <f t="shared" si="6"/>
        <v>0.16706809257788266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44297058</v>
      </c>
      <c r="D46" s="103">
        <f t="shared" si="4"/>
        <v>48307469</v>
      </c>
      <c r="E46" s="107">
        <f t="shared" si="5"/>
        <v>4010411</v>
      </c>
      <c r="F46" s="108">
        <f t="shared" si="6"/>
        <v>9.0534477481551939E-2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426918525</v>
      </c>
      <c r="D47" s="103">
        <f t="shared" si="4"/>
        <v>440085277</v>
      </c>
      <c r="E47" s="107">
        <f t="shared" si="5"/>
        <v>13166752</v>
      </c>
      <c r="F47" s="108">
        <f t="shared" si="6"/>
        <v>3.0841369556404236E-2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9182258</v>
      </c>
      <c r="D48" s="103">
        <f t="shared" si="4"/>
        <v>9429701</v>
      </c>
      <c r="E48" s="107">
        <f t="shared" si="5"/>
        <v>247443</v>
      </c>
      <c r="F48" s="108">
        <f t="shared" si="6"/>
        <v>2.6947946790429979E-2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27216563</v>
      </c>
      <c r="D49" s="103">
        <f t="shared" si="4"/>
        <v>27510697</v>
      </c>
      <c r="E49" s="107">
        <f t="shared" si="5"/>
        <v>294134</v>
      </c>
      <c r="F49" s="108">
        <f t="shared" si="6"/>
        <v>1.0807169149168468E-2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60711960</v>
      </c>
      <c r="D50" s="103">
        <f t="shared" si="4"/>
        <v>38782220</v>
      </c>
      <c r="E50" s="107">
        <f t="shared" si="5"/>
        <v>-21929740</v>
      </c>
      <c r="F50" s="108">
        <f t="shared" si="6"/>
        <v>-0.36120955409774286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1317813590</v>
      </c>
      <c r="D52" s="112">
        <f>SUM(D41:D51)</f>
        <v>1404989047</v>
      </c>
      <c r="E52" s="111">
        <f t="shared" si="5"/>
        <v>87175457</v>
      </c>
      <c r="F52" s="113">
        <f t="shared" si="6"/>
        <v>6.6151584458921844E-2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163945777</v>
      </c>
      <c r="D57" s="97">
        <v>155571160</v>
      </c>
      <c r="E57" s="97">
        <f t="shared" ref="E57:E68" si="7">D57-C57</f>
        <v>-8374617</v>
      </c>
      <c r="F57" s="98">
        <f t="shared" ref="F57:F68" si="8">IF(C57=0,0,E57/C57)</f>
        <v>-5.1081626823483231E-2</v>
      </c>
    </row>
    <row r="58" spans="1:6" ht="18" customHeight="1" x14ac:dyDescent="0.25">
      <c r="A58" s="99">
        <v>2</v>
      </c>
      <c r="B58" s="100" t="s">
        <v>113</v>
      </c>
      <c r="C58" s="97">
        <v>38129115</v>
      </c>
      <c r="D58" s="97">
        <v>36423058</v>
      </c>
      <c r="E58" s="97">
        <f t="shared" si="7"/>
        <v>-1706057</v>
      </c>
      <c r="F58" s="98">
        <f t="shared" si="8"/>
        <v>-4.4744206625304574E-2</v>
      </c>
    </row>
    <row r="59" spans="1:6" ht="18" customHeight="1" x14ac:dyDescent="0.25">
      <c r="A59" s="99">
        <v>3</v>
      </c>
      <c r="B59" s="100" t="s">
        <v>114</v>
      </c>
      <c r="C59" s="97">
        <v>17191690</v>
      </c>
      <c r="D59" s="97">
        <v>19825232</v>
      </c>
      <c r="E59" s="97">
        <f t="shared" si="7"/>
        <v>2633542</v>
      </c>
      <c r="F59" s="98">
        <f t="shared" si="8"/>
        <v>0.15318691763287962</v>
      </c>
    </row>
    <row r="60" spans="1:6" ht="18" customHeight="1" x14ac:dyDescent="0.25">
      <c r="A60" s="99">
        <v>4</v>
      </c>
      <c r="B60" s="100" t="s">
        <v>115</v>
      </c>
      <c r="C60" s="97">
        <v>17776935</v>
      </c>
      <c r="D60" s="97">
        <v>17596118</v>
      </c>
      <c r="E60" s="97">
        <f t="shared" si="7"/>
        <v>-180817</v>
      </c>
      <c r="F60" s="98">
        <f t="shared" si="8"/>
        <v>-1.0171438439753535E-2</v>
      </c>
    </row>
    <row r="61" spans="1:6" ht="18" customHeight="1" x14ac:dyDescent="0.25">
      <c r="A61" s="99">
        <v>5</v>
      </c>
      <c r="B61" s="100" t="s">
        <v>116</v>
      </c>
      <c r="C61" s="97">
        <v>880269</v>
      </c>
      <c r="D61" s="97">
        <v>677923</v>
      </c>
      <c r="E61" s="97">
        <f t="shared" si="7"/>
        <v>-202346</v>
      </c>
      <c r="F61" s="98">
        <f t="shared" si="8"/>
        <v>-0.22986836978241879</v>
      </c>
    </row>
    <row r="62" spans="1:6" ht="18" customHeight="1" x14ac:dyDescent="0.25">
      <c r="A62" s="99">
        <v>6</v>
      </c>
      <c r="B62" s="100" t="s">
        <v>117</v>
      </c>
      <c r="C62" s="97">
        <v>13054944</v>
      </c>
      <c r="D62" s="97">
        <v>12586778</v>
      </c>
      <c r="E62" s="97">
        <f t="shared" si="7"/>
        <v>-468166</v>
      </c>
      <c r="F62" s="98">
        <f t="shared" si="8"/>
        <v>-3.5861203234575346E-2</v>
      </c>
    </row>
    <row r="63" spans="1:6" ht="18" customHeight="1" x14ac:dyDescent="0.25">
      <c r="A63" s="99">
        <v>7</v>
      </c>
      <c r="B63" s="100" t="s">
        <v>118</v>
      </c>
      <c r="C63" s="97">
        <v>116053373</v>
      </c>
      <c r="D63" s="97">
        <v>126148558</v>
      </c>
      <c r="E63" s="97">
        <f t="shared" si="7"/>
        <v>10095185</v>
      </c>
      <c r="F63" s="98">
        <f t="shared" si="8"/>
        <v>8.6987432928812849E-2</v>
      </c>
    </row>
    <row r="64" spans="1:6" ht="18" customHeight="1" x14ac:dyDescent="0.25">
      <c r="A64" s="99">
        <v>8</v>
      </c>
      <c r="B64" s="100" t="s">
        <v>119</v>
      </c>
      <c r="C64" s="97">
        <v>2673392</v>
      </c>
      <c r="D64" s="97">
        <v>3094701</v>
      </c>
      <c r="E64" s="97">
        <f t="shared" si="7"/>
        <v>421309</v>
      </c>
      <c r="F64" s="98">
        <f t="shared" si="8"/>
        <v>0.1575934243837043</v>
      </c>
    </row>
    <row r="65" spans="1:6" ht="18" customHeight="1" x14ac:dyDescent="0.25">
      <c r="A65" s="99">
        <v>9</v>
      </c>
      <c r="B65" s="100" t="s">
        <v>120</v>
      </c>
      <c r="C65" s="97">
        <v>358585</v>
      </c>
      <c r="D65" s="97">
        <v>695157</v>
      </c>
      <c r="E65" s="97">
        <f t="shared" si="7"/>
        <v>336572</v>
      </c>
      <c r="F65" s="98">
        <f t="shared" si="8"/>
        <v>0.93861148681623607</v>
      </c>
    </row>
    <row r="66" spans="1:6" ht="18" customHeight="1" x14ac:dyDescent="0.25">
      <c r="A66" s="99">
        <v>10</v>
      </c>
      <c r="B66" s="100" t="s">
        <v>121</v>
      </c>
      <c r="C66" s="97">
        <v>3509082</v>
      </c>
      <c r="D66" s="97">
        <v>2475196</v>
      </c>
      <c r="E66" s="97">
        <f t="shared" si="7"/>
        <v>-1033886</v>
      </c>
      <c r="F66" s="98">
        <f t="shared" si="8"/>
        <v>-0.29463147341669416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373573162</v>
      </c>
      <c r="D68" s="103">
        <f>SUM(D57:D67)</f>
        <v>375093881</v>
      </c>
      <c r="E68" s="103">
        <f t="shared" si="7"/>
        <v>1520719</v>
      </c>
      <c r="F68" s="104">
        <f t="shared" si="8"/>
        <v>4.0707394285459941E-3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42012987</v>
      </c>
      <c r="D70" s="97">
        <v>46028833</v>
      </c>
      <c r="E70" s="97">
        <f t="shared" ref="E70:E81" si="9">D70-C70</f>
        <v>4015846</v>
      </c>
      <c r="F70" s="98">
        <f t="shared" ref="F70:F81" si="10">IF(C70=0,0,E70/C70)</f>
        <v>9.5585824449949244E-2</v>
      </c>
    </row>
    <row r="71" spans="1:6" ht="18" customHeight="1" x14ac:dyDescent="0.25">
      <c r="A71" s="99">
        <v>2</v>
      </c>
      <c r="B71" s="100" t="s">
        <v>113</v>
      </c>
      <c r="C71" s="97">
        <v>12589376</v>
      </c>
      <c r="D71" s="97">
        <v>11754987</v>
      </c>
      <c r="E71" s="97">
        <f t="shared" si="9"/>
        <v>-834389</v>
      </c>
      <c r="F71" s="98">
        <f t="shared" si="10"/>
        <v>-6.6277232485549717E-2</v>
      </c>
    </row>
    <row r="72" spans="1:6" ht="18" customHeight="1" x14ac:dyDescent="0.25">
      <c r="A72" s="99">
        <v>3</v>
      </c>
      <c r="B72" s="100" t="s">
        <v>114</v>
      </c>
      <c r="C72" s="97">
        <v>6390412</v>
      </c>
      <c r="D72" s="97">
        <v>8176262</v>
      </c>
      <c r="E72" s="97">
        <f t="shared" si="9"/>
        <v>1785850</v>
      </c>
      <c r="F72" s="98">
        <f t="shared" si="10"/>
        <v>0.27945772510442207</v>
      </c>
    </row>
    <row r="73" spans="1:6" ht="18" customHeight="1" x14ac:dyDescent="0.25">
      <c r="A73" s="99">
        <v>4</v>
      </c>
      <c r="B73" s="100" t="s">
        <v>115</v>
      </c>
      <c r="C73" s="97">
        <v>11672139</v>
      </c>
      <c r="D73" s="97">
        <v>13531911</v>
      </c>
      <c r="E73" s="97">
        <f t="shared" si="9"/>
        <v>1859772</v>
      </c>
      <c r="F73" s="98">
        <f t="shared" si="10"/>
        <v>0.15933429168381219</v>
      </c>
    </row>
    <row r="74" spans="1:6" ht="18" customHeight="1" x14ac:dyDescent="0.25">
      <c r="A74" s="99">
        <v>5</v>
      </c>
      <c r="B74" s="100" t="s">
        <v>116</v>
      </c>
      <c r="C74" s="97">
        <v>721183</v>
      </c>
      <c r="D74" s="97">
        <v>583793</v>
      </c>
      <c r="E74" s="97">
        <f t="shared" si="9"/>
        <v>-137390</v>
      </c>
      <c r="F74" s="98">
        <f t="shared" si="10"/>
        <v>-0.19050643179331736</v>
      </c>
    </row>
    <row r="75" spans="1:6" ht="18" customHeight="1" x14ac:dyDescent="0.25">
      <c r="A75" s="99">
        <v>6</v>
      </c>
      <c r="B75" s="100" t="s">
        <v>117</v>
      </c>
      <c r="C75" s="97">
        <v>17648834</v>
      </c>
      <c r="D75" s="97">
        <v>15108947</v>
      </c>
      <c r="E75" s="97">
        <f t="shared" si="9"/>
        <v>-2539887</v>
      </c>
      <c r="F75" s="98">
        <f t="shared" si="10"/>
        <v>-0.14391245336660768</v>
      </c>
    </row>
    <row r="76" spans="1:6" ht="18" customHeight="1" x14ac:dyDescent="0.25">
      <c r="A76" s="99">
        <v>7</v>
      </c>
      <c r="B76" s="100" t="s">
        <v>118</v>
      </c>
      <c r="C76" s="97">
        <v>85971065</v>
      </c>
      <c r="D76" s="97">
        <v>88682991</v>
      </c>
      <c r="E76" s="97">
        <f t="shared" si="9"/>
        <v>2711926</v>
      </c>
      <c r="F76" s="98">
        <f t="shared" si="10"/>
        <v>3.1544636558823599E-2</v>
      </c>
    </row>
    <row r="77" spans="1:6" ht="18" customHeight="1" x14ac:dyDescent="0.25">
      <c r="A77" s="99">
        <v>8</v>
      </c>
      <c r="B77" s="100" t="s">
        <v>119</v>
      </c>
      <c r="C77" s="97">
        <v>3784429</v>
      </c>
      <c r="D77" s="97">
        <v>3908693</v>
      </c>
      <c r="E77" s="97">
        <f t="shared" si="9"/>
        <v>124264</v>
      </c>
      <c r="F77" s="98">
        <f t="shared" si="10"/>
        <v>3.2835600826439076E-2</v>
      </c>
    </row>
    <row r="78" spans="1:6" ht="18" customHeight="1" x14ac:dyDescent="0.25">
      <c r="A78" s="99">
        <v>9</v>
      </c>
      <c r="B78" s="100" t="s">
        <v>120</v>
      </c>
      <c r="C78" s="97">
        <v>781196</v>
      </c>
      <c r="D78" s="97">
        <v>2614132</v>
      </c>
      <c r="E78" s="97">
        <f t="shared" si="9"/>
        <v>1832936</v>
      </c>
      <c r="F78" s="98">
        <f t="shared" si="10"/>
        <v>2.3463202576562092</v>
      </c>
    </row>
    <row r="79" spans="1:6" ht="18" customHeight="1" x14ac:dyDescent="0.25">
      <c r="A79" s="99">
        <v>10</v>
      </c>
      <c r="B79" s="100" t="s">
        <v>121</v>
      </c>
      <c r="C79" s="97">
        <v>3315559</v>
      </c>
      <c r="D79" s="97">
        <v>2130042</v>
      </c>
      <c r="E79" s="97">
        <f t="shared" si="9"/>
        <v>-1185517</v>
      </c>
      <c r="F79" s="98">
        <f t="shared" si="10"/>
        <v>-0.35756172639364886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184887180</v>
      </c>
      <c r="D81" s="103">
        <f>SUM(D70:D80)</f>
        <v>192520591</v>
      </c>
      <c r="E81" s="103">
        <f t="shared" si="9"/>
        <v>7633411</v>
      </c>
      <c r="F81" s="104">
        <f t="shared" si="10"/>
        <v>4.1286859370130477E-2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205958764</v>
      </c>
      <c r="D84" s="103">
        <f t="shared" si="11"/>
        <v>201599993</v>
      </c>
      <c r="E84" s="103">
        <f t="shared" ref="E84:E95" si="12">D84-C84</f>
        <v>-4358771</v>
      </c>
      <c r="F84" s="104">
        <f t="shared" ref="F84:F95" si="13">IF(C84=0,0,E84/C84)</f>
        <v>-2.116331888649322E-2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50718491</v>
      </c>
      <c r="D85" s="103">
        <f t="shared" si="11"/>
        <v>48178045</v>
      </c>
      <c r="E85" s="103">
        <f t="shared" si="12"/>
        <v>-2540446</v>
      </c>
      <c r="F85" s="104">
        <f t="shared" si="13"/>
        <v>-5.0089147959863398E-2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23582102</v>
      </c>
      <c r="D86" s="103">
        <f t="shared" si="11"/>
        <v>28001494</v>
      </c>
      <c r="E86" s="103">
        <f t="shared" si="12"/>
        <v>4419392</v>
      </c>
      <c r="F86" s="104">
        <f t="shared" si="13"/>
        <v>0.1874044985472457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29449074</v>
      </c>
      <c r="D87" s="103">
        <f t="shared" si="11"/>
        <v>31128029</v>
      </c>
      <c r="E87" s="103">
        <f t="shared" si="12"/>
        <v>1678955</v>
      </c>
      <c r="F87" s="104">
        <f t="shared" si="13"/>
        <v>5.7012149176575128E-2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1601452</v>
      </c>
      <c r="D88" s="103">
        <f t="shared" si="11"/>
        <v>1261716</v>
      </c>
      <c r="E88" s="103">
        <f t="shared" si="12"/>
        <v>-339736</v>
      </c>
      <c r="F88" s="104">
        <f t="shared" si="13"/>
        <v>-0.21214248069876587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30703778</v>
      </c>
      <c r="D89" s="103">
        <f t="shared" si="11"/>
        <v>27695725</v>
      </c>
      <c r="E89" s="103">
        <f t="shared" si="12"/>
        <v>-3008053</v>
      </c>
      <c r="F89" s="104">
        <f t="shared" si="13"/>
        <v>-9.7970126021625095E-2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202024438</v>
      </c>
      <c r="D90" s="103">
        <f t="shared" si="11"/>
        <v>214831549</v>
      </c>
      <c r="E90" s="103">
        <f t="shared" si="12"/>
        <v>12807111</v>
      </c>
      <c r="F90" s="104">
        <f t="shared" si="13"/>
        <v>6.3393870200990243E-2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6457821</v>
      </c>
      <c r="D91" s="103">
        <f t="shared" si="11"/>
        <v>7003394</v>
      </c>
      <c r="E91" s="103">
        <f t="shared" si="12"/>
        <v>545573</v>
      </c>
      <c r="F91" s="104">
        <f t="shared" si="13"/>
        <v>8.4482521271493902E-2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1139781</v>
      </c>
      <c r="D92" s="103">
        <f t="shared" si="11"/>
        <v>3309289</v>
      </c>
      <c r="E92" s="103">
        <f t="shared" si="12"/>
        <v>2169508</v>
      </c>
      <c r="F92" s="104">
        <f t="shared" si="13"/>
        <v>1.9034428543729014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6824641</v>
      </c>
      <c r="D93" s="103">
        <f t="shared" si="11"/>
        <v>4605238</v>
      </c>
      <c r="E93" s="103">
        <f t="shared" si="12"/>
        <v>-2219403</v>
      </c>
      <c r="F93" s="104">
        <f t="shared" si="13"/>
        <v>-0.32520435873476716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558460342</v>
      </c>
      <c r="D95" s="112">
        <f>SUM(D84:D94)</f>
        <v>567614472</v>
      </c>
      <c r="E95" s="112">
        <f t="shared" si="12"/>
        <v>9154130</v>
      </c>
      <c r="F95" s="113">
        <f t="shared" si="13"/>
        <v>1.6391727955500913E-2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11335</v>
      </c>
      <c r="D100" s="117">
        <v>10831</v>
      </c>
      <c r="E100" s="117">
        <f t="shared" ref="E100:E111" si="14">D100-C100</f>
        <v>-504</v>
      </c>
      <c r="F100" s="98">
        <f t="shared" ref="F100:F111" si="15">IF(C100=0,0,E100/C100)</f>
        <v>-4.4464049404499335E-2</v>
      </c>
    </row>
    <row r="101" spans="1:6" ht="18" customHeight="1" x14ac:dyDescent="0.25">
      <c r="A101" s="99">
        <v>2</v>
      </c>
      <c r="B101" s="100" t="s">
        <v>113</v>
      </c>
      <c r="C101" s="117">
        <v>2413</v>
      </c>
      <c r="D101" s="117">
        <v>2545</v>
      </c>
      <c r="E101" s="117">
        <f t="shared" si="14"/>
        <v>132</v>
      </c>
      <c r="F101" s="98">
        <f t="shared" si="15"/>
        <v>5.4703688354745129E-2</v>
      </c>
    </row>
    <row r="102" spans="1:6" ht="18" customHeight="1" x14ac:dyDescent="0.25">
      <c r="A102" s="99">
        <v>3</v>
      </c>
      <c r="B102" s="100" t="s">
        <v>114</v>
      </c>
      <c r="C102" s="117">
        <v>2113</v>
      </c>
      <c r="D102" s="117">
        <v>2679</v>
      </c>
      <c r="E102" s="117">
        <f t="shared" si="14"/>
        <v>566</v>
      </c>
      <c r="F102" s="98">
        <f t="shared" si="15"/>
        <v>0.26786559394226217</v>
      </c>
    </row>
    <row r="103" spans="1:6" ht="18" customHeight="1" x14ac:dyDescent="0.25">
      <c r="A103" s="99">
        <v>4</v>
      </c>
      <c r="B103" s="100" t="s">
        <v>115</v>
      </c>
      <c r="C103" s="117">
        <v>3412</v>
      </c>
      <c r="D103" s="117">
        <v>3359</v>
      </c>
      <c r="E103" s="117">
        <f t="shared" si="14"/>
        <v>-53</v>
      </c>
      <c r="F103" s="98">
        <f t="shared" si="15"/>
        <v>-1.5533411488862838E-2</v>
      </c>
    </row>
    <row r="104" spans="1:6" ht="18" customHeight="1" x14ac:dyDescent="0.25">
      <c r="A104" s="99">
        <v>5</v>
      </c>
      <c r="B104" s="100" t="s">
        <v>116</v>
      </c>
      <c r="C104" s="117">
        <v>90</v>
      </c>
      <c r="D104" s="117">
        <v>90</v>
      </c>
      <c r="E104" s="117">
        <f t="shared" si="14"/>
        <v>0</v>
      </c>
      <c r="F104" s="98">
        <f t="shared" si="15"/>
        <v>0</v>
      </c>
    </row>
    <row r="105" spans="1:6" ht="18" customHeight="1" x14ac:dyDescent="0.25">
      <c r="A105" s="99">
        <v>6</v>
      </c>
      <c r="B105" s="100" t="s">
        <v>117</v>
      </c>
      <c r="C105" s="117">
        <v>710</v>
      </c>
      <c r="D105" s="117">
        <v>775</v>
      </c>
      <c r="E105" s="117">
        <f t="shared" si="14"/>
        <v>65</v>
      </c>
      <c r="F105" s="98">
        <f t="shared" si="15"/>
        <v>9.154929577464789E-2</v>
      </c>
    </row>
    <row r="106" spans="1:6" ht="18" customHeight="1" x14ac:dyDescent="0.25">
      <c r="A106" s="99">
        <v>7</v>
      </c>
      <c r="B106" s="100" t="s">
        <v>118</v>
      </c>
      <c r="C106" s="117">
        <v>10607</v>
      </c>
      <c r="D106" s="117">
        <v>9946</v>
      </c>
      <c r="E106" s="117">
        <f t="shared" si="14"/>
        <v>-661</v>
      </c>
      <c r="F106" s="98">
        <f t="shared" si="15"/>
        <v>-6.2317337607240501E-2</v>
      </c>
    </row>
    <row r="107" spans="1:6" ht="18" customHeight="1" x14ac:dyDescent="0.25">
      <c r="A107" s="99">
        <v>8</v>
      </c>
      <c r="B107" s="100" t="s">
        <v>119</v>
      </c>
      <c r="C107" s="117">
        <v>398</v>
      </c>
      <c r="D107" s="117">
        <v>153</v>
      </c>
      <c r="E107" s="117">
        <f t="shared" si="14"/>
        <v>-245</v>
      </c>
      <c r="F107" s="98">
        <f t="shared" si="15"/>
        <v>-0.61557788944723613</v>
      </c>
    </row>
    <row r="108" spans="1:6" ht="18" customHeight="1" x14ac:dyDescent="0.25">
      <c r="A108" s="99">
        <v>9</v>
      </c>
      <c r="B108" s="100" t="s">
        <v>120</v>
      </c>
      <c r="C108" s="117">
        <v>355</v>
      </c>
      <c r="D108" s="117">
        <v>301</v>
      </c>
      <c r="E108" s="117">
        <f t="shared" si="14"/>
        <v>-54</v>
      </c>
      <c r="F108" s="98">
        <f t="shared" si="15"/>
        <v>-0.15211267605633802</v>
      </c>
    </row>
    <row r="109" spans="1:6" ht="18" customHeight="1" x14ac:dyDescent="0.25">
      <c r="A109" s="99">
        <v>10</v>
      </c>
      <c r="B109" s="100" t="s">
        <v>121</v>
      </c>
      <c r="C109" s="117">
        <v>1624</v>
      </c>
      <c r="D109" s="117">
        <v>721</v>
      </c>
      <c r="E109" s="117">
        <f t="shared" si="14"/>
        <v>-903</v>
      </c>
      <c r="F109" s="98">
        <f t="shared" si="15"/>
        <v>-0.55603448275862066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33057</v>
      </c>
      <c r="D111" s="118">
        <f>SUM(D100:D110)</f>
        <v>31400</v>
      </c>
      <c r="E111" s="118">
        <f t="shared" si="14"/>
        <v>-1657</v>
      </c>
      <c r="F111" s="104">
        <f t="shared" si="15"/>
        <v>-5.0125540732673869E-2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63410</v>
      </c>
      <c r="D113" s="117">
        <v>60334</v>
      </c>
      <c r="E113" s="117">
        <f t="shared" ref="E113:E124" si="16">D113-C113</f>
        <v>-3076</v>
      </c>
      <c r="F113" s="98">
        <f t="shared" ref="F113:F124" si="17">IF(C113=0,0,E113/C113)</f>
        <v>-4.850969878568049E-2</v>
      </c>
    </row>
    <row r="114" spans="1:6" ht="18" customHeight="1" x14ac:dyDescent="0.25">
      <c r="A114" s="99">
        <v>2</v>
      </c>
      <c r="B114" s="100" t="s">
        <v>113</v>
      </c>
      <c r="C114" s="117">
        <v>13536</v>
      </c>
      <c r="D114" s="117">
        <v>13160</v>
      </c>
      <c r="E114" s="117">
        <f t="shared" si="16"/>
        <v>-376</v>
      </c>
      <c r="F114" s="98">
        <f t="shared" si="17"/>
        <v>-2.7777777777777776E-2</v>
      </c>
    </row>
    <row r="115" spans="1:6" ht="18" customHeight="1" x14ac:dyDescent="0.25">
      <c r="A115" s="99">
        <v>3</v>
      </c>
      <c r="B115" s="100" t="s">
        <v>114</v>
      </c>
      <c r="C115" s="117">
        <v>12956</v>
      </c>
      <c r="D115" s="117">
        <v>15917</v>
      </c>
      <c r="E115" s="117">
        <f t="shared" si="16"/>
        <v>2961</v>
      </c>
      <c r="F115" s="98">
        <f t="shared" si="17"/>
        <v>0.22854276011114541</v>
      </c>
    </row>
    <row r="116" spans="1:6" ht="18" customHeight="1" x14ac:dyDescent="0.25">
      <c r="A116" s="99">
        <v>4</v>
      </c>
      <c r="B116" s="100" t="s">
        <v>115</v>
      </c>
      <c r="C116" s="117">
        <v>15606</v>
      </c>
      <c r="D116" s="117">
        <v>15996</v>
      </c>
      <c r="E116" s="117">
        <f t="shared" si="16"/>
        <v>390</v>
      </c>
      <c r="F116" s="98">
        <f t="shared" si="17"/>
        <v>2.4990388312187622E-2</v>
      </c>
    </row>
    <row r="117" spans="1:6" ht="18" customHeight="1" x14ac:dyDescent="0.25">
      <c r="A117" s="99">
        <v>5</v>
      </c>
      <c r="B117" s="100" t="s">
        <v>116</v>
      </c>
      <c r="C117" s="117">
        <v>331</v>
      </c>
      <c r="D117" s="117">
        <v>405</v>
      </c>
      <c r="E117" s="117">
        <f t="shared" si="16"/>
        <v>74</v>
      </c>
      <c r="F117" s="98">
        <f t="shared" si="17"/>
        <v>0.22356495468277945</v>
      </c>
    </row>
    <row r="118" spans="1:6" ht="18" customHeight="1" x14ac:dyDescent="0.25">
      <c r="A118" s="99">
        <v>6</v>
      </c>
      <c r="B118" s="100" t="s">
        <v>117</v>
      </c>
      <c r="C118" s="117">
        <v>3024</v>
      </c>
      <c r="D118" s="117">
        <v>3381</v>
      </c>
      <c r="E118" s="117">
        <f t="shared" si="16"/>
        <v>357</v>
      </c>
      <c r="F118" s="98">
        <f t="shared" si="17"/>
        <v>0.11805555555555555</v>
      </c>
    </row>
    <row r="119" spans="1:6" ht="18" customHeight="1" x14ac:dyDescent="0.25">
      <c r="A119" s="99">
        <v>7</v>
      </c>
      <c r="B119" s="100" t="s">
        <v>118</v>
      </c>
      <c r="C119" s="117">
        <v>42211</v>
      </c>
      <c r="D119" s="117">
        <v>39781</v>
      </c>
      <c r="E119" s="117">
        <f t="shared" si="16"/>
        <v>-2430</v>
      </c>
      <c r="F119" s="98">
        <f t="shared" si="17"/>
        <v>-5.7567932529435456E-2</v>
      </c>
    </row>
    <row r="120" spans="1:6" ht="18" customHeight="1" x14ac:dyDescent="0.25">
      <c r="A120" s="99">
        <v>8</v>
      </c>
      <c r="B120" s="100" t="s">
        <v>119</v>
      </c>
      <c r="C120" s="117">
        <v>1480</v>
      </c>
      <c r="D120" s="117">
        <v>428</v>
      </c>
      <c r="E120" s="117">
        <f t="shared" si="16"/>
        <v>-1052</v>
      </c>
      <c r="F120" s="98">
        <f t="shared" si="17"/>
        <v>-0.71081081081081077</v>
      </c>
    </row>
    <row r="121" spans="1:6" ht="18" customHeight="1" x14ac:dyDescent="0.25">
      <c r="A121" s="99">
        <v>9</v>
      </c>
      <c r="B121" s="100" t="s">
        <v>120</v>
      </c>
      <c r="C121" s="117">
        <v>1125</v>
      </c>
      <c r="D121" s="117">
        <v>1090</v>
      </c>
      <c r="E121" s="117">
        <f t="shared" si="16"/>
        <v>-35</v>
      </c>
      <c r="F121" s="98">
        <f t="shared" si="17"/>
        <v>-3.111111111111111E-2</v>
      </c>
    </row>
    <row r="122" spans="1:6" ht="18" customHeight="1" x14ac:dyDescent="0.25">
      <c r="A122" s="99">
        <v>10</v>
      </c>
      <c r="B122" s="100" t="s">
        <v>121</v>
      </c>
      <c r="C122" s="117">
        <v>8479</v>
      </c>
      <c r="D122" s="117">
        <v>3968</v>
      </c>
      <c r="E122" s="117">
        <f t="shared" si="16"/>
        <v>-4511</v>
      </c>
      <c r="F122" s="98">
        <f t="shared" si="17"/>
        <v>-0.53202028541101543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162158</v>
      </c>
      <c r="D124" s="118">
        <f>SUM(D113:D123)</f>
        <v>154460</v>
      </c>
      <c r="E124" s="118">
        <f t="shared" si="16"/>
        <v>-7698</v>
      </c>
      <c r="F124" s="104">
        <f t="shared" si="17"/>
        <v>-4.7472218453606975E-2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54691</v>
      </c>
      <c r="D126" s="117">
        <v>56419</v>
      </c>
      <c r="E126" s="117">
        <f t="shared" ref="E126:E137" si="18">D126-C126</f>
        <v>1728</v>
      </c>
      <c r="F126" s="98">
        <f t="shared" ref="F126:F137" si="19">IF(C126=0,0,E126/C126)</f>
        <v>3.1595692161415952E-2</v>
      </c>
    </row>
    <row r="127" spans="1:6" ht="18" customHeight="1" x14ac:dyDescent="0.25">
      <c r="A127" s="99">
        <v>2</v>
      </c>
      <c r="B127" s="100" t="s">
        <v>113</v>
      </c>
      <c r="C127" s="117">
        <v>16471</v>
      </c>
      <c r="D127" s="117">
        <v>17630</v>
      </c>
      <c r="E127" s="117">
        <f t="shared" si="18"/>
        <v>1159</v>
      </c>
      <c r="F127" s="98">
        <f t="shared" si="19"/>
        <v>7.0366097990407384E-2</v>
      </c>
    </row>
    <row r="128" spans="1:6" ht="18" customHeight="1" x14ac:dyDescent="0.25">
      <c r="A128" s="99">
        <v>3</v>
      </c>
      <c r="B128" s="100" t="s">
        <v>114</v>
      </c>
      <c r="C128" s="117">
        <v>23087</v>
      </c>
      <c r="D128" s="117">
        <v>23235</v>
      </c>
      <c r="E128" s="117">
        <f t="shared" si="18"/>
        <v>148</v>
      </c>
      <c r="F128" s="98">
        <f t="shared" si="19"/>
        <v>6.4105340667908349E-3</v>
      </c>
    </row>
    <row r="129" spans="1:6" ht="18" customHeight="1" x14ac:dyDescent="0.25">
      <c r="A129" s="99">
        <v>4</v>
      </c>
      <c r="B129" s="100" t="s">
        <v>115</v>
      </c>
      <c r="C129" s="117">
        <v>54697</v>
      </c>
      <c r="D129" s="117">
        <v>56109</v>
      </c>
      <c r="E129" s="117">
        <f t="shared" si="18"/>
        <v>1412</v>
      </c>
      <c r="F129" s="98">
        <f t="shared" si="19"/>
        <v>2.5814944146845348E-2</v>
      </c>
    </row>
    <row r="130" spans="1:6" ht="18" customHeight="1" x14ac:dyDescent="0.25">
      <c r="A130" s="99">
        <v>5</v>
      </c>
      <c r="B130" s="100" t="s">
        <v>116</v>
      </c>
      <c r="C130" s="117">
        <v>1110</v>
      </c>
      <c r="D130" s="117">
        <v>1103</v>
      </c>
      <c r="E130" s="117">
        <f t="shared" si="18"/>
        <v>-7</v>
      </c>
      <c r="F130" s="98">
        <f t="shared" si="19"/>
        <v>-6.3063063063063061E-3</v>
      </c>
    </row>
    <row r="131" spans="1:6" ht="18" customHeight="1" x14ac:dyDescent="0.25">
      <c r="A131" s="99">
        <v>6</v>
      </c>
      <c r="B131" s="100" t="s">
        <v>117</v>
      </c>
      <c r="C131" s="117">
        <v>13297</v>
      </c>
      <c r="D131" s="117">
        <v>12686</v>
      </c>
      <c r="E131" s="117">
        <f t="shared" si="18"/>
        <v>-611</v>
      </c>
      <c r="F131" s="98">
        <f t="shared" si="19"/>
        <v>-4.5950214334060317E-2</v>
      </c>
    </row>
    <row r="132" spans="1:6" ht="18" customHeight="1" x14ac:dyDescent="0.25">
      <c r="A132" s="99">
        <v>7</v>
      </c>
      <c r="B132" s="100" t="s">
        <v>118</v>
      </c>
      <c r="C132" s="117">
        <v>109070</v>
      </c>
      <c r="D132" s="117">
        <v>101582</v>
      </c>
      <c r="E132" s="117">
        <f t="shared" si="18"/>
        <v>-7488</v>
      </c>
      <c r="F132" s="98">
        <f t="shared" si="19"/>
        <v>-6.8653158522050062E-2</v>
      </c>
    </row>
    <row r="133" spans="1:6" ht="18" customHeight="1" x14ac:dyDescent="0.25">
      <c r="A133" s="99">
        <v>8</v>
      </c>
      <c r="B133" s="100" t="s">
        <v>119</v>
      </c>
      <c r="C133" s="117">
        <v>2858</v>
      </c>
      <c r="D133" s="117">
        <v>2591</v>
      </c>
      <c r="E133" s="117">
        <f t="shared" si="18"/>
        <v>-267</v>
      </c>
      <c r="F133" s="98">
        <f t="shared" si="19"/>
        <v>-9.3421973407977602E-2</v>
      </c>
    </row>
    <row r="134" spans="1:6" ht="18" customHeight="1" x14ac:dyDescent="0.25">
      <c r="A134" s="99">
        <v>9</v>
      </c>
      <c r="B134" s="100" t="s">
        <v>120</v>
      </c>
      <c r="C134" s="117">
        <v>18677</v>
      </c>
      <c r="D134" s="117">
        <v>18220</v>
      </c>
      <c r="E134" s="117">
        <f t="shared" si="18"/>
        <v>-457</v>
      </c>
      <c r="F134" s="98">
        <f t="shared" si="19"/>
        <v>-2.4468597740536488E-2</v>
      </c>
    </row>
    <row r="135" spans="1:6" ht="18" customHeight="1" x14ac:dyDescent="0.25">
      <c r="A135" s="99">
        <v>10</v>
      </c>
      <c r="B135" s="100" t="s">
        <v>121</v>
      </c>
      <c r="C135" s="117">
        <v>21360</v>
      </c>
      <c r="D135" s="117">
        <v>22380</v>
      </c>
      <c r="E135" s="117">
        <f t="shared" si="18"/>
        <v>1020</v>
      </c>
      <c r="F135" s="98">
        <f t="shared" si="19"/>
        <v>4.7752808988764044E-2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315318</v>
      </c>
      <c r="D137" s="118">
        <f>SUM(D126:D136)</f>
        <v>311955</v>
      </c>
      <c r="E137" s="118">
        <f t="shared" si="18"/>
        <v>-3363</v>
      </c>
      <c r="F137" s="104">
        <f t="shared" si="19"/>
        <v>-1.0665423477251537E-2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30136460</v>
      </c>
      <c r="D142" s="97">
        <v>34985450</v>
      </c>
      <c r="E142" s="97">
        <f t="shared" ref="E142:E153" si="20">D142-C142</f>
        <v>4848990</v>
      </c>
      <c r="F142" s="98">
        <f t="shared" ref="F142:F153" si="21">IF(C142=0,0,E142/C142)</f>
        <v>0.16090111446400804</v>
      </c>
    </row>
    <row r="143" spans="1:6" ht="18" customHeight="1" x14ac:dyDescent="0.25">
      <c r="A143" s="99">
        <v>2</v>
      </c>
      <c r="B143" s="100" t="s">
        <v>113</v>
      </c>
      <c r="C143" s="97">
        <v>8780961</v>
      </c>
      <c r="D143" s="97">
        <v>10246911</v>
      </c>
      <c r="E143" s="97">
        <f t="shared" si="20"/>
        <v>1465950</v>
      </c>
      <c r="F143" s="98">
        <f t="shared" si="21"/>
        <v>0.16694641964586793</v>
      </c>
    </row>
    <row r="144" spans="1:6" ht="18" customHeight="1" x14ac:dyDescent="0.25">
      <c r="A144" s="99">
        <v>3</v>
      </c>
      <c r="B144" s="100" t="s">
        <v>114</v>
      </c>
      <c r="C144" s="97">
        <v>11499119</v>
      </c>
      <c r="D144" s="97">
        <v>13579540</v>
      </c>
      <c r="E144" s="97">
        <f t="shared" si="20"/>
        <v>2080421</v>
      </c>
      <c r="F144" s="98">
        <f t="shared" si="21"/>
        <v>0.18092003396086256</v>
      </c>
    </row>
    <row r="145" spans="1:6" ht="18" customHeight="1" x14ac:dyDescent="0.25">
      <c r="A145" s="99">
        <v>4</v>
      </c>
      <c r="B145" s="100" t="s">
        <v>115</v>
      </c>
      <c r="C145" s="97">
        <v>18917601</v>
      </c>
      <c r="D145" s="97">
        <v>21821973</v>
      </c>
      <c r="E145" s="97">
        <f t="shared" si="20"/>
        <v>2904372</v>
      </c>
      <c r="F145" s="98">
        <f t="shared" si="21"/>
        <v>0.15352750065930665</v>
      </c>
    </row>
    <row r="146" spans="1:6" ht="18" customHeight="1" x14ac:dyDescent="0.25">
      <c r="A146" s="99">
        <v>5</v>
      </c>
      <c r="B146" s="100" t="s">
        <v>116</v>
      </c>
      <c r="C146" s="97">
        <v>295248</v>
      </c>
      <c r="D146" s="97">
        <v>369579</v>
      </c>
      <c r="E146" s="97">
        <f t="shared" si="20"/>
        <v>74331</v>
      </c>
      <c r="F146" s="98">
        <f t="shared" si="21"/>
        <v>0.25175784425296699</v>
      </c>
    </row>
    <row r="147" spans="1:6" ht="18" customHeight="1" x14ac:dyDescent="0.25">
      <c r="A147" s="99">
        <v>6</v>
      </c>
      <c r="B147" s="100" t="s">
        <v>117</v>
      </c>
      <c r="C147" s="97">
        <v>10112656</v>
      </c>
      <c r="D147" s="97">
        <v>10074453</v>
      </c>
      <c r="E147" s="97">
        <f t="shared" si="20"/>
        <v>-38203</v>
      </c>
      <c r="F147" s="98">
        <f t="shared" si="21"/>
        <v>-3.777741475632119E-3</v>
      </c>
    </row>
    <row r="148" spans="1:6" ht="18" customHeight="1" x14ac:dyDescent="0.25">
      <c r="A148" s="99">
        <v>7</v>
      </c>
      <c r="B148" s="100" t="s">
        <v>118</v>
      </c>
      <c r="C148" s="97">
        <v>36686645</v>
      </c>
      <c r="D148" s="97">
        <v>41523462</v>
      </c>
      <c r="E148" s="97">
        <f t="shared" si="20"/>
        <v>4836817</v>
      </c>
      <c r="F148" s="98">
        <f t="shared" si="21"/>
        <v>0.13184135534879246</v>
      </c>
    </row>
    <row r="149" spans="1:6" ht="18" customHeight="1" x14ac:dyDescent="0.25">
      <c r="A149" s="99">
        <v>8</v>
      </c>
      <c r="B149" s="100" t="s">
        <v>119</v>
      </c>
      <c r="C149" s="97">
        <v>2504125</v>
      </c>
      <c r="D149" s="97">
        <v>2451110</v>
      </c>
      <c r="E149" s="97">
        <f t="shared" si="20"/>
        <v>-53015</v>
      </c>
      <c r="F149" s="98">
        <f t="shared" si="21"/>
        <v>-2.1171067738231918E-2</v>
      </c>
    </row>
    <row r="150" spans="1:6" ht="18" customHeight="1" x14ac:dyDescent="0.25">
      <c r="A150" s="99">
        <v>9</v>
      </c>
      <c r="B150" s="100" t="s">
        <v>120</v>
      </c>
      <c r="C150" s="97">
        <v>12512151</v>
      </c>
      <c r="D150" s="97">
        <v>12780404</v>
      </c>
      <c r="E150" s="97">
        <f t="shared" si="20"/>
        <v>268253</v>
      </c>
      <c r="F150" s="98">
        <f t="shared" si="21"/>
        <v>2.1439399188836517E-2</v>
      </c>
    </row>
    <row r="151" spans="1:6" ht="18" customHeight="1" x14ac:dyDescent="0.25">
      <c r="A151" s="99">
        <v>10</v>
      </c>
      <c r="B151" s="100" t="s">
        <v>121</v>
      </c>
      <c r="C151" s="97">
        <v>15517590</v>
      </c>
      <c r="D151" s="97">
        <v>19216962</v>
      </c>
      <c r="E151" s="97">
        <f t="shared" si="20"/>
        <v>3699372</v>
      </c>
      <c r="F151" s="98">
        <f t="shared" si="21"/>
        <v>0.2383986173110644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146962556</v>
      </c>
      <c r="D153" s="103">
        <f>SUM(D142:D152)</f>
        <v>167049844</v>
      </c>
      <c r="E153" s="103">
        <f t="shared" si="20"/>
        <v>20087288</v>
      </c>
      <c r="F153" s="104">
        <f t="shared" si="21"/>
        <v>0.13668303373819926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5986234</v>
      </c>
      <c r="D155" s="97">
        <v>6477575</v>
      </c>
      <c r="E155" s="97">
        <f t="shared" ref="E155:E166" si="22">D155-C155</f>
        <v>491341</v>
      </c>
      <c r="F155" s="98">
        <f t="shared" ref="F155:F166" si="23">IF(C155=0,0,E155/C155)</f>
        <v>8.2078482064015537E-2</v>
      </c>
    </row>
    <row r="156" spans="1:6" ht="18" customHeight="1" x14ac:dyDescent="0.25">
      <c r="A156" s="99">
        <v>2</v>
      </c>
      <c r="B156" s="100" t="s">
        <v>113</v>
      </c>
      <c r="C156" s="97">
        <v>2846762</v>
      </c>
      <c r="D156" s="97">
        <v>1997314</v>
      </c>
      <c r="E156" s="97">
        <f t="shared" si="22"/>
        <v>-849448</v>
      </c>
      <c r="F156" s="98">
        <f t="shared" si="23"/>
        <v>-0.29839094381616726</v>
      </c>
    </row>
    <row r="157" spans="1:6" ht="18" customHeight="1" x14ac:dyDescent="0.25">
      <c r="A157" s="99">
        <v>3</v>
      </c>
      <c r="B157" s="100" t="s">
        <v>114</v>
      </c>
      <c r="C157" s="97">
        <v>2215650</v>
      </c>
      <c r="D157" s="97">
        <v>2332818</v>
      </c>
      <c r="E157" s="97">
        <f t="shared" si="22"/>
        <v>117168</v>
      </c>
      <c r="F157" s="98">
        <f t="shared" si="23"/>
        <v>5.2881998510595087E-2</v>
      </c>
    </row>
    <row r="158" spans="1:6" ht="18" customHeight="1" x14ac:dyDescent="0.25">
      <c r="A158" s="99">
        <v>4</v>
      </c>
      <c r="B158" s="100" t="s">
        <v>115</v>
      </c>
      <c r="C158" s="97">
        <v>4111906</v>
      </c>
      <c r="D158" s="97">
        <v>4292759</v>
      </c>
      <c r="E158" s="97">
        <f t="shared" si="22"/>
        <v>180853</v>
      </c>
      <c r="F158" s="98">
        <f t="shared" si="23"/>
        <v>4.3982766143000354E-2</v>
      </c>
    </row>
    <row r="159" spans="1:6" ht="18" customHeight="1" x14ac:dyDescent="0.25">
      <c r="A159" s="99">
        <v>5</v>
      </c>
      <c r="B159" s="100" t="s">
        <v>116</v>
      </c>
      <c r="C159" s="97">
        <v>73255</v>
      </c>
      <c r="D159" s="97">
        <v>91223</v>
      </c>
      <c r="E159" s="97">
        <f t="shared" si="22"/>
        <v>17968</v>
      </c>
      <c r="F159" s="98">
        <f t="shared" si="23"/>
        <v>0.24528018565285645</v>
      </c>
    </row>
    <row r="160" spans="1:6" ht="18" customHeight="1" x14ac:dyDescent="0.25">
      <c r="A160" s="99">
        <v>6</v>
      </c>
      <c r="B160" s="100" t="s">
        <v>117</v>
      </c>
      <c r="C160" s="97">
        <v>3271489</v>
      </c>
      <c r="D160" s="97">
        <v>3084015</v>
      </c>
      <c r="E160" s="97">
        <f t="shared" si="22"/>
        <v>-187474</v>
      </c>
      <c r="F160" s="98">
        <f t="shared" si="23"/>
        <v>-5.7305404358688049E-2</v>
      </c>
    </row>
    <row r="161" spans="1:6" ht="18" customHeight="1" x14ac:dyDescent="0.25">
      <c r="A161" s="99">
        <v>7</v>
      </c>
      <c r="B161" s="100" t="s">
        <v>118</v>
      </c>
      <c r="C161" s="97">
        <v>11897641</v>
      </c>
      <c r="D161" s="97">
        <v>13572272</v>
      </c>
      <c r="E161" s="97">
        <f t="shared" si="22"/>
        <v>1674631</v>
      </c>
      <c r="F161" s="98">
        <f t="shared" si="23"/>
        <v>0.14075319636892725</v>
      </c>
    </row>
    <row r="162" spans="1:6" ht="18" customHeight="1" x14ac:dyDescent="0.25">
      <c r="A162" s="99">
        <v>8</v>
      </c>
      <c r="B162" s="100" t="s">
        <v>119</v>
      </c>
      <c r="C162" s="97">
        <v>1739398</v>
      </c>
      <c r="D162" s="97">
        <v>1725333</v>
      </c>
      <c r="E162" s="97">
        <f t="shared" si="22"/>
        <v>-14065</v>
      </c>
      <c r="F162" s="98">
        <f t="shared" si="23"/>
        <v>-8.0861309487535345E-3</v>
      </c>
    </row>
    <row r="163" spans="1:6" ht="18" customHeight="1" x14ac:dyDescent="0.25">
      <c r="A163" s="99">
        <v>9</v>
      </c>
      <c r="B163" s="100" t="s">
        <v>120</v>
      </c>
      <c r="C163" s="97">
        <v>190784</v>
      </c>
      <c r="D163" s="97">
        <v>180220</v>
      </c>
      <c r="E163" s="97">
        <f t="shared" si="22"/>
        <v>-10564</v>
      </c>
      <c r="F163" s="98">
        <f t="shared" si="23"/>
        <v>-5.5371519624287151E-2</v>
      </c>
    </row>
    <row r="164" spans="1:6" ht="18" customHeight="1" x14ac:dyDescent="0.25">
      <c r="A164" s="99">
        <v>10</v>
      </c>
      <c r="B164" s="100" t="s">
        <v>121</v>
      </c>
      <c r="C164" s="97">
        <v>1413666</v>
      </c>
      <c r="D164" s="97">
        <v>2438622</v>
      </c>
      <c r="E164" s="97">
        <f t="shared" si="22"/>
        <v>1024956</v>
      </c>
      <c r="F164" s="98">
        <f t="shared" si="23"/>
        <v>0.72503406037918439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33746785</v>
      </c>
      <c r="D166" s="103">
        <f>SUM(D155:D165)</f>
        <v>36192151</v>
      </c>
      <c r="E166" s="103">
        <f t="shared" si="22"/>
        <v>2445366</v>
      </c>
      <c r="F166" s="104">
        <f t="shared" si="23"/>
        <v>7.2462191583583441E-2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8113</v>
      </c>
      <c r="D168" s="117">
        <v>8353</v>
      </c>
      <c r="E168" s="117">
        <f t="shared" ref="E168:E179" si="24">D168-C168</f>
        <v>240</v>
      </c>
      <c r="F168" s="98">
        <f t="shared" ref="F168:F179" si="25">IF(C168=0,0,E168/C168)</f>
        <v>2.9582152101565388E-2</v>
      </c>
    </row>
    <row r="169" spans="1:6" ht="18" customHeight="1" x14ac:dyDescent="0.25">
      <c r="A169" s="99">
        <v>2</v>
      </c>
      <c r="B169" s="100" t="s">
        <v>113</v>
      </c>
      <c r="C169" s="117">
        <v>2387</v>
      </c>
      <c r="D169" s="117">
        <v>2411</v>
      </c>
      <c r="E169" s="117">
        <f t="shared" si="24"/>
        <v>24</v>
      </c>
      <c r="F169" s="98">
        <f t="shared" si="25"/>
        <v>1.0054461667364893E-2</v>
      </c>
    </row>
    <row r="170" spans="1:6" ht="18" customHeight="1" x14ac:dyDescent="0.25">
      <c r="A170" s="99">
        <v>3</v>
      </c>
      <c r="B170" s="100" t="s">
        <v>114</v>
      </c>
      <c r="C170" s="117">
        <v>4400</v>
      </c>
      <c r="D170" s="117">
        <v>4776</v>
      </c>
      <c r="E170" s="117">
        <f t="shared" si="24"/>
        <v>376</v>
      </c>
      <c r="F170" s="98">
        <f t="shared" si="25"/>
        <v>8.545454545454545E-2</v>
      </c>
    </row>
    <row r="171" spans="1:6" ht="18" customHeight="1" x14ac:dyDescent="0.25">
      <c r="A171" s="99">
        <v>4</v>
      </c>
      <c r="B171" s="100" t="s">
        <v>115</v>
      </c>
      <c r="C171" s="117">
        <v>10274</v>
      </c>
      <c r="D171" s="117">
        <v>10848</v>
      </c>
      <c r="E171" s="117">
        <f t="shared" si="24"/>
        <v>574</v>
      </c>
      <c r="F171" s="98">
        <f t="shared" si="25"/>
        <v>5.5869184348841736E-2</v>
      </c>
    </row>
    <row r="172" spans="1:6" ht="18" customHeight="1" x14ac:dyDescent="0.25">
      <c r="A172" s="99">
        <v>5</v>
      </c>
      <c r="B172" s="100" t="s">
        <v>116</v>
      </c>
      <c r="C172" s="117">
        <v>109</v>
      </c>
      <c r="D172" s="117">
        <v>145</v>
      </c>
      <c r="E172" s="117">
        <f t="shared" si="24"/>
        <v>36</v>
      </c>
      <c r="F172" s="98">
        <f t="shared" si="25"/>
        <v>0.33027522935779818</v>
      </c>
    </row>
    <row r="173" spans="1:6" ht="18" customHeight="1" x14ac:dyDescent="0.25">
      <c r="A173" s="99">
        <v>6</v>
      </c>
      <c r="B173" s="100" t="s">
        <v>117</v>
      </c>
      <c r="C173" s="117">
        <v>3012</v>
      </c>
      <c r="D173" s="117">
        <v>2620</v>
      </c>
      <c r="E173" s="117">
        <f t="shared" si="24"/>
        <v>-392</v>
      </c>
      <c r="F173" s="98">
        <f t="shared" si="25"/>
        <v>-0.13014608233731739</v>
      </c>
    </row>
    <row r="174" spans="1:6" ht="18" customHeight="1" x14ac:dyDescent="0.25">
      <c r="A174" s="99">
        <v>7</v>
      </c>
      <c r="B174" s="100" t="s">
        <v>118</v>
      </c>
      <c r="C174" s="117">
        <v>11672</v>
      </c>
      <c r="D174" s="117">
        <v>11279</v>
      </c>
      <c r="E174" s="117">
        <f t="shared" si="24"/>
        <v>-393</v>
      </c>
      <c r="F174" s="98">
        <f t="shared" si="25"/>
        <v>-3.3670322138450996E-2</v>
      </c>
    </row>
    <row r="175" spans="1:6" ht="18" customHeight="1" x14ac:dyDescent="0.25">
      <c r="A175" s="99">
        <v>8</v>
      </c>
      <c r="B175" s="100" t="s">
        <v>119</v>
      </c>
      <c r="C175" s="117">
        <v>1313</v>
      </c>
      <c r="D175" s="117">
        <v>1206</v>
      </c>
      <c r="E175" s="117">
        <f t="shared" si="24"/>
        <v>-107</v>
      </c>
      <c r="F175" s="98">
        <f t="shared" si="25"/>
        <v>-8.149276466108149E-2</v>
      </c>
    </row>
    <row r="176" spans="1:6" ht="18" customHeight="1" x14ac:dyDescent="0.25">
      <c r="A176" s="99">
        <v>9</v>
      </c>
      <c r="B176" s="100" t="s">
        <v>120</v>
      </c>
      <c r="C176" s="117">
        <v>5883</v>
      </c>
      <c r="D176" s="117">
        <v>5541</v>
      </c>
      <c r="E176" s="117">
        <f t="shared" si="24"/>
        <v>-342</v>
      </c>
      <c r="F176" s="98">
        <f t="shared" si="25"/>
        <v>-5.8133605303416623E-2</v>
      </c>
    </row>
    <row r="177" spans="1:6" ht="18" customHeight="1" x14ac:dyDescent="0.25">
      <c r="A177" s="99">
        <v>10</v>
      </c>
      <c r="B177" s="100" t="s">
        <v>121</v>
      </c>
      <c r="C177" s="117">
        <v>6432</v>
      </c>
      <c r="D177" s="117">
        <v>7251</v>
      </c>
      <c r="E177" s="117">
        <f t="shared" si="24"/>
        <v>819</v>
      </c>
      <c r="F177" s="98">
        <f t="shared" si="25"/>
        <v>0.12733208955223882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53595</v>
      </c>
      <c r="D179" s="118">
        <f>SUM(D168:D178)</f>
        <v>54430</v>
      </c>
      <c r="E179" s="118">
        <f t="shared" si="24"/>
        <v>835</v>
      </c>
      <c r="F179" s="104">
        <f t="shared" si="25"/>
        <v>1.5579811549584849E-2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scale="65" fitToHeight="2" orientation="portrait" horizontalDpi="1200" verticalDpi="1200" r:id="rId1"/>
  <headerFooter>
    <oddHeader>&amp;LOFFICE OF HEALTH CARE ACCESS&amp;CTWELVE MONTHS ACTUAL FILING&amp;RSAINT FRANCIS HOSPITAL AND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99917154</v>
      </c>
      <c r="D15" s="146">
        <v>100307204</v>
      </c>
      <c r="E15" s="146">
        <f>+D15-C15</f>
        <v>390050</v>
      </c>
      <c r="F15" s="150">
        <f>IF(C15=0,0,E15/C15)</f>
        <v>3.9037340875421652E-3</v>
      </c>
    </row>
    <row r="16" spans="1:7" ht="15" customHeight="1" x14ac:dyDescent="0.2">
      <c r="A16" s="141">
        <v>2</v>
      </c>
      <c r="B16" s="149" t="s">
        <v>158</v>
      </c>
      <c r="C16" s="146">
        <v>13856651</v>
      </c>
      <c r="D16" s="146">
        <v>12923717</v>
      </c>
      <c r="E16" s="146">
        <f>+D16-C16</f>
        <v>-932934</v>
      </c>
      <c r="F16" s="150">
        <f>IF(C16=0,0,E16/C16)</f>
        <v>-6.7327523800664382E-2</v>
      </c>
    </row>
    <row r="17" spans="1:7" ht="15" customHeight="1" x14ac:dyDescent="0.2">
      <c r="A17" s="141">
        <v>3</v>
      </c>
      <c r="B17" s="149" t="s">
        <v>159</v>
      </c>
      <c r="C17" s="146">
        <v>119253156</v>
      </c>
      <c r="D17" s="146">
        <v>124767276</v>
      </c>
      <c r="E17" s="146">
        <f>+D17-C17</f>
        <v>5514120</v>
      </c>
      <c r="F17" s="150">
        <f>IF(C17=0,0,E17/C17)</f>
        <v>4.6238776271883324E-2</v>
      </c>
    </row>
    <row r="18" spans="1:7" ht="15.75" customHeight="1" x14ac:dyDescent="0.25">
      <c r="A18" s="141"/>
      <c r="B18" s="151" t="s">
        <v>160</v>
      </c>
      <c r="C18" s="147">
        <f>SUM(C15:C17)</f>
        <v>233026961</v>
      </c>
      <c r="D18" s="147">
        <f>SUM(D15:D17)</f>
        <v>237998197</v>
      </c>
      <c r="E18" s="147">
        <f>+D18-C18</f>
        <v>4971236</v>
      </c>
      <c r="F18" s="148">
        <f>IF(C18=0,0,E18/C18)</f>
        <v>2.1333308294742771E-2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24062802</v>
      </c>
      <c r="D21" s="146">
        <v>26305917</v>
      </c>
      <c r="E21" s="146">
        <f>+D21-C21</f>
        <v>2243115</v>
      </c>
      <c r="F21" s="150">
        <f>IF(C21=0,0,E21/C21)</f>
        <v>9.3219193674951073E-2</v>
      </c>
    </row>
    <row r="22" spans="1:7" ht="15" customHeight="1" x14ac:dyDescent="0.2">
      <c r="A22" s="141">
        <v>2</v>
      </c>
      <c r="B22" s="149" t="s">
        <v>163</v>
      </c>
      <c r="C22" s="146">
        <v>3337063</v>
      </c>
      <c r="D22" s="146">
        <v>3389290</v>
      </c>
      <c r="E22" s="146">
        <f>+D22-C22</f>
        <v>52227</v>
      </c>
      <c r="F22" s="150">
        <f>IF(C22=0,0,E22/C22)</f>
        <v>1.5650588556464173E-2</v>
      </c>
    </row>
    <row r="23" spans="1:7" ht="15" customHeight="1" x14ac:dyDescent="0.2">
      <c r="A23" s="141">
        <v>3</v>
      </c>
      <c r="B23" s="149" t="s">
        <v>164</v>
      </c>
      <c r="C23" s="146">
        <v>28719444</v>
      </c>
      <c r="D23" s="146">
        <v>32720657</v>
      </c>
      <c r="E23" s="146">
        <f>+D23-C23</f>
        <v>4001213</v>
      </c>
      <c r="F23" s="150">
        <f>IF(C23=0,0,E23/C23)</f>
        <v>0.13932069854834236</v>
      </c>
    </row>
    <row r="24" spans="1:7" ht="15.75" customHeight="1" x14ac:dyDescent="0.25">
      <c r="A24" s="141"/>
      <c r="B24" s="151" t="s">
        <v>165</v>
      </c>
      <c r="C24" s="147">
        <f>SUM(C21:C23)</f>
        <v>56119309</v>
      </c>
      <c r="D24" s="147">
        <f>SUM(D21:D23)</f>
        <v>62415864</v>
      </c>
      <c r="E24" s="147">
        <f>+D24-C24</f>
        <v>6296555</v>
      </c>
      <c r="F24" s="148">
        <f>IF(C24=0,0,E24/C24)</f>
        <v>0.11219943923400767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2285282</v>
      </c>
      <c r="D27" s="146">
        <v>1630651</v>
      </c>
      <c r="E27" s="146">
        <f>+D27-C27</f>
        <v>-654631</v>
      </c>
      <c r="F27" s="150">
        <f>IF(C27=0,0,E27/C27)</f>
        <v>-0.28645523834695236</v>
      </c>
    </row>
    <row r="28" spans="1:7" ht="15" customHeight="1" x14ac:dyDescent="0.2">
      <c r="A28" s="141">
        <v>2</v>
      </c>
      <c r="B28" s="149" t="s">
        <v>168</v>
      </c>
      <c r="C28" s="146">
        <v>34737325</v>
      </c>
      <c r="D28" s="146">
        <v>36936708</v>
      </c>
      <c r="E28" s="146">
        <f>+D28-C28</f>
        <v>2199383</v>
      </c>
      <c r="F28" s="150">
        <f>IF(C28=0,0,E28/C28)</f>
        <v>6.3314691041984381E-2</v>
      </c>
    </row>
    <row r="29" spans="1:7" ht="15" customHeight="1" x14ac:dyDescent="0.2">
      <c r="A29" s="141">
        <v>3</v>
      </c>
      <c r="B29" s="149" t="s">
        <v>169</v>
      </c>
      <c r="C29" s="146">
        <v>10927763</v>
      </c>
      <c r="D29" s="146">
        <v>9881598</v>
      </c>
      <c r="E29" s="146">
        <f>+D29-C29</f>
        <v>-1046165</v>
      </c>
      <c r="F29" s="150">
        <f>IF(C29=0,0,E29/C29)</f>
        <v>-9.5734598197270565E-2</v>
      </c>
    </row>
    <row r="30" spans="1:7" ht="15.75" customHeight="1" x14ac:dyDescent="0.25">
      <c r="A30" s="141"/>
      <c r="B30" s="151" t="s">
        <v>170</v>
      </c>
      <c r="C30" s="147">
        <f>SUM(C27:C29)</f>
        <v>47950370</v>
      </c>
      <c r="D30" s="147">
        <f>SUM(D27:D29)</f>
        <v>48448957</v>
      </c>
      <c r="E30" s="147">
        <f>+D30-C30</f>
        <v>498587</v>
      </c>
      <c r="F30" s="148">
        <f>IF(C30=0,0,E30/C30)</f>
        <v>1.039798024499081E-2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73634174</v>
      </c>
      <c r="D33" s="146">
        <v>75133713</v>
      </c>
      <c r="E33" s="146">
        <f>+D33-C33</f>
        <v>1499539</v>
      </c>
      <c r="F33" s="150">
        <f>IF(C33=0,0,E33/C33)</f>
        <v>2.0364715437698806E-2</v>
      </c>
    </row>
    <row r="34" spans="1:7" ht="15" customHeight="1" x14ac:dyDescent="0.2">
      <c r="A34" s="141">
        <v>2</v>
      </c>
      <c r="B34" s="149" t="s">
        <v>174</v>
      </c>
      <c r="C34" s="146">
        <v>30087859</v>
      </c>
      <c r="D34" s="146">
        <v>30384287</v>
      </c>
      <c r="E34" s="146">
        <f>+D34-C34</f>
        <v>296428</v>
      </c>
      <c r="F34" s="150">
        <f>IF(C34=0,0,E34/C34)</f>
        <v>9.8520802028485982E-3</v>
      </c>
    </row>
    <row r="35" spans="1:7" ht="15.75" customHeight="1" x14ac:dyDescent="0.25">
      <c r="A35" s="141"/>
      <c r="B35" s="151" t="s">
        <v>175</v>
      </c>
      <c r="C35" s="147">
        <f>SUM(C33:C34)</f>
        <v>103722033</v>
      </c>
      <c r="D35" s="147">
        <f>SUM(D33:D34)</f>
        <v>105518000</v>
      </c>
      <c r="E35" s="147">
        <f>+D35-C35</f>
        <v>1795967</v>
      </c>
      <c r="F35" s="148">
        <f>IF(C35=0,0,E35/C35)</f>
        <v>1.7315192809612592E-2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8220552</v>
      </c>
      <c r="D38" s="146">
        <v>8200037</v>
      </c>
      <c r="E38" s="146">
        <f>+D38-C38</f>
        <v>-20515</v>
      </c>
      <c r="F38" s="150">
        <f>IF(C38=0,0,E38/C38)</f>
        <v>-2.4955745064321713E-3</v>
      </c>
    </row>
    <row r="39" spans="1:7" ht="15" customHeight="1" x14ac:dyDescent="0.2">
      <c r="A39" s="141">
        <v>2</v>
      </c>
      <c r="B39" s="149" t="s">
        <v>179</v>
      </c>
      <c r="C39" s="146">
        <v>15898022</v>
      </c>
      <c r="D39" s="146">
        <v>16122535</v>
      </c>
      <c r="E39" s="146">
        <f>+D39-C39</f>
        <v>224513</v>
      </c>
      <c r="F39" s="150">
        <f>IF(C39=0,0,E39/C39)</f>
        <v>1.4122071286604082E-2</v>
      </c>
    </row>
    <row r="40" spans="1:7" ht="15" customHeight="1" x14ac:dyDescent="0.2">
      <c r="A40" s="141">
        <v>3</v>
      </c>
      <c r="B40" s="149" t="s">
        <v>180</v>
      </c>
      <c r="C40" s="146">
        <v>371933</v>
      </c>
      <c r="D40" s="146">
        <v>916632</v>
      </c>
      <c r="E40" s="146">
        <f>+D40-C40</f>
        <v>544699</v>
      </c>
      <c r="F40" s="150">
        <f>IF(C40=0,0,E40/C40)</f>
        <v>1.4645083926406099</v>
      </c>
    </row>
    <row r="41" spans="1:7" ht="15.75" customHeight="1" x14ac:dyDescent="0.25">
      <c r="A41" s="141"/>
      <c r="B41" s="151" t="s">
        <v>181</v>
      </c>
      <c r="C41" s="147">
        <f>SUM(C38:C40)</f>
        <v>24490507</v>
      </c>
      <c r="D41" s="147">
        <f>SUM(D38:D40)</f>
        <v>25239204</v>
      </c>
      <c r="E41" s="147">
        <f>+D41-C41</f>
        <v>748697</v>
      </c>
      <c r="F41" s="148">
        <f>IF(C41=0,0,E41/C41)</f>
        <v>3.0570906514920251E-2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21328662</v>
      </c>
      <c r="D44" s="146">
        <v>18896554</v>
      </c>
      <c r="E44" s="146">
        <f>+D44-C44</f>
        <v>-2432108</v>
      </c>
      <c r="F44" s="150">
        <f>IF(C44=0,0,E44/C44)</f>
        <v>-0.11403003151346297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7207306</v>
      </c>
      <c r="D47" s="146">
        <v>8911665</v>
      </c>
      <c r="E47" s="146">
        <f>+D47-C47</f>
        <v>1704359</v>
      </c>
      <c r="F47" s="150">
        <f>IF(C47=0,0,E47/C47)</f>
        <v>0.23647656974742018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6799761</v>
      </c>
      <c r="D50" s="146">
        <v>8034177</v>
      </c>
      <c r="E50" s="146">
        <f>+D50-C50</f>
        <v>1234416</v>
      </c>
      <c r="F50" s="150">
        <f>IF(C50=0,0,E50/C50)</f>
        <v>0.18153814523775175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372435</v>
      </c>
      <c r="D53" s="146">
        <v>641938</v>
      </c>
      <c r="E53" s="146">
        <f t="shared" ref="E53:E59" si="0">+D53-C53</f>
        <v>269503</v>
      </c>
      <c r="F53" s="150">
        <f t="shared" ref="F53:F59" si="1">IF(C53=0,0,E53/C53)</f>
        <v>0.72362425658168539</v>
      </c>
    </row>
    <row r="54" spans="1:7" ht="15" customHeight="1" x14ac:dyDescent="0.2">
      <c r="A54" s="141">
        <v>2</v>
      </c>
      <c r="B54" s="149" t="s">
        <v>193</v>
      </c>
      <c r="C54" s="146">
        <v>3637128</v>
      </c>
      <c r="D54" s="146">
        <v>2837901</v>
      </c>
      <c r="E54" s="146">
        <f t="shared" si="0"/>
        <v>-799227</v>
      </c>
      <c r="F54" s="150">
        <f t="shared" si="1"/>
        <v>-0.21974123539232054</v>
      </c>
    </row>
    <row r="55" spans="1:7" ht="15" customHeight="1" x14ac:dyDescent="0.2">
      <c r="A55" s="141">
        <v>3</v>
      </c>
      <c r="B55" s="149" t="s">
        <v>194</v>
      </c>
      <c r="C55" s="146">
        <v>26127</v>
      </c>
      <c r="D55" s="146">
        <v>28170</v>
      </c>
      <c r="E55" s="146">
        <f t="shared" si="0"/>
        <v>2043</v>
      </c>
      <c r="F55" s="150">
        <f t="shared" si="1"/>
        <v>7.8194970719944884E-2</v>
      </c>
    </row>
    <row r="56" spans="1:7" ht="15" customHeight="1" x14ac:dyDescent="0.2">
      <c r="A56" s="141">
        <v>4</v>
      </c>
      <c r="B56" s="149" t="s">
        <v>195</v>
      </c>
      <c r="C56" s="146">
        <v>6538475</v>
      </c>
      <c r="D56" s="146">
        <v>6476640</v>
      </c>
      <c r="E56" s="146">
        <f t="shared" si="0"/>
        <v>-61835</v>
      </c>
      <c r="F56" s="150">
        <f t="shared" si="1"/>
        <v>-9.4570981765625776E-3</v>
      </c>
    </row>
    <row r="57" spans="1:7" ht="15" customHeight="1" x14ac:dyDescent="0.2">
      <c r="A57" s="141">
        <v>5</v>
      </c>
      <c r="B57" s="149" t="s">
        <v>196</v>
      </c>
      <c r="C57" s="146">
        <v>1522639</v>
      </c>
      <c r="D57" s="146">
        <v>1409126</v>
      </c>
      <c r="E57" s="146">
        <f t="shared" si="0"/>
        <v>-113513</v>
      </c>
      <c r="F57" s="150">
        <f t="shared" si="1"/>
        <v>-7.4550172430891362E-2</v>
      </c>
    </row>
    <row r="58" spans="1:7" ht="15" customHeight="1" x14ac:dyDescent="0.2">
      <c r="A58" s="141">
        <v>6</v>
      </c>
      <c r="B58" s="149" t="s">
        <v>197</v>
      </c>
      <c r="C58" s="146">
        <v>73269</v>
      </c>
      <c r="D58" s="146">
        <v>52166</v>
      </c>
      <c r="E58" s="146">
        <f t="shared" si="0"/>
        <v>-21103</v>
      </c>
      <c r="F58" s="150">
        <f t="shared" si="1"/>
        <v>-0.28802085465885979</v>
      </c>
    </row>
    <row r="59" spans="1:7" ht="15.75" customHeight="1" x14ac:dyDescent="0.25">
      <c r="A59" s="141"/>
      <c r="B59" s="151" t="s">
        <v>198</v>
      </c>
      <c r="C59" s="147">
        <f>SUM(C53:C58)</f>
        <v>12170073</v>
      </c>
      <c r="D59" s="147">
        <f>SUM(D53:D58)</f>
        <v>11445941</v>
      </c>
      <c r="E59" s="147">
        <f t="shared" si="0"/>
        <v>-724132</v>
      </c>
      <c r="F59" s="148">
        <f t="shared" si="1"/>
        <v>-5.9501039969111116E-2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310148</v>
      </c>
      <c r="D62" s="146">
        <v>361919</v>
      </c>
      <c r="E62" s="146">
        <f t="shared" ref="E62:E78" si="2">+D62-C62</f>
        <v>51771</v>
      </c>
      <c r="F62" s="150">
        <f t="shared" ref="F62:F78" si="3">IF(C62=0,0,E62/C62)</f>
        <v>0.16692353328088524</v>
      </c>
    </row>
    <row r="63" spans="1:7" ht="15" customHeight="1" x14ac:dyDescent="0.2">
      <c r="A63" s="141">
        <v>2</v>
      </c>
      <c r="B63" s="149" t="s">
        <v>202</v>
      </c>
      <c r="C63" s="146">
        <v>3165196</v>
      </c>
      <c r="D63" s="146">
        <v>2672698</v>
      </c>
      <c r="E63" s="146">
        <f t="shared" si="2"/>
        <v>-492498</v>
      </c>
      <c r="F63" s="150">
        <f t="shared" si="3"/>
        <v>-0.15559794717293968</v>
      </c>
    </row>
    <row r="64" spans="1:7" ht="15" customHeight="1" x14ac:dyDescent="0.2">
      <c r="A64" s="141">
        <v>3</v>
      </c>
      <c r="B64" s="149" t="s">
        <v>203</v>
      </c>
      <c r="C64" s="146">
        <v>6662617</v>
      </c>
      <c r="D64" s="146">
        <v>7542791</v>
      </c>
      <c r="E64" s="146">
        <f t="shared" si="2"/>
        <v>880174</v>
      </c>
      <c r="F64" s="150">
        <f t="shared" si="3"/>
        <v>0.13210634800109328</v>
      </c>
    </row>
    <row r="65" spans="1:7" ht="15" customHeight="1" x14ac:dyDescent="0.2">
      <c r="A65" s="141">
        <v>4</v>
      </c>
      <c r="B65" s="149" t="s">
        <v>204</v>
      </c>
      <c r="C65" s="146">
        <v>1656739</v>
      </c>
      <c r="D65" s="146">
        <v>1801623</v>
      </c>
      <c r="E65" s="146">
        <f t="shared" si="2"/>
        <v>144884</v>
      </c>
      <c r="F65" s="150">
        <f t="shared" si="3"/>
        <v>8.7451312487965824E-2</v>
      </c>
    </row>
    <row r="66" spans="1:7" ht="15" customHeight="1" x14ac:dyDescent="0.2">
      <c r="A66" s="141">
        <v>5</v>
      </c>
      <c r="B66" s="149" t="s">
        <v>205</v>
      </c>
      <c r="C66" s="146">
        <v>2509566</v>
      </c>
      <c r="D66" s="146">
        <v>2921081</v>
      </c>
      <c r="E66" s="146">
        <f t="shared" si="2"/>
        <v>411515</v>
      </c>
      <c r="F66" s="150">
        <f t="shared" si="3"/>
        <v>0.16397855246684087</v>
      </c>
    </row>
    <row r="67" spans="1:7" ht="15" customHeight="1" x14ac:dyDescent="0.2">
      <c r="A67" s="141">
        <v>6</v>
      </c>
      <c r="B67" s="149" t="s">
        <v>206</v>
      </c>
      <c r="C67" s="146">
        <v>2473436</v>
      </c>
      <c r="D67" s="146">
        <v>2867098</v>
      </c>
      <c r="E67" s="146">
        <f t="shared" si="2"/>
        <v>393662</v>
      </c>
      <c r="F67" s="150">
        <f t="shared" si="3"/>
        <v>0.15915592722027172</v>
      </c>
    </row>
    <row r="68" spans="1:7" ht="15" customHeight="1" x14ac:dyDescent="0.2">
      <c r="A68" s="141">
        <v>7</v>
      </c>
      <c r="B68" s="149" t="s">
        <v>207</v>
      </c>
      <c r="C68" s="146">
        <v>9826119</v>
      </c>
      <c r="D68" s="146">
        <v>12185631</v>
      </c>
      <c r="E68" s="146">
        <f t="shared" si="2"/>
        <v>2359512</v>
      </c>
      <c r="F68" s="150">
        <f t="shared" si="3"/>
        <v>0.24012654436609204</v>
      </c>
    </row>
    <row r="69" spans="1:7" ht="15" customHeight="1" x14ac:dyDescent="0.2">
      <c r="A69" s="141">
        <v>8</v>
      </c>
      <c r="B69" s="149" t="s">
        <v>208</v>
      </c>
      <c r="C69" s="146">
        <v>436263</v>
      </c>
      <c r="D69" s="146">
        <v>1038298</v>
      </c>
      <c r="E69" s="146">
        <f t="shared" si="2"/>
        <v>602035</v>
      </c>
      <c r="F69" s="150">
        <f t="shared" si="3"/>
        <v>1.3799817999692845</v>
      </c>
    </row>
    <row r="70" spans="1:7" ht="15" customHeight="1" x14ac:dyDescent="0.2">
      <c r="A70" s="141">
        <v>9</v>
      </c>
      <c r="B70" s="149" t="s">
        <v>209</v>
      </c>
      <c r="C70" s="146">
        <v>974846</v>
      </c>
      <c r="D70" s="146">
        <v>864685</v>
      </c>
      <c r="E70" s="146">
        <f t="shared" si="2"/>
        <v>-110161</v>
      </c>
      <c r="F70" s="150">
        <f t="shared" si="3"/>
        <v>-0.11300348978197582</v>
      </c>
    </row>
    <row r="71" spans="1:7" ht="15" customHeight="1" x14ac:dyDescent="0.2">
      <c r="A71" s="141">
        <v>10</v>
      </c>
      <c r="B71" s="149" t="s">
        <v>210</v>
      </c>
      <c r="C71" s="146">
        <v>444664</v>
      </c>
      <c r="D71" s="146">
        <v>327517</v>
      </c>
      <c r="E71" s="146">
        <f t="shared" si="2"/>
        <v>-117147</v>
      </c>
      <c r="F71" s="150">
        <f t="shared" si="3"/>
        <v>-0.26345060540093196</v>
      </c>
    </row>
    <row r="72" spans="1:7" ht="15" customHeight="1" x14ac:dyDescent="0.2">
      <c r="A72" s="141">
        <v>11</v>
      </c>
      <c r="B72" s="149" t="s">
        <v>211</v>
      </c>
      <c r="C72" s="146">
        <v>1001596</v>
      </c>
      <c r="D72" s="146">
        <v>1135505</v>
      </c>
      <c r="E72" s="146">
        <f t="shared" si="2"/>
        <v>133909</v>
      </c>
      <c r="F72" s="150">
        <f t="shared" si="3"/>
        <v>0.13369562178762695</v>
      </c>
    </row>
    <row r="73" spans="1:7" ht="15" customHeight="1" x14ac:dyDescent="0.2">
      <c r="A73" s="141">
        <v>12</v>
      </c>
      <c r="B73" s="149" t="s">
        <v>212</v>
      </c>
      <c r="C73" s="146">
        <v>17775096</v>
      </c>
      <c r="D73" s="146">
        <v>17731847</v>
      </c>
      <c r="E73" s="146">
        <f t="shared" si="2"/>
        <v>-43249</v>
      </c>
      <c r="F73" s="150">
        <f t="shared" si="3"/>
        <v>-2.4331232866477907E-3</v>
      </c>
    </row>
    <row r="74" spans="1:7" ht="15" customHeight="1" x14ac:dyDescent="0.2">
      <c r="A74" s="141">
        <v>13</v>
      </c>
      <c r="B74" s="149" t="s">
        <v>213</v>
      </c>
      <c r="C74" s="146">
        <v>515813</v>
      </c>
      <c r="D74" s="146">
        <v>549191</v>
      </c>
      <c r="E74" s="146">
        <f t="shared" si="2"/>
        <v>33378</v>
      </c>
      <c r="F74" s="150">
        <f t="shared" si="3"/>
        <v>6.4709497434147653E-2</v>
      </c>
    </row>
    <row r="75" spans="1:7" ht="15" customHeight="1" x14ac:dyDescent="0.2">
      <c r="A75" s="141">
        <v>14</v>
      </c>
      <c r="B75" s="149" t="s">
        <v>214</v>
      </c>
      <c r="C75" s="146">
        <v>456020</v>
      </c>
      <c r="D75" s="146">
        <v>575119</v>
      </c>
      <c r="E75" s="146">
        <f t="shared" si="2"/>
        <v>119099</v>
      </c>
      <c r="F75" s="150">
        <f t="shared" si="3"/>
        <v>0.26117056269461864</v>
      </c>
    </row>
    <row r="76" spans="1:7" ht="15" customHeight="1" x14ac:dyDescent="0.2">
      <c r="A76" s="141">
        <v>15</v>
      </c>
      <c r="B76" s="149" t="s">
        <v>215</v>
      </c>
      <c r="C76" s="146">
        <v>1516226</v>
      </c>
      <c r="D76" s="146">
        <v>1754508</v>
      </c>
      <c r="E76" s="146">
        <f t="shared" si="2"/>
        <v>238282</v>
      </c>
      <c r="F76" s="150">
        <f t="shared" si="3"/>
        <v>0.15715467219266785</v>
      </c>
    </row>
    <row r="77" spans="1:7" ht="15" customHeight="1" x14ac:dyDescent="0.2">
      <c r="A77" s="141">
        <v>16</v>
      </c>
      <c r="B77" s="149" t="s">
        <v>216</v>
      </c>
      <c r="C77" s="146">
        <v>6481457</v>
      </c>
      <c r="D77" s="146">
        <v>7197896</v>
      </c>
      <c r="E77" s="146">
        <f t="shared" si="2"/>
        <v>716439</v>
      </c>
      <c r="F77" s="150">
        <f t="shared" si="3"/>
        <v>0.11053672037012666</v>
      </c>
    </row>
    <row r="78" spans="1:7" ht="15.75" customHeight="1" x14ac:dyDescent="0.25">
      <c r="A78" s="141"/>
      <c r="B78" s="151" t="s">
        <v>217</v>
      </c>
      <c r="C78" s="147">
        <f>SUM(C62:C77)</f>
        <v>56205802</v>
      </c>
      <c r="D78" s="147">
        <f>SUM(D62:D77)</f>
        <v>61527407</v>
      </c>
      <c r="E78" s="147">
        <f t="shared" si="2"/>
        <v>5321605</v>
      </c>
      <c r="F78" s="148">
        <f t="shared" si="3"/>
        <v>9.4680705739240228E-2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22521390</v>
      </c>
      <c r="D81" s="146">
        <v>26250085</v>
      </c>
      <c r="E81" s="146">
        <f>+D81-C81</f>
        <v>3728695</v>
      </c>
      <c r="F81" s="150">
        <f>IF(C81=0,0,E81/C81)</f>
        <v>0.16556238313887375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591542174</v>
      </c>
      <c r="D83" s="147">
        <f>+D81+D78+D59+D50+D47+D44+D41+D35+D30+D24+D18</f>
        <v>614686051</v>
      </c>
      <c r="E83" s="147">
        <f>+D83-C83</f>
        <v>23143877</v>
      </c>
      <c r="F83" s="148">
        <f>IF(C83=0,0,E83/C83)</f>
        <v>3.9124644052851591E-2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79911607</v>
      </c>
      <c r="D91" s="146">
        <v>89364766</v>
      </c>
      <c r="E91" s="146">
        <f t="shared" ref="E91:E109" si="4">D91-C91</f>
        <v>9453159</v>
      </c>
      <c r="F91" s="150">
        <f t="shared" ref="F91:F109" si="5">IF(C91=0,0,E91/C91)</f>
        <v>0.11829519333780886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2205990</v>
      </c>
      <c r="D92" s="146">
        <v>2330573</v>
      </c>
      <c r="E92" s="146">
        <f t="shared" si="4"/>
        <v>124583</v>
      </c>
      <c r="F92" s="150">
        <f t="shared" si="5"/>
        <v>5.6474870692976846E-2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8899358</v>
      </c>
      <c r="D93" s="146">
        <v>8414244</v>
      </c>
      <c r="E93" s="146">
        <f t="shared" si="4"/>
        <v>-485114</v>
      </c>
      <c r="F93" s="150">
        <f t="shared" si="5"/>
        <v>-5.4511123161917974E-2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2885536</v>
      </c>
      <c r="D94" s="146">
        <v>2771770</v>
      </c>
      <c r="E94" s="146">
        <f t="shared" si="4"/>
        <v>-113766</v>
      </c>
      <c r="F94" s="150">
        <f t="shared" si="5"/>
        <v>-3.9426297228660465E-2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12549570</v>
      </c>
      <c r="D95" s="146">
        <v>14479085</v>
      </c>
      <c r="E95" s="146">
        <f t="shared" si="4"/>
        <v>1929515</v>
      </c>
      <c r="F95" s="150">
        <f t="shared" si="5"/>
        <v>0.15375148311854508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7335322</v>
      </c>
      <c r="D96" s="146">
        <v>7867299</v>
      </c>
      <c r="E96" s="146">
        <f t="shared" si="4"/>
        <v>531977</v>
      </c>
      <c r="F96" s="150">
        <f t="shared" si="5"/>
        <v>7.2522651357363729E-2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3840251</v>
      </c>
      <c r="D97" s="146">
        <v>5372825</v>
      </c>
      <c r="E97" s="146">
        <f t="shared" si="4"/>
        <v>1532574</v>
      </c>
      <c r="F97" s="150">
        <f t="shared" si="5"/>
        <v>0.39908172668921899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1943074</v>
      </c>
      <c r="D98" s="146">
        <v>2246212</v>
      </c>
      <c r="E98" s="146">
        <f t="shared" si="4"/>
        <v>303138</v>
      </c>
      <c r="F98" s="150">
        <f t="shared" si="5"/>
        <v>0.15600949835158104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1917447</v>
      </c>
      <c r="D99" s="146">
        <v>2121035</v>
      </c>
      <c r="E99" s="146">
        <f t="shared" si="4"/>
        <v>203588</v>
      </c>
      <c r="F99" s="150">
        <f t="shared" si="5"/>
        <v>0.10617659836230153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8319074</v>
      </c>
      <c r="D100" s="146">
        <v>8877274</v>
      </c>
      <c r="E100" s="146">
        <f t="shared" si="4"/>
        <v>558200</v>
      </c>
      <c r="F100" s="150">
        <f t="shared" si="5"/>
        <v>6.7098814122821843E-2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7352091</v>
      </c>
      <c r="D101" s="146">
        <v>7523305</v>
      </c>
      <c r="E101" s="146">
        <f t="shared" si="4"/>
        <v>171214</v>
      </c>
      <c r="F101" s="150">
        <f t="shared" si="5"/>
        <v>2.3287796628197337E-2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3195242</v>
      </c>
      <c r="D102" s="146">
        <v>3396385</v>
      </c>
      <c r="E102" s="146">
        <f t="shared" si="4"/>
        <v>201143</v>
      </c>
      <c r="F102" s="150">
        <f t="shared" si="5"/>
        <v>6.295078745209283E-2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15574838</v>
      </c>
      <c r="D103" s="146">
        <v>15247860</v>
      </c>
      <c r="E103" s="146">
        <f t="shared" si="4"/>
        <v>-326978</v>
      </c>
      <c r="F103" s="150">
        <f t="shared" si="5"/>
        <v>-2.0993990435085104E-2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2922062</v>
      </c>
      <c r="D104" s="146">
        <v>2708785</v>
      </c>
      <c r="E104" s="146">
        <f t="shared" si="4"/>
        <v>-213277</v>
      </c>
      <c r="F104" s="150">
        <f t="shared" si="5"/>
        <v>-7.2988526595260464E-2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6484510</v>
      </c>
      <c r="D105" s="146">
        <v>6474316</v>
      </c>
      <c r="E105" s="146">
        <f t="shared" si="4"/>
        <v>-10194</v>
      </c>
      <c r="F105" s="150">
        <f t="shared" si="5"/>
        <v>-1.5720540179597225E-3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4299304</v>
      </c>
      <c r="D106" s="146">
        <v>4469666</v>
      </c>
      <c r="E106" s="146">
        <f t="shared" si="4"/>
        <v>170362</v>
      </c>
      <c r="F106" s="150">
        <f t="shared" si="5"/>
        <v>3.9625483566642417E-2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36419819</v>
      </c>
      <c r="D107" s="146">
        <v>35628458</v>
      </c>
      <c r="E107" s="146">
        <f t="shared" si="4"/>
        <v>-791361</v>
      </c>
      <c r="F107" s="150">
        <f t="shared" si="5"/>
        <v>-2.1728855928690914E-2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59819664</v>
      </c>
      <c r="D108" s="146">
        <v>65377399</v>
      </c>
      <c r="E108" s="146">
        <f t="shared" si="4"/>
        <v>5557735</v>
      </c>
      <c r="F108" s="150">
        <f t="shared" si="5"/>
        <v>9.290816143668075E-2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265874759</v>
      </c>
      <c r="D109" s="147">
        <f>SUM(D91:D108)</f>
        <v>284671257</v>
      </c>
      <c r="E109" s="147">
        <f t="shared" si="4"/>
        <v>18796498</v>
      </c>
      <c r="F109" s="148">
        <f t="shared" si="5"/>
        <v>7.069681255451557E-2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23447475</v>
      </c>
      <c r="D112" s="146">
        <v>22811335</v>
      </c>
      <c r="E112" s="146">
        <f t="shared" ref="E112:E118" si="6">D112-C112</f>
        <v>-636140</v>
      </c>
      <c r="F112" s="150">
        <f t="shared" ref="F112:F118" si="7">IF(C112=0,0,E112/C112)</f>
        <v>-2.713042662376226E-2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6465193</v>
      </c>
      <c r="D114" s="146">
        <v>6978487</v>
      </c>
      <c r="E114" s="146">
        <f t="shared" si="6"/>
        <v>513294</v>
      </c>
      <c r="F114" s="150">
        <f t="shared" si="7"/>
        <v>7.9393453528765492E-2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5469409</v>
      </c>
      <c r="D115" s="146">
        <v>5678730</v>
      </c>
      <c r="E115" s="146">
        <f t="shared" si="6"/>
        <v>209321</v>
      </c>
      <c r="F115" s="150">
        <f t="shared" si="7"/>
        <v>3.8271228207654613E-2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4069744</v>
      </c>
      <c r="D116" s="146">
        <v>4621341</v>
      </c>
      <c r="E116" s="146">
        <f t="shared" si="6"/>
        <v>551597</v>
      </c>
      <c r="F116" s="150">
        <f t="shared" si="7"/>
        <v>0.13553604354475368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18130091</v>
      </c>
      <c r="D117" s="146">
        <v>20586026</v>
      </c>
      <c r="E117" s="146">
        <f t="shared" si="6"/>
        <v>2455935</v>
      </c>
      <c r="F117" s="150">
        <f t="shared" si="7"/>
        <v>0.13546181318119144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57581912</v>
      </c>
      <c r="D118" s="147">
        <f>SUM(D112:D117)</f>
        <v>60675919</v>
      </c>
      <c r="E118" s="147">
        <f t="shared" si="6"/>
        <v>3094007</v>
      </c>
      <c r="F118" s="148">
        <f t="shared" si="7"/>
        <v>5.3732272731756459E-2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42707355</v>
      </c>
      <c r="D121" s="146">
        <v>45978529</v>
      </c>
      <c r="E121" s="146">
        <f t="shared" ref="E121:E155" si="8">D121-C121</f>
        <v>3271174</v>
      </c>
      <c r="F121" s="150">
        <f t="shared" ref="F121:F155" si="9">IF(C121=0,0,E121/C121)</f>
        <v>7.6595097027198245E-2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3088197</v>
      </c>
      <c r="D122" s="146">
        <v>3171645</v>
      </c>
      <c r="E122" s="146">
        <f t="shared" si="8"/>
        <v>83448</v>
      </c>
      <c r="F122" s="150">
        <f t="shared" si="9"/>
        <v>2.7021592210600555E-2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3411367</v>
      </c>
      <c r="D123" s="146">
        <v>3570201</v>
      </c>
      <c r="E123" s="146">
        <f t="shared" si="8"/>
        <v>158834</v>
      </c>
      <c r="F123" s="150">
        <f t="shared" si="9"/>
        <v>4.6560220580195565E-2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4813082</v>
      </c>
      <c r="D124" s="146">
        <v>4855008</v>
      </c>
      <c r="E124" s="146">
        <f t="shared" si="8"/>
        <v>41926</v>
      </c>
      <c r="F124" s="150">
        <f t="shared" si="9"/>
        <v>8.7108426575736708E-3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8581231</v>
      </c>
      <c r="D125" s="146">
        <v>9141984</v>
      </c>
      <c r="E125" s="146">
        <f t="shared" si="8"/>
        <v>560753</v>
      </c>
      <c r="F125" s="150">
        <f t="shared" si="9"/>
        <v>6.5346452041670944E-2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903609</v>
      </c>
      <c r="D126" s="146">
        <v>894200</v>
      </c>
      <c r="E126" s="146">
        <f t="shared" si="8"/>
        <v>-9409</v>
      </c>
      <c r="F126" s="150">
        <f t="shared" si="9"/>
        <v>-1.0412689559311605E-2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3886314</v>
      </c>
      <c r="D127" s="146">
        <v>3872646</v>
      </c>
      <c r="E127" s="146">
        <f t="shared" si="8"/>
        <v>-13668</v>
      </c>
      <c r="F127" s="150">
        <f t="shared" si="9"/>
        <v>-3.5169571990322965E-3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1432039</v>
      </c>
      <c r="D128" s="146">
        <v>1744116</v>
      </c>
      <c r="E128" s="146">
        <f t="shared" si="8"/>
        <v>312077</v>
      </c>
      <c r="F128" s="150">
        <f t="shared" si="9"/>
        <v>0.21792493081543171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2373022</v>
      </c>
      <c r="D129" s="146">
        <v>2377528</v>
      </c>
      <c r="E129" s="146">
        <f t="shared" si="8"/>
        <v>4506</v>
      </c>
      <c r="F129" s="150">
        <f t="shared" si="9"/>
        <v>1.8988445956253251E-3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25452011</v>
      </c>
      <c r="D130" s="146">
        <v>26413884</v>
      </c>
      <c r="E130" s="146">
        <f t="shared" si="8"/>
        <v>961873</v>
      </c>
      <c r="F130" s="150">
        <f t="shared" si="9"/>
        <v>3.779163068882848E-2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15348002</v>
      </c>
      <c r="D132" s="146">
        <v>15129806</v>
      </c>
      <c r="E132" s="146">
        <f t="shared" si="8"/>
        <v>-218196</v>
      </c>
      <c r="F132" s="150">
        <f t="shared" si="9"/>
        <v>-1.4216573597006307E-2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712839</v>
      </c>
      <c r="D133" s="146">
        <v>503218</v>
      </c>
      <c r="E133" s="146">
        <f t="shared" si="8"/>
        <v>-209621</v>
      </c>
      <c r="F133" s="150">
        <f t="shared" si="9"/>
        <v>-0.29406499924947987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1416416</v>
      </c>
      <c r="D134" s="146">
        <v>1068171</v>
      </c>
      <c r="E134" s="146">
        <f t="shared" si="8"/>
        <v>-348245</v>
      </c>
      <c r="F134" s="150">
        <f t="shared" si="9"/>
        <v>-0.24586350337753879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2872848</v>
      </c>
      <c r="D138" s="146">
        <v>2951030</v>
      </c>
      <c r="E138" s="146">
        <f t="shared" si="8"/>
        <v>78182</v>
      </c>
      <c r="F138" s="150">
        <f t="shared" si="9"/>
        <v>2.7214109482993878E-2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1473653</v>
      </c>
      <c r="D139" s="146">
        <v>1404337</v>
      </c>
      <c r="E139" s="146">
        <f t="shared" si="8"/>
        <v>-69316</v>
      </c>
      <c r="F139" s="150">
        <f t="shared" si="9"/>
        <v>-4.7036853316214877E-2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1583220</v>
      </c>
      <c r="D140" s="146">
        <v>1574940</v>
      </c>
      <c r="E140" s="146">
        <f t="shared" si="8"/>
        <v>-8280</v>
      </c>
      <c r="F140" s="150">
        <f t="shared" si="9"/>
        <v>-5.2298480312274985E-3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1587424</v>
      </c>
      <c r="D142" s="146">
        <v>959816</v>
      </c>
      <c r="E142" s="146">
        <f t="shared" si="8"/>
        <v>-627608</v>
      </c>
      <c r="F142" s="150">
        <f t="shared" si="9"/>
        <v>-0.39536254964017176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1725307</v>
      </c>
      <c r="D143" s="146">
        <v>1323922</v>
      </c>
      <c r="E143" s="146">
        <f t="shared" si="8"/>
        <v>-401385</v>
      </c>
      <c r="F143" s="150">
        <f t="shared" si="9"/>
        <v>-0.23264555235676898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18021432</v>
      </c>
      <c r="D144" s="146">
        <v>19384636</v>
      </c>
      <c r="E144" s="146">
        <f t="shared" si="8"/>
        <v>1363204</v>
      </c>
      <c r="F144" s="150">
        <f t="shared" si="9"/>
        <v>7.5643489374207326E-2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2715859</v>
      </c>
      <c r="D145" s="146">
        <v>2510963</v>
      </c>
      <c r="E145" s="146">
        <f t="shared" si="8"/>
        <v>-204896</v>
      </c>
      <c r="F145" s="150">
        <f t="shared" si="9"/>
        <v>-7.5444270118588633E-2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620442</v>
      </c>
      <c r="D146" s="146">
        <v>440657</v>
      </c>
      <c r="E146" s="146">
        <f t="shared" si="8"/>
        <v>-179785</v>
      </c>
      <c r="F146" s="150">
        <f t="shared" si="9"/>
        <v>-0.2897692290334955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5473059</v>
      </c>
      <c r="D148" s="146">
        <v>5240824</v>
      </c>
      <c r="E148" s="146">
        <f t="shared" si="8"/>
        <v>-232235</v>
      </c>
      <c r="F148" s="150">
        <f t="shared" si="9"/>
        <v>-4.2432394754012337E-2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604620</v>
      </c>
      <c r="D149" s="146">
        <v>509050</v>
      </c>
      <c r="E149" s="146">
        <f t="shared" si="8"/>
        <v>-95570</v>
      </c>
      <c r="F149" s="150">
        <f t="shared" si="9"/>
        <v>-0.15806622341305282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8355809</v>
      </c>
      <c r="D151" s="146">
        <v>7914484</v>
      </c>
      <c r="E151" s="146">
        <f t="shared" si="8"/>
        <v>-441325</v>
      </c>
      <c r="F151" s="150">
        <f t="shared" si="9"/>
        <v>-5.2816549540565132E-2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3389848</v>
      </c>
      <c r="D152" s="146">
        <v>3435963</v>
      </c>
      <c r="E152" s="146">
        <f t="shared" si="8"/>
        <v>46115</v>
      </c>
      <c r="F152" s="150">
        <f t="shared" si="9"/>
        <v>1.360385480410921E-2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1358415</v>
      </c>
      <c r="D153" s="146">
        <v>1409430</v>
      </c>
      <c r="E153" s="146">
        <f t="shared" si="8"/>
        <v>51015</v>
      </c>
      <c r="F153" s="150">
        <f t="shared" si="9"/>
        <v>3.7554797318934199E-2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5639552</v>
      </c>
      <c r="D154" s="146">
        <v>5096471</v>
      </c>
      <c r="E154" s="146">
        <f t="shared" si="8"/>
        <v>-543081</v>
      </c>
      <c r="F154" s="150">
        <f t="shared" si="9"/>
        <v>-9.6298606697836991E-2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169546972</v>
      </c>
      <c r="D155" s="147">
        <f>SUM(D121:D154)</f>
        <v>172877459</v>
      </c>
      <c r="E155" s="147">
        <f t="shared" si="8"/>
        <v>3330487</v>
      </c>
      <c r="F155" s="148">
        <f t="shared" si="9"/>
        <v>1.9643447244814257E-2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46811824</v>
      </c>
      <c r="D158" s="146">
        <v>46713279</v>
      </c>
      <c r="E158" s="146">
        <f t="shared" ref="E158:E171" si="10">D158-C158</f>
        <v>-98545</v>
      </c>
      <c r="F158" s="150">
        <f t="shared" ref="F158:F171" si="11">IF(C158=0,0,E158/C158)</f>
        <v>-2.1051305328329013E-3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6313098</v>
      </c>
      <c r="D159" s="146">
        <v>6063092</v>
      </c>
      <c r="E159" s="146">
        <f t="shared" si="10"/>
        <v>-250006</v>
      </c>
      <c r="F159" s="150">
        <f t="shared" si="11"/>
        <v>-3.9601159367397748E-2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5401231</v>
      </c>
      <c r="D160" s="146">
        <v>4927315</v>
      </c>
      <c r="E160" s="146">
        <f t="shared" si="10"/>
        <v>-473916</v>
      </c>
      <c r="F160" s="150">
        <f t="shared" si="11"/>
        <v>-8.7742220245718053E-2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8900308</v>
      </c>
      <c r="D161" s="146">
        <v>7172752</v>
      </c>
      <c r="E161" s="146">
        <f t="shared" si="10"/>
        <v>-1727556</v>
      </c>
      <c r="F161" s="150">
        <f t="shared" si="11"/>
        <v>-0.19410069853762363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4284806</v>
      </c>
      <c r="D163" s="146">
        <v>4110697</v>
      </c>
      <c r="E163" s="146">
        <f t="shared" si="10"/>
        <v>-174109</v>
      </c>
      <c r="F163" s="150">
        <f t="shared" si="11"/>
        <v>-4.0634045041945892E-2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42302</v>
      </c>
      <c r="D164" s="146">
        <v>42552</v>
      </c>
      <c r="E164" s="146">
        <f t="shared" si="10"/>
        <v>250</v>
      </c>
      <c r="F164" s="150">
        <f t="shared" si="11"/>
        <v>5.9098860573968135E-3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4200347</v>
      </c>
      <c r="D165" s="146">
        <v>4065947</v>
      </c>
      <c r="E165" s="146">
        <f t="shared" si="10"/>
        <v>-134400</v>
      </c>
      <c r="F165" s="150">
        <f t="shared" si="11"/>
        <v>-3.1997356408887172E-2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11007032</v>
      </c>
      <c r="D167" s="146">
        <v>11530716</v>
      </c>
      <c r="E167" s="146">
        <f t="shared" si="10"/>
        <v>523684</v>
      </c>
      <c r="F167" s="150">
        <f t="shared" si="11"/>
        <v>4.7577221543464214E-2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631947</v>
      </c>
      <c r="D168" s="146">
        <v>615969</v>
      </c>
      <c r="E168" s="146">
        <f t="shared" si="10"/>
        <v>-15978</v>
      </c>
      <c r="F168" s="150">
        <f t="shared" si="11"/>
        <v>-2.5283765885430267E-2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5468493</v>
      </c>
      <c r="D169" s="146">
        <v>5559949</v>
      </c>
      <c r="E169" s="146">
        <f t="shared" si="10"/>
        <v>91456</v>
      </c>
      <c r="F169" s="150">
        <f t="shared" si="11"/>
        <v>1.672416879750966E-2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4050801</v>
      </c>
      <c r="D170" s="146">
        <v>3989283</v>
      </c>
      <c r="E170" s="146">
        <f t="shared" si="10"/>
        <v>-61518</v>
      </c>
      <c r="F170" s="150">
        <f t="shared" si="11"/>
        <v>-1.5186626052477028E-2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97112189</v>
      </c>
      <c r="D171" s="147">
        <f>SUM(D158:D170)</f>
        <v>94791551</v>
      </c>
      <c r="E171" s="147">
        <f t="shared" si="10"/>
        <v>-2320638</v>
      </c>
      <c r="F171" s="148">
        <f t="shared" si="11"/>
        <v>-2.3896464737294718E-2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1426342</v>
      </c>
      <c r="D174" s="146">
        <v>1669865</v>
      </c>
      <c r="E174" s="146">
        <f>D174-C174</f>
        <v>243523</v>
      </c>
      <c r="F174" s="150">
        <f>IF(C174=0,0,E174/C174)</f>
        <v>0.17073254521005482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591542174</v>
      </c>
      <c r="D176" s="147">
        <f>+D174+D171+D155+D118+D109</f>
        <v>614686051</v>
      </c>
      <c r="E176" s="147">
        <f>D176-C176</f>
        <v>23143877</v>
      </c>
      <c r="F176" s="148">
        <f>IF(C176=0,0,E176/C176)</f>
        <v>3.9124644052851591E-2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FRANCIS HOSPITAL AND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549018192</v>
      </c>
      <c r="D11" s="164">
        <v>569815727</v>
      </c>
      <c r="E11" s="51">
        <v>575650377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39219480</v>
      </c>
      <c r="D12" s="49">
        <v>38098855</v>
      </c>
      <c r="E12" s="49">
        <v>41217606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588237672</v>
      </c>
      <c r="D13" s="51">
        <f>+D11+D12</f>
        <v>607914582</v>
      </c>
      <c r="E13" s="51">
        <f>+E11+E12</f>
        <v>616867983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602971403</v>
      </c>
      <c r="D14" s="49">
        <v>591542174</v>
      </c>
      <c r="E14" s="49">
        <v>614686051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-14733731</v>
      </c>
      <c r="D15" s="51">
        <f>+D13-D14</f>
        <v>16372408</v>
      </c>
      <c r="E15" s="51">
        <f>+E13-E14</f>
        <v>2181932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-16993109</v>
      </c>
      <c r="D16" s="49">
        <v>-5731045</v>
      </c>
      <c r="E16" s="49">
        <v>-9227596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-31726840</v>
      </c>
      <c r="D17" s="51">
        <f>D15+D16</f>
        <v>10641363</v>
      </c>
      <c r="E17" s="51">
        <f>E15+E16</f>
        <v>-7045664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-2.5792334762230376E-2</v>
      </c>
      <c r="D20" s="169">
        <f>IF(+D27=0,0,+D24/+D27)</f>
        <v>2.7188401864264182E-2</v>
      </c>
      <c r="E20" s="169">
        <f>IF(+E27=0,0,+E24/+E27)</f>
        <v>3.5908278098045515E-3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-2.9747519890180558E-2</v>
      </c>
      <c r="D21" s="169">
        <f>IF(D27=0,0,+D26/D27)</f>
        <v>-9.5171067421592429E-3</v>
      </c>
      <c r="E21" s="169">
        <f>IF(E27=0,0,+E26/E27)</f>
        <v>-1.5185949119606496E-2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-5.553985465241093E-2</v>
      </c>
      <c r="D22" s="169">
        <f>IF(D27=0,0,+D28/D27)</f>
        <v>1.7671295122104941E-2</v>
      </c>
      <c r="E22" s="169">
        <f>IF(E27=0,0,+E28/E27)</f>
        <v>-1.1595121309801944E-2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-14733731</v>
      </c>
      <c r="D24" s="51">
        <f>+D15</f>
        <v>16372408</v>
      </c>
      <c r="E24" s="51">
        <f>+E15</f>
        <v>2181932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588237672</v>
      </c>
      <c r="D25" s="51">
        <f>+D13</f>
        <v>607914582</v>
      </c>
      <c r="E25" s="51">
        <f>+E13</f>
        <v>616867983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-16993109</v>
      </c>
      <c r="D26" s="51">
        <f>+D16</f>
        <v>-5731045</v>
      </c>
      <c r="E26" s="51">
        <f>+E16</f>
        <v>-9227596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571244563</v>
      </c>
      <c r="D27" s="51">
        <f>+D25+D26</f>
        <v>602183537</v>
      </c>
      <c r="E27" s="51">
        <f>+E25+E26</f>
        <v>607640387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-31726840</v>
      </c>
      <c r="D28" s="51">
        <f>+D17</f>
        <v>10641363</v>
      </c>
      <c r="E28" s="51">
        <f>+E17</f>
        <v>-7045664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130256639</v>
      </c>
      <c r="D31" s="51">
        <v>102324980</v>
      </c>
      <c r="E31" s="51">
        <v>84991510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213026728</v>
      </c>
      <c r="D32" s="51">
        <v>184326469</v>
      </c>
      <c r="E32" s="51">
        <v>170267416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-72959766</v>
      </c>
      <c r="D33" s="51">
        <f>+D32-C32</f>
        <v>-28700259</v>
      </c>
      <c r="E33" s="51">
        <f>+E32-D32</f>
        <v>-14059053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0.74480000000000002</v>
      </c>
      <c r="D34" s="171">
        <f>IF(C32=0,0,+D33/C32)</f>
        <v>-0.13472609408900088</v>
      </c>
      <c r="E34" s="171">
        <f>IF(D32=0,0,+E33/D32)</f>
        <v>-7.6272567235039918E-2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0.46556077810747193</v>
      </c>
      <c r="D38" s="172">
        <f>IF((D40+D41)=0,0,+D39/(D40+D41))</f>
        <v>0.44045762323034632</v>
      </c>
      <c r="E38" s="172">
        <f>IF((E40+E41)=0,0,+E39/(E40+E41))</f>
        <v>0.42862060625424081</v>
      </c>
      <c r="F38" s="5"/>
    </row>
    <row r="39" spans="1:6" ht="24" customHeight="1" x14ac:dyDescent="0.2">
      <c r="A39" s="21">
        <v>2</v>
      </c>
      <c r="B39" s="48" t="s">
        <v>324</v>
      </c>
      <c r="C39" s="51">
        <v>576293587</v>
      </c>
      <c r="D39" s="51">
        <v>591542174</v>
      </c>
      <c r="E39" s="23">
        <v>614686051</v>
      </c>
      <c r="F39" s="5"/>
    </row>
    <row r="40" spans="1:6" ht="24" customHeight="1" x14ac:dyDescent="0.2">
      <c r="A40" s="21">
        <v>3</v>
      </c>
      <c r="B40" s="48" t="s">
        <v>325</v>
      </c>
      <c r="C40" s="51">
        <v>1211415643</v>
      </c>
      <c r="D40" s="51">
        <v>1317813590</v>
      </c>
      <c r="E40" s="23">
        <v>1404989047</v>
      </c>
      <c r="F40" s="5"/>
    </row>
    <row r="41" spans="1:6" ht="24" customHeight="1" x14ac:dyDescent="0.2">
      <c r="A41" s="21">
        <v>4</v>
      </c>
      <c r="B41" s="48" t="s">
        <v>326</v>
      </c>
      <c r="C41" s="51">
        <v>26432591</v>
      </c>
      <c r="D41" s="51">
        <v>25203633</v>
      </c>
      <c r="E41" s="23">
        <v>29113845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1.0492577459835066</v>
      </c>
      <c r="D43" s="173">
        <f>IF(D38=0,0,IF((D46-D47)=0,0,((+D44-D45)/(D46-D47)/D38)))</f>
        <v>1.130396086526068</v>
      </c>
      <c r="E43" s="173">
        <f>IF(E38=0,0,IF((E46-E47)=0,0,((+E44-E45)/(E46-E47)/E38)))</f>
        <v>1.1694358618781062</v>
      </c>
      <c r="F43" s="5"/>
    </row>
    <row r="44" spans="1:6" ht="24" customHeight="1" x14ac:dyDescent="0.2">
      <c r="A44" s="21">
        <v>6</v>
      </c>
      <c r="B44" s="48" t="s">
        <v>328</v>
      </c>
      <c r="C44" s="51">
        <v>222236469</v>
      </c>
      <c r="D44" s="51">
        <v>240325818</v>
      </c>
      <c r="E44" s="23">
        <v>252839957</v>
      </c>
      <c r="F44" s="5"/>
    </row>
    <row r="45" spans="1:6" ht="24" customHeight="1" x14ac:dyDescent="0.2">
      <c r="A45" s="21">
        <v>7</v>
      </c>
      <c r="B45" s="48" t="s">
        <v>329</v>
      </c>
      <c r="C45" s="51">
        <v>1485864</v>
      </c>
      <c r="D45" s="51">
        <v>1139781</v>
      </c>
      <c r="E45" s="23">
        <v>3309289</v>
      </c>
      <c r="F45" s="5"/>
    </row>
    <row r="46" spans="1:6" ht="24" customHeight="1" x14ac:dyDescent="0.2">
      <c r="A46" s="21">
        <v>8</v>
      </c>
      <c r="B46" s="48" t="s">
        <v>330</v>
      </c>
      <c r="C46" s="51">
        <v>482028262</v>
      </c>
      <c r="D46" s="51">
        <v>507614404</v>
      </c>
      <c r="E46" s="23">
        <v>525333144</v>
      </c>
      <c r="F46" s="5"/>
    </row>
    <row r="47" spans="1:6" ht="24" customHeight="1" x14ac:dyDescent="0.2">
      <c r="A47" s="21">
        <v>9</v>
      </c>
      <c r="B47" s="48" t="s">
        <v>331</v>
      </c>
      <c r="C47" s="51">
        <v>30127230</v>
      </c>
      <c r="D47" s="51">
        <v>27216563</v>
      </c>
      <c r="E47" s="174">
        <v>27510697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1.0016910030119208</v>
      </c>
      <c r="D49" s="175">
        <f>IF(D38=0,0,IF(D51=0,0,(D50/D51)/D38))</f>
        <v>1.0125680966850215</v>
      </c>
      <c r="E49" s="175">
        <f>IF(E38=0,0,IF(E51=0,0,(E50/E51)/E38))</f>
        <v>0.950178669842625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245901948</v>
      </c>
      <c r="D50" s="176">
        <v>256677255</v>
      </c>
      <c r="E50" s="176">
        <v>249778038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527292763</v>
      </c>
      <c r="D51" s="176">
        <v>575518138</v>
      </c>
      <c r="E51" s="176">
        <v>613304183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0.71634567096288804</v>
      </c>
      <c r="D53" s="175">
        <f>IF(D38=0,0,IF(D55=0,0,(D54/D55)/D38))</f>
        <v>0.70703317963096335</v>
      </c>
      <c r="E53" s="175">
        <f>IF(E38=0,0,IF(E55=0,0,(E54/E55)/E38))</f>
        <v>0.61786184808073907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50166970</v>
      </c>
      <c r="D54" s="176">
        <v>53031176</v>
      </c>
      <c r="E54" s="176">
        <v>59129523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150424593</v>
      </c>
      <c r="D55" s="176">
        <v>170289289</v>
      </c>
      <c r="E55" s="176">
        <v>223274924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14964635.549781442</v>
      </c>
      <c r="D57" s="53">
        <f>+D60*D38</f>
        <v>11664077.212082019</v>
      </c>
      <c r="E57" s="53">
        <f>+E60*E38</f>
        <v>10380074.098177813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5078551</v>
      </c>
      <c r="D58" s="51">
        <v>5153062</v>
      </c>
      <c r="E58" s="52">
        <v>5320840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27064697</v>
      </c>
      <c r="D59" s="51">
        <v>21328662</v>
      </c>
      <c r="E59" s="52">
        <v>18896554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32143248</v>
      </c>
      <c r="D60" s="51">
        <v>26481724</v>
      </c>
      <c r="E60" s="52">
        <v>24217394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2.5967034663152415E-2</v>
      </c>
      <c r="D62" s="178">
        <f>IF(D63=0,0,+D57/D63)</f>
        <v>1.9718082200647996E-2</v>
      </c>
      <c r="E62" s="178">
        <f>IF(E63=0,0,+E57/E63)</f>
        <v>1.688678973809642E-2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576293587</v>
      </c>
      <c r="D63" s="176">
        <v>591542174</v>
      </c>
      <c r="E63" s="176">
        <v>614686051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1.21285394271947</v>
      </c>
      <c r="D67" s="179">
        <f>IF(D69=0,0,D68/D69)</f>
        <v>1.7810057333238254</v>
      </c>
      <c r="E67" s="179">
        <f>IF(E69=0,0,E68/E69)</f>
        <v>1.5877562524277191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135888482</v>
      </c>
      <c r="D68" s="180">
        <v>167136068</v>
      </c>
      <c r="E68" s="180">
        <v>192618645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112040269</v>
      </c>
      <c r="D69" s="180">
        <v>93843644</v>
      </c>
      <c r="E69" s="180">
        <v>121314997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28.546718357989985</v>
      </c>
      <c r="D71" s="181">
        <f>IF((D77/365)=0,0,+D74/(D77/365))</f>
        <v>52.594002382149775</v>
      </c>
      <c r="E71" s="181">
        <f>IF((E77/365)=0,0,+E74/(E77/365))</f>
        <v>69.739271266302993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32861704</v>
      </c>
      <c r="D72" s="182">
        <v>80252361</v>
      </c>
      <c r="E72" s="182">
        <v>111167660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12399789</v>
      </c>
      <c r="D73" s="184">
        <v>1455904</v>
      </c>
      <c r="E73" s="184">
        <v>1455884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45261493</v>
      </c>
      <c r="D74" s="180">
        <f>+D72+D73</f>
        <v>81708265</v>
      </c>
      <c r="E74" s="180">
        <f>+E72+E73</f>
        <v>112623544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602971403</v>
      </c>
      <c r="D75" s="180">
        <f>+D14</f>
        <v>591542174</v>
      </c>
      <c r="E75" s="180">
        <f>+E14</f>
        <v>614686051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24255323</v>
      </c>
      <c r="D76" s="180">
        <v>24490507</v>
      </c>
      <c r="E76" s="180">
        <v>25239204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578716080</v>
      </c>
      <c r="D77" s="180">
        <f>+D75-D76</f>
        <v>567051667</v>
      </c>
      <c r="E77" s="180">
        <f>+E75-E76</f>
        <v>589446847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46.106072009723128</v>
      </c>
      <c r="D79" s="179">
        <f>IF((D84/365)=0,0,+D83/(D84/365))</f>
        <v>39.676419505002542</v>
      </c>
      <c r="E79" s="179">
        <f>IF((E84/365)=0,0,+E83/(E84/365))</f>
        <v>37.959094422689837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73779300</v>
      </c>
      <c r="D80" s="189">
        <v>68529326</v>
      </c>
      <c r="E80" s="189">
        <v>57915444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1950767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4428417</v>
      </c>
      <c r="D82" s="190">
        <v>6588921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69350883</v>
      </c>
      <c r="D83" s="191">
        <f>+D80+D81-D82</f>
        <v>61940405</v>
      </c>
      <c r="E83" s="191">
        <f>+E80+E81-E82</f>
        <v>59866211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549018192</v>
      </c>
      <c r="D84" s="191">
        <f>+D11</f>
        <v>569815727</v>
      </c>
      <c r="E84" s="191">
        <f>+E11</f>
        <v>575650377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70.66452721514149</v>
      </c>
      <c r="D86" s="179">
        <f>IF((D90/365)=0,0,+D87/(D90/365))</f>
        <v>60.405307052910928</v>
      </c>
      <c r="E86" s="179">
        <f>IF((E90/365)=0,0,+E87/(E90/365))</f>
        <v>75.12123294977944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112040269</v>
      </c>
      <c r="D87" s="51">
        <f>+D69</f>
        <v>93843644</v>
      </c>
      <c r="E87" s="51">
        <f>+E69</f>
        <v>121314997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602971403</v>
      </c>
      <c r="D88" s="51">
        <f t="shared" si="0"/>
        <v>591542174</v>
      </c>
      <c r="E88" s="51">
        <f t="shared" si="0"/>
        <v>614686051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24255323</v>
      </c>
      <c r="D89" s="52">
        <f t="shared" si="0"/>
        <v>24490507</v>
      </c>
      <c r="E89" s="52">
        <f t="shared" si="0"/>
        <v>25239204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578716080</v>
      </c>
      <c r="D90" s="51">
        <f>+D88-D89</f>
        <v>567051667</v>
      </c>
      <c r="E90" s="51">
        <f>+E88-E89</f>
        <v>589446847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30.801235610768803</v>
      </c>
      <c r="D94" s="192">
        <f>IF(D96=0,0,(D95/D96)*100)</f>
        <v>26.082439571816764</v>
      </c>
      <c r="E94" s="192">
        <f>IF(E96=0,0,(E95/E96)*100)</f>
        <v>23.273223172613307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213026728</v>
      </c>
      <c r="D95" s="51">
        <f>+D32</f>
        <v>184326469</v>
      </c>
      <c r="E95" s="51">
        <f>+E32</f>
        <v>170267416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691617475</v>
      </c>
      <c r="D96" s="51">
        <v>706707164</v>
      </c>
      <c r="E96" s="51">
        <v>731602214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-2.1771406094445367</v>
      </c>
      <c r="D98" s="192">
        <f>IF(D104=0,0,(D101/D104)*100)</f>
        <v>10.47206888257422</v>
      </c>
      <c r="E98" s="192">
        <f>IF(E104=0,0,(E101/E104)*100)</f>
        <v>5.0888962360353407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-31726840</v>
      </c>
      <c r="D99" s="51">
        <f>+D28</f>
        <v>10641363</v>
      </c>
      <c r="E99" s="51">
        <f>+E28</f>
        <v>-7045664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24255323</v>
      </c>
      <c r="D100" s="52">
        <f>+D76</f>
        <v>24490507</v>
      </c>
      <c r="E100" s="52">
        <f>+E76</f>
        <v>25239204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-7471517</v>
      </c>
      <c r="D101" s="51">
        <f>+D99+D100</f>
        <v>35131870</v>
      </c>
      <c r="E101" s="51">
        <f>+E99+E100</f>
        <v>18193540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112040269</v>
      </c>
      <c r="D102" s="180">
        <f>+D69</f>
        <v>93843644</v>
      </c>
      <c r="E102" s="180">
        <f>+E69</f>
        <v>121314997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231140000</v>
      </c>
      <c r="D103" s="194">
        <v>241638011</v>
      </c>
      <c r="E103" s="194">
        <v>236199465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343180269</v>
      </c>
      <c r="D104" s="180">
        <f>+D102+D103</f>
        <v>335481655</v>
      </c>
      <c r="E104" s="180">
        <f>+E102+E103</f>
        <v>357514462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52.039017204368356</v>
      </c>
      <c r="D106" s="197">
        <f>IF(D109=0,0,(D107/D109)*100)</f>
        <v>56.727267728989986</v>
      </c>
      <c r="E106" s="197">
        <f>IF(E109=0,0,(E107/E109)*100)</f>
        <v>58.110383906038329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231140000</v>
      </c>
      <c r="D107" s="180">
        <f>+D103</f>
        <v>241638011</v>
      </c>
      <c r="E107" s="180">
        <f>+E103</f>
        <v>236199465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213026728</v>
      </c>
      <c r="D108" s="180">
        <f>+D32</f>
        <v>184326469</v>
      </c>
      <c r="E108" s="180">
        <f>+E32</f>
        <v>170267416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444166728</v>
      </c>
      <c r="D109" s="180">
        <f>+D107+D108</f>
        <v>425964480</v>
      </c>
      <c r="E109" s="180">
        <f>+E107+E108</f>
        <v>406466881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-0.41514312393341274</v>
      </c>
      <c r="D111" s="197">
        <f>IF((+D113+D115)=0,0,((+D112+D113+D114)/(+D113+D115)))</f>
        <v>1.0500987977672491</v>
      </c>
      <c r="E111" s="197">
        <f>IF((+E113+E115)=0,0,((+E112+E113+E114)/(+E113+E115)))</f>
        <v>1.7861956751524761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-31726840</v>
      </c>
      <c r="D112" s="180">
        <f>+D17</f>
        <v>10641363</v>
      </c>
      <c r="E112" s="180">
        <f>+E17</f>
        <v>-7045664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5279690</v>
      </c>
      <c r="D113" s="180">
        <v>7207306</v>
      </c>
      <c r="E113" s="180">
        <v>8911665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24255323</v>
      </c>
      <c r="D114" s="180">
        <v>24490507</v>
      </c>
      <c r="E114" s="180">
        <v>25239204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33111925</v>
      </c>
      <c r="E115" s="180">
        <v>6263159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16.636836499765433</v>
      </c>
      <c r="D119" s="197">
        <f>IF(+D121=0,0,(+D120)/(+D121))</f>
        <v>17.461885007117246</v>
      </c>
      <c r="E119" s="197">
        <f>IF(+E121=0,0,(+E120)/(+E121))</f>
        <v>17.907576998070144</v>
      </c>
    </row>
    <row r="120" spans="1:8" ht="24" customHeight="1" x14ac:dyDescent="0.25">
      <c r="A120" s="17">
        <v>21</v>
      </c>
      <c r="B120" s="48" t="s">
        <v>369</v>
      </c>
      <c r="C120" s="180">
        <v>403531843</v>
      </c>
      <c r="D120" s="180">
        <v>427650417</v>
      </c>
      <c r="E120" s="180">
        <v>451972989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24255323</v>
      </c>
      <c r="D121" s="180">
        <v>24490507</v>
      </c>
      <c r="E121" s="180">
        <v>25239204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164576</v>
      </c>
      <c r="D124" s="198">
        <v>162158</v>
      </c>
      <c r="E124" s="198">
        <v>154460</v>
      </c>
    </row>
    <row r="125" spans="1:8" ht="24" customHeight="1" x14ac:dyDescent="0.2">
      <c r="A125" s="44">
        <v>2</v>
      </c>
      <c r="B125" s="48" t="s">
        <v>373</v>
      </c>
      <c r="C125" s="198">
        <v>32807</v>
      </c>
      <c r="D125" s="198">
        <v>33057</v>
      </c>
      <c r="E125" s="198">
        <v>31400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5.0164903831499377</v>
      </c>
      <c r="D126" s="199">
        <f>IF(D125=0,0,D124/D125)</f>
        <v>4.9054058141997157</v>
      </c>
      <c r="E126" s="199">
        <f>IF(E125=0,0,E124/E125)</f>
        <v>4.9191082802547772</v>
      </c>
    </row>
    <row r="127" spans="1:8" ht="24" customHeight="1" x14ac:dyDescent="0.2">
      <c r="A127" s="44">
        <v>4</v>
      </c>
      <c r="B127" s="48" t="s">
        <v>375</v>
      </c>
      <c r="C127" s="198">
        <v>572</v>
      </c>
      <c r="D127" s="198">
        <v>593</v>
      </c>
      <c r="E127" s="198">
        <v>593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593</v>
      </c>
      <c r="E128" s="198">
        <v>593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682</v>
      </c>
      <c r="D129" s="198">
        <v>682</v>
      </c>
      <c r="E129" s="198">
        <v>682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0.78820000000000001</v>
      </c>
      <c r="D130" s="171">
        <v>0.74909999999999999</v>
      </c>
      <c r="E130" s="171">
        <v>0.71360000000000001</v>
      </c>
    </row>
    <row r="131" spans="1:8" ht="24" customHeight="1" x14ac:dyDescent="0.2">
      <c r="A131" s="44">
        <v>7</v>
      </c>
      <c r="B131" s="48" t="s">
        <v>379</v>
      </c>
      <c r="C131" s="171">
        <v>0.77200000000000002</v>
      </c>
      <c r="D131" s="171">
        <v>0.74909999999999999</v>
      </c>
      <c r="E131" s="171">
        <v>0.71360000000000001</v>
      </c>
    </row>
    <row r="132" spans="1:8" ht="24" customHeight="1" x14ac:dyDescent="0.2">
      <c r="A132" s="44">
        <v>8</v>
      </c>
      <c r="B132" s="48" t="s">
        <v>380</v>
      </c>
      <c r="C132" s="199">
        <v>3594.9</v>
      </c>
      <c r="D132" s="199">
        <v>3610.8</v>
      </c>
      <c r="E132" s="199">
        <v>3588.5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0.37303549331829128</v>
      </c>
      <c r="D135" s="203">
        <f>IF(D149=0,0,D143/D149)</f>
        <v>0.36454157450296137</v>
      </c>
      <c r="E135" s="203">
        <f>IF(E149=0,0,E143/E149)</f>
        <v>0.35432478855473953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0.4352698976993481</v>
      </c>
      <c r="D136" s="203">
        <f>IF(D149=0,0,D144/D149)</f>
        <v>0.4367219630812883</v>
      </c>
      <c r="E136" s="203">
        <f>IF(E149=0,0,E144/E149)</f>
        <v>0.43651883572299477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0.12417256939780165</v>
      </c>
      <c r="D137" s="203">
        <f>IF(D149=0,0,D145/D149)</f>
        <v>0.12922107519015644</v>
      </c>
      <c r="E137" s="203">
        <f>IF(E149=0,0,E145/E149)</f>
        <v>0.15891577551920943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4.0715064466110742E-2</v>
      </c>
      <c r="D138" s="203">
        <f>IF(D149=0,0,D146/D149)</f>
        <v>4.6070218474526428E-2</v>
      </c>
      <c r="E138" s="203">
        <f>IF(E149=0,0,E146/E149)</f>
        <v>2.7603218745946564E-2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2.486944111551315E-2</v>
      </c>
      <c r="D139" s="203">
        <f>IF(D149=0,0,D147/D149)</f>
        <v>2.0652817064968954E-2</v>
      </c>
      <c r="E139" s="203">
        <f>IF(E149=0,0,E147/E149)</f>
        <v>1.9580719905783011E-2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1.9375340029351099E-3</v>
      </c>
      <c r="D140" s="203">
        <f>IF(D149=0,0,D148/D149)</f>
        <v>2.7923516860984868E-3</v>
      </c>
      <c r="E140" s="203">
        <f>IF(E149=0,0,E148/E149)</f>
        <v>3.0566615513266701E-3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451901032</v>
      </c>
      <c r="D143" s="205">
        <f>+D46-D147</f>
        <v>480397841</v>
      </c>
      <c r="E143" s="205">
        <f>+E46-E147</f>
        <v>497822447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527292763</v>
      </c>
      <c r="D144" s="205">
        <f>+D51</f>
        <v>575518138</v>
      </c>
      <c r="E144" s="205">
        <f>+E51</f>
        <v>613304183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150424593</v>
      </c>
      <c r="D145" s="205">
        <f>+D55</f>
        <v>170289289</v>
      </c>
      <c r="E145" s="205">
        <f>+E55</f>
        <v>223274924</v>
      </c>
    </row>
    <row r="146" spans="1:7" ht="20.100000000000001" customHeight="1" x14ac:dyDescent="0.2">
      <c r="A146" s="202">
        <v>11</v>
      </c>
      <c r="B146" s="201" t="s">
        <v>392</v>
      </c>
      <c r="C146" s="204">
        <v>49322866</v>
      </c>
      <c r="D146" s="205">
        <v>60711960</v>
      </c>
      <c r="E146" s="205">
        <v>38782220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30127230</v>
      </c>
      <c r="D147" s="205">
        <f>+D47</f>
        <v>27216563</v>
      </c>
      <c r="E147" s="205">
        <f>+E47</f>
        <v>27510697</v>
      </c>
    </row>
    <row r="148" spans="1:7" ht="20.100000000000001" customHeight="1" x14ac:dyDescent="0.2">
      <c r="A148" s="202">
        <v>13</v>
      </c>
      <c r="B148" s="201" t="s">
        <v>394</v>
      </c>
      <c r="C148" s="206">
        <v>2347159</v>
      </c>
      <c r="D148" s="205">
        <v>3679799</v>
      </c>
      <c r="E148" s="205">
        <v>4294576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1211415643</v>
      </c>
      <c r="D149" s="205">
        <f>SUM(D143:D148)</f>
        <v>1317813590</v>
      </c>
      <c r="E149" s="205">
        <f>SUM(E143:E148)</f>
        <v>1404989047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0.41766559342008003</v>
      </c>
      <c r="D152" s="203">
        <f>IF(D166=0,0,D160/D166)</f>
        <v>0.42829547420217712</v>
      </c>
      <c r="E152" s="203">
        <f>IF(E166=0,0,E160/E166)</f>
        <v>0.43961294207452833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0.46525255518359127</v>
      </c>
      <c r="D153" s="203">
        <f>IF(D166=0,0,D161/D166)</f>
        <v>0.45961590411374276</v>
      </c>
      <c r="E153" s="203">
        <f>IF(E166=0,0,E161/E166)</f>
        <v>0.44004874843994463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9.4917145505161143E-2</v>
      </c>
      <c r="D154" s="203">
        <f>IF(D166=0,0,D162/D166)</f>
        <v>9.4959609504375514E-2</v>
      </c>
      <c r="E154" s="203">
        <f>IF(E166=0,0,E162/E166)</f>
        <v>0.10417197925143812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1.7341564137675666E-2</v>
      </c>
      <c r="D155" s="203">
        <f>IF(D166=0,0,D163/D166)</f>
        <v>1.2220457724104607E-2</v>
      </c>
      <c r="E155" s="203">
        <f>IF(E166=0,0,E163/E166)</f>
        <v>8.1133202678454613E-3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2.8112913633986814E-3</v>
      </c>
      <c r="D156" s="203">
        <f>IF(D166=0,0,D164/D166)</f>
        <v>2.0409345378368873E-3</v>
      </c>
      <c r="E156" s="203">
        <f>IF(E166=0,0,E164/E166)</f>
        <v>5.8301702356877184E-3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2.0118503900932029E-3</v>
      </c>
      <c r="D157" s="203">
        <f>IF(D166=0,0,D165/D166)</f>
        <v>2.867619917763113E-3</v>
      </c>
      <c r="E157" s="203">
        <f>IF(E166=0,0,E165/E166)</f>
        <v>2.2228397305557074E-3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220750605</v>
      </c>
      <c r="D160" s="208">
        <f>+D44-D164</f>
        <v>239186037</v>
      </c>
      <c r="E160" s="208">
        <f>+E44-E164</f>
        <v>249530668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245901948</v>
      </c>
      <c r="D161" s="208">
        <f>+D50</f>
        <v>256677255</v>
      </c>
      <c r="E161" s="208">
        <f>+E50</f>
        <v>249778038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50166970</v>
      </c>
      <c r="D162" s="208">
        <f>+D54</f>
        <v>53031176</v>
      </c>
      <c r="E162" s="208">
        <f>+E54</f>
        <v>59129523</v>
      </c>
    </row>
    <row r="163" spans="1:6" ht="20.100000000000001" customHeight="1" x14ac:dyDescent="0.2">
      <c r="A163" s="202">
        <v>11</v>
      </c>
      <c r="B163" s="201" t="s">
        <v>408</v>
      </c>
      <c r="C163" s="207">
        <v>9165612</v>
      </c>
      <c r="D163" s="208">
        <v>6824641</v>
      </c>
      <c r="E163" s="208">
        <v>4605238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1485864</v>
      </c>
      <c r="D164" s="208">
        <f>+D45</f>
        <v>1139781</v>
      </c>
      <c r="E164" s="208">
        <f>+E45</f>
        <v>3309289</v>
      </c>
    </row>
    <row r="165" spans="1:6" ht="20.100000000000001" customHeight="1" x14ac:dyDescent="0.2">
      <c r="A165" s="202">
        <v>13</v>
      </c>
      <c r="B165" s="201" t="s">
        <v>410</v>
      </c>
      <c r="C165" s="209">
        <v>1063332</v>
      </c>
      <c r="D165" s="208">
        <v>1601452</v>
      </c>
      <c r="E165" s="208">
        <v>1261716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528534331</v>
      </c>
      <c r="D166" s="208">
        <f>SUM(D160:D165)</f>
        <v>558460342</v>
      </c>
      <c r="E166" s="208">
        <f>SUM(E160:E165)</f>
        <v>567614472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12302</v>
      </c>
      <c r="D169" s="198">
        <v>12070</v>
      </c>
      <c r="E169" s="198">
        <v>11175</v>
      </c>
    </row>
    <row r="170" spans="1:6" ht="20.100000000000001" customHeight="1" x14ac:dyDescent="0.2">
      <c r="A170" s="202">
        <v>2</v>
      </c>
      <c r="B170" s="201" t="s">
        <v>414</v>
      </c>
      <c r="C170" s="198">
        <v>14037</v>
      </c>
      <c r="D170" s="198">
        <v>13748</v>
      </c>
      <c r="E170" s="198">
        <v>13376</v>
      </c>
    </row>
    <row r="171" spans="1:6" ht="20.100000000000001" customHeight="1" x14ac:dyDescent="0.2">
      <c r="A171" s="202">
        <v>3</v>
      </c>
      <c r="B171" s="201" t="s">
        <v>415</v>
      </c>
      <c r="C171" s="198">
        <v>6399</v>
      </c>
      <c r="D171" s="198">
        <v>7149</v>
      </c>
      <c r="E171" s="198">
        <v>6759</v>
      </c>
    </row>
    <row r="172" spans="1:6" ht="20.100000000000001" customHeight="1" x14ac:dyDescent="0.2">
      <c r="A172" s="202">
        <v>4</v>
      </c>
      <c r="B172" s="201" t="s">
        <v>416</v>
      </c>
      <c r="C172" s="198">
        <v>4888</v>
      </c>
      <c r="D172" s="198">
        <v>5525</v>
      </c>
      <c r="E172" s="198">
        <v>6038</v>
      </c>
    </row>
    <row r="173" spans="1:6" ht="20.100000000000001" customHeight="1" x14ac:dyDescent="0.2">
      <c r="A173" s="202">
        <v>5</v>
      </c>
      <c r="B173" s="201" t="s">
        <v>417</v>
      </c>
      <c r="C173" s="198">
        <v>1511</v>
      </c>
      <c r="D173" s="198">
        <v>1624</v>
      </c>
      <c r="E173" s="198">
        <v>721</v>
      </c>
    </row>
    <row r="174" spans="1:6" ht="20.100000000000001" customHeight="1" x14ac:dyDescent="0.2">
      <c r="A174" s="202">
        <v>6</v>
      </c>
      <c r="B174" s="201" t="s">
        <v>418</v>
      </c>
      <c r="C174" s="198">
        <v>69</v>
      </c>
      <c r="D174" s="198">
        <v>90</v>
      </c>
      <c r="E174" s="198">
        <v>90</v>
      </c>
    </row>
    <row r="175" spans="1:6" ht="20.100000000000001" customHeight="1" x14ac:dyDescent="0.2">
      <c r="A175" s="202">
        <v>7</v>
      </c>
      <c r="B175" s="201" t="s">
        <v>419</v>
      </c>
      <c r="C175" s="198">
        <v>446</v>
      </c>
      <c r="D175" s="198">
        <v>355</v>
      </c>
      <c r="E175" s="198">
        <v>301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32807</v>
      </c>
      <c r="D176" s="198">
        <f>+D169+D170+D171+D174</f>
        <v>33057</v>
      </c>
      <c r="E176" s="198">
        <f>+E169+E170+E171+E174</f>
        <v>31400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1.3402000000000001</v>
      </c>
      <c r="D179" s="210">
        <v>1.3234999999999999</v>
      </c>
      <c r="E179" s="210">
        <v>1.3667</v>
      </c>
    </row>
    <row r="180" spans="1:6" ht="20.100000000000001" customHeight="1" x14ac:dyDescent="0.2">
      <c r="A180" s="202">
        <v>2</v>
      </c>
      <c r="B180" s="201" t="s">
        <v>414</v>
      </c>
      <c r="C180" s="210">
        <v>1.7225999999999999</v>
      </c>
      <c r="D180" s="210">
        <v>1.7597</v>
      </c>
      <c r="E180" s="210">
        <v>1.7682</v>
      </c>
    </row>
    <row r="181" spans="1:6" ht="20.100000000000001" customHeight="1" x14ac:dyDescent="0.2">
      <c r="A181" s="202">
        <v>3</v>
      </c>
      <c r="B181" s="201" t="s">
        <v>415</v>
      </c>
      <c r="C181" s="210">
        <v>1.0387489999999999</v>
      </c>
      <c r="D181" s="210">
        <v>1.074198</v>
      </c>
      <c r="E181" s="210">
        <v>1.128331</v>
      </c>
    </row>
    <row r="182" spans="1:6" ht="20.100000000000001" customHeight="1" x14ac:dyDescent="0.2">
      <c r="A182" s="202">
        <v>4</v>
      </c>
      <c r="B182" s="201" t="s">
        <v>416</v>
      </c>
      <c r="C182" s="210">
        <v>0.9617</v>
      </c>
      <c r="D182" s="210">
        <v>1.0135000000000001</v>
      </c>
      <c r="E182" s="210">
        <v>1.0981000000000001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1.288</v>
      </c>
      <c r="D183" s="210">
        <v>1.2806999999999999</v>
      </c>
      <c r="E183" s="210">
        <v>1.3815</v>
      </c>
    </row>
    <row r="184" spans="1:6" ht="20.100000000000001" customHeight="1" x14ac:dyDescent="0.2">
      <c r="A184" s="202">
        <v>6</v>
      </c>
      <c r="B184" s="201" t="s">
        <v>418</v>
      </c>
      <c r="C184" s="210">
        <v>0.96379999999999999</v>
      </c>
      <c r="D184" s="210">
        <v>1.1231</v>
      </c>
      <c r="E184" s="210">
        <v>1.4208000000000001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1.2236</v>
      </c>
      <c r="D185" s="210">
        <v>1.0933999999999999</v>
      </c>
      <c r="E185" s="210">
        <v>1.2797000000000001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1.444226</v>
      </c>
      <c r="D186" s="210">
        <v>1.4504490000000001</v>
      </c>
      <c r="E186" s="210">
        <v>1.486578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13560</v>
      </c>
      <c r="D189" s="198">
        <v>15645</v>
      </c>
      <c r="E189" s="198">
        <v>15060</v>
      </c>
    </row>
    <row r="190" spans="1:6" ht="20.100000000000001" customHeight="1" x14ac:dyDescent="0.2">
      <c r="A190" s="202">
        <v>2</v>
      </c>
      <c r="B190" s="201" t="s">
        <v>427</v>
      </c>
      <c r="C190" s="198">
        <v>51095</v>
      </c>
      <c r="D190" s="198">
        <v>53595</v>
      </c>
      <c r="E190" s="198">
        <v>54430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64655</v>
      </c>
      <c r="D191" s="198">
        <f>+D190+D189</f>
        <v>69240</v>
      </c>
      <c r="E191" s="198">
        <f>+E190+E189</f>
        <v>69490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FRANCIS HOSPITAL AND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69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429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1672325</v>
      </c>
      <c r="D14" s="237">
        <v>1868150</v>
      </c>
      <c r="E14" s="237">
        <f t="shared" ref="E14:E24" si="0">D14-C14</f>
        <v>195825</v>
      </c>
      <c r="F14" s="238">
        <f t="shared" ref="F14:F24" si="1">IF(C14=0,0,E14/C14)</f>
        <v>0.11709745414318389</v>
      </c>
    </row>
    <row r="15" spans="1:7" ht="20.25" customHeight="1" x14ac:dyDescent="0.3">
      <c r="A15" s="235">
        <v>2</v>
      </c>
      <c r="B15" s="236" t="s">
        <v>435</v>
      </c>
      <c r="C15" s="237">
        <v>807614</v>
      </c>
      <c r="D15" s="237">
        <v>1062916</v>
      </c>
      <c r="E15" s="237">
        <f t="shared" si="0"/>
        <v>255302</v>
      </c>
      <c r="F15" s="238">
        <f t="shared" si="1"/>
        <v>0.31611883895029058</v>
      </c>
    </row>
    <row r="16" spans="1:7" ht="20.25" customHeight="1" x14ac:dyDescent="0.3">
      <c r="A16" s="235">
        <v>3</v>
      </c>
      <c r="B16" s="236" t="s">
        <v>436</v>
      </c>
      <c r="C16" s="237">
        <v>906588</v>
      </c>
      <c r="D16" s="237">
        <v>1415844</v>
      </c>
      <c r="E16" s="237">
        <f t="shared" si="0"/>
        <v>509256</v>
      </c>
      <c r="F16" s="238">
        <f t="shared" si="1"/>
        <v>0.56172814994242148</v>
      </c>
    </row>
    <row r="17" spans="1:6" ht="20.25" customHeight="1" x14ac:dyDescent="0.3">
      <c r="A17" s="235">
        <v>4</v>
      </c>
      <c r="B17" s="236" t="s">
        <v>437</v>
      </c>
      <c r="C17" s="237">
        <v>256192</v>
      </c>
      <c r="D17" s="237">
        <v>440490</v>
      </c>
      <c r="E17" s="237">
        <f t="shared" si="0"/>
        <v>184298</v>
      </c>
      <c r="F17" s="238">
        <f t="shared" si="1"/>
        <v>0.71937453160129905</v>
      </c>
    </row>
    <row r="18" spans="1:6" ht="20.25" customHeight="1" x14ac:dyDescent="0.3">
      <c r="A18" s="235">
        <v>5</v>
      </c>
      <c r="B18" s="236" t="s">
        <v>373</v>
      </c>
      <c r="C18" s="239">
        <v>51</v>
      </c>
      <c r="D18" s="239">
        <v>83</v>
      </c>
      <c r="E18" s="239">
        <f t="shared" si="0"/>
        <v>32</v>
      </c>
      <c r="F18" s="238">
        <f t="shared" si="1"/>
        <v>0.62745098039215685</v>
      </c>
    </row>
    <row r="19" spans="1:6" ht="20.25" customHeight="1" x14ac:dyDescent="0.3">
      <c r="A19" s="235">
        <v>6</v>
      </c>
      <c r="B19" s="236" t="s">
        <v>372</v>
      </c>
      <c r="C19" s="239">
        <v>304</v>
      </c>
      <c r="D19" s="239">
        <v>339</v>
      </c>
      <c r="E19" s="239">
        <f t="shared" si="0"/>
        <v>35</v>
      </c>
      <c r="F19" s="238">
        <f t="shared" si="1"/>
        <v>0.11513157894736842</v>
      </c>
    </row>
    <row r="20" spans="1:6" ht="20.25" customHeight="1" x14ac:dyDescent="0.3">
      <c r="A20" s="235">
        <v>7</v>
      </c>
      <c r="B20" s="236" t="s">
        <v>438</v>
      </c>
      <c r="C20" s="239">
        <v>282</v>
      </c>
      <c r="D20" s="239">
        <v>350</v>
      </c>
      <c r="E20" s="239">
        <f t="shared" si="0"/>
        <v>68</v>
      </c>
      <c r="F20" s="238">
        <f t="shared" si="1"/>
        <v>0.24113475177304963</v>
      </c>
    </row>
    <row r="21" spans="1:6" ht="20.25" customHeight="1" x14ac:dyDescent="0.3">
      <c r="A21" s="235">
        <v>8</v>
      </c>
      <c r="B21" s="236" t="s">
        <v>439</v>
      </c>
      <c r="C21" s="239">
        <v>31</v>
      </c>
      <c r="D21" s="239">
        <v>48</v>
      </c>
      <c r="E21" s="239">
        <f t="shared" si="0"/>
        <v>17</v>
      </c>
      <c r="F21" s="238">
        <f t="shared" si="1"/>
        <v>0.54838709677419351</v>
      </c>
    </row>
    <row r="22" spans="1:6" ht="20.25" customHeight="1" x14ac:dyDescent="0.3">
      <c r="A22" s="235">
        <v>9</v>
      </c>
      <c r="B22" s="236" t="s">
        <v>440</v>
      </c>
      <c r="C22" s="239">
        <v>31</v>
      </c>
      <c r="D22" s="239">
        <v>55</v>
      </c>
      <c r="E22" s="239">
        <f t="shared" si="0"/>
        <v>24</v>
      </c>
      <c r="F22" s="238">
        <f t="shared" si="1"/>
        <v>0.77419354838709675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2578913</v>
      </c>
      <c r="D23" s="243">
        <f>+D14+D16</f>
        <v>3283994</v>
      </c>
      <c r="E23" s="243">
        <f t="shared" si="0"/>
        <v>705081</v>
      </c>
      <c r="F23" s="244">
        <f t="shared" si="1"/>
        <v>0.27340239860747534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1063806</v>
      </c>
      <c r="D24" s="243">
        <f>+D15+D17</f>
        <v>1503406</v>
      </c>
      <c r="E24" s="243">
        <f t="shared" si="0"/>
        <v>439600</v>
      </c>
      <c r="F24" s="244">
        <f t="shared" si="1"/>
        <v>0.41323323989524408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395823</v>
      </c>
      <c r="D27" s="237">
        <v>893493</v>
      </c>
      <c r="E27" s="237">
        <f t="shared" ref="E27:E37" si="2">D27-C27</f>
        <v>497670</v>
      </c>
      <c r="F27" s="238">
        <f t="shared" ref="F27:F37" si="3">IF(C27=0,0,E27/C27)</f>
        <v>1.2573044012096315</v>
      </c>
    </row>
    <row r="28" spans="1:6" ht="20.25" customHeight="1" x14ac:dyDescent="0.3">
      <c r="A28" s="235">
        <v>2</v>
      </c>
      <c r="B28" s="236" t="s">
        <v>435</v>
      </c>
      <c r="C28" s="237">
        <v>47206</v>
      </c>
      <c r="D28" s="237">
        <v>432086</v>
      </c>
      <c r="E28" s="237">
        <f t="shared" si="2"/>
        <v>384880</v>
      </c>
      <c r="F28" s="238">
        <f t="shared" si="3"/>
        <v>8.1532008642969114</v>
      </c>
    </row>
    <row r="29" spans="1:6" ht="20.25" customHeight="1" x14ac:dyDescent="0.3">
      <c r="A29" s="235">
        <v>3</v>
      </c>
      <c r="B29" s="236" t="s">
        <v>436</v>
      </c>
      <c r="C29" s="237">
        <v>209354</v>
      </c>
      <c r="D29" s="237">
        <v>753441</v>
      </c>
      <c r="E29" s="237">
        <f t="shared" si="2"/>
        <v>544087</v>
      </c>
      <c r="F29" s="238">
        <f t="shared" si="3"/>
        <v>2.5988851419127412</v>
      </c>
    </row>
    <row r="30" spans="1:6" ht="20.25" customHeight="1" x14ac:dyDescent="0.3">
      <c r="A30" s="235">
        <v>4</v>
      </c>
      <c r="B30" s="236" t="s">
        <v>437</v>
      </c>
      <c r="C30" s="237">
        <v>45757</v>
      </c>
      <c r="D30" s="237">
        <v>146754</v>
      </c>
      <c r="E30" s="237">
        <f t="shared" si="2"/>
        <v>100997</v>
      </c>
      <c r="F30" s="238">
        <f t="shared" si="3"/>
        <v>2.2072469786043665</v>
      </c>
    </row>
    <row r="31" spans="1:6" ht="20.25" customHeight="1" x14ac:dyDescent="0.3">
      <c r="A31" s="235">
        <v>5</v>
      </c>
      <c r="B31" s="236" t="s">
        <v>373</v>
      </c>
      <c r="C31" s="239">
        <v>15</v>
      </c>
      <c r="D31" s="239">
        <v>16</v>
      </c>
      <c r="E31" s="239">
        <f t="shared" si="2"/>
        <v>1</v>
      </c>
      <c r="F31" s="238">
        <f t="shared" si="3"/>
        <v>6.6666666666666666E-2</v>
      </c>
    </row>
    <row r="32" spans="1:6" ht="20.25" customHeight="1" x14ac:dyDescent="0.3">
      <c r="A32" s="235">
        <v>6</v>
      </c>
      <c r="B32" s="236" t="s">
        <v>372</v>
      </c>
      <c r="C32" s="239">
        <v>69</v>
      </c>
      <c r="D32" s="239">
        <v>148</v>
      </c>
      <c r="E32" s="239">
        <f t="shared" si="2"/>
        <v>79</v>
      </c>
      <c r="F32" s="238">
        <f t="shared" si="3"/>
        <v>1.144927536231884</v>
      </c>
    </row>
    <row r="33" spans="1:6" ht="20.25" customHeight="1" x14ac:dyDescent="0.3">
      <c r="A33" s="235">
        <v>7</v>
      </c>
      <c r="B33" s="236" t="s">
        <v>438</v>
      </c>
      <c r="C33" s="239">
        <v>85</v>
      </c>
      <c r="D33" s="239">
        <v>183</v>
      </c>
      <c r="E33" s="239">
        <f t="shared" si="2"/>
        <v>98</v>
      </c>
      <c r="F33" s="238">
        <f t="shared" si="3"/>
        <v>1.1529411764705881</v>
      </c>
    </row>
    <row r="34" spans="1:6" ht="20.25" customHeight="1" x14ac:dyDescent="0.3">
      <c r="A34" s="235">
        <v>8</v>
      </c>
      <c r="B34" s="236" t="s">
        <v>439</v>
      </c>
      <c r="C34" s="239">
        <v>7</v>
      </c>
      <c r="D34" s="239">
        <v>24</v>
      </c>
      <c r="E34" s="239">
        <f t="shared" si="2"/>
        <v>17</v>
      </c>
      <c r="F34" s="238">
        <f t="shared" si="3"/>
        <v>2.4285714285714284</v>
      </c>
    </row>
    <row r="35" spans="1:6" ht="20.25" customHeight="1" x14ac:dyDescent="0.3">
      <c r="A35" s="235">
        <v>9</v>
      </c>
      <c r="B35" s="236" t="s">
        <v>440</v>
      </c>
      <c r="C35" s="239">
        <v>9</v>
      </c>
      <c r="D35" s="239">
        <v>8</v>
      </c>
      <c r="E35" s="239">
        <f t="shared" si="2"/>
        <v>-1</v>
      </c>
      <c r="F35" s="238">
        <f t="shared" si="3"/>
        <v>-0.1111111111111111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605177</v>
      </c>
      <c r="D36" s="243">
        <f>+D27+D29</f>
        <v>1646934</v>
      </c>
      <c r="E36" s="243">
        <f t="shared" si="2"/>
        <v>1041757</v>
      </c>
      <c r="F36" s="244">
        <f t="shared" si="3"/>
        <v>1.7214087779277798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92963</v>
      </c>
      <c r="D37" s="243">
        <f>+D28+D30</f>
        <v>578840</v>
      </c>
      <c r="E37" s="243">
        <f t="shared" si="2"/>
        <v>485877</v>
      </c>
      <c r="F37" s="244">
        <f t="shared" si="3"/>
        <v>5.2265632563493005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9957981</v>
      </c>
      <c r="D40" s="237">
        <v>11303975</v>
      </c>
      <c r="E40" s="237">
        <f t="shared" ref="E40:E50" si="4">D40-C40</f>
        <v>1345994</v>
      </c>
      <c r="F40" s="238">
        <f t="shared" ref="F40:F50" si="5">IF(C40=0,0,E40/C40)</f>
        <v>0.13516735972884464</v>
      </c>
    </row>
    <row r="41" spans="1:6" ht="20.25" customHeight="1" x14ac:dyDescent="0.3">
      <c r="A41" s="235">
        <v>2</v>
      </c>
      <c r="B41" s="236" t="s">
        <v>435</v>
      </c>
      <c r="C41" s="237">
        <v>6092946</v>
      </c>
      <c r="D41" s="237">
        <v>5163417</v>
      </c>
      <c r="E41" s="237">
        <f t="shared" si="4"/>
        <v>-929529</v>
      </c>
      <c r="F41" s="238">
        <f t="shared" si="5"/>
        <v>-0.15255822060461394</v>
      </c>
    </row>
    <row r="42" spans="1:6" ht="20.25" customHeight="1" x14ac:dyDescent="0.3">
      <c r="A42" s="235">
        <v>3</v>
      </c>
      <c r="B42" s="236" t="s">
        <v>436</v>
      </c>
      <c r="C42" s="237">
        <v>4566484</v>
      </c>
      <c r="D42" s="237">
        <v>6223591</v>
      </c>
      <c r="E42" s="237">
        <f t="shared" si="4"/>
        <v>1657107</v>
      </c>
      <c r="F42" s="238">
        <f t="shared" si="5"/>
        <v>0.36288466137185632</v>
      </c>
    </row>
    <row r="43" spans="1:6" ht="20.25" customHeight="1" x14ac:dyDescent="0.3">
      <c r="A43" s="235">
        <v>4</v>
      </c>
      <c r="B43" s="236" t="s">
        <v>437</v>
      </c>
      <c r="C43" s="237">
        <v>1740775</v>
      </c>
      <c r="D43" s="237">
        <v>1655538</v>
      </c>
      <c r="E43" s="237">
        <f t="shared" si="4"/>
        <v>-85237</v>
      </c>
      <c r="F43" s="238">
        <f t="shared" si="5"/>
        <v>-4.896497249788169E-2</v>
      </c>
    </row>
    <row r="44" spans="1:6" ht="20.25" customHeight="1" x14ac:dyDescent="0.3">
      <c r="A44" s="235">
        <v>5</v>
      </c>
      <c r="B44" s="236" t="s">
        <v>373</v>
      </c>
      <c r="C44" s="239">
        <v>332</v>
      </c>
      <c r="D44" s="239">
        <v>369</v>
      </c>
      <c r="E44" s="239">
        <f t="shared" si="4"/>
        <v>37</v>
      </c>
      <c r="F44" s="238">
        <f t="shared" si="5"/>
        <v>0.11144578313253012</v>
      </c>
    </row>
    <row r="45" spans="1:6" ht="20.25" customHeight="1" x14ac:dyDescent="0.3">
      <c r="A45" s="235">
        <v>6</v>
      </c>
      <c r="B45" s="236" t="s">
        <v>372</v>
      </c>
      <c r="C45" s="239">
        <v>1868</v>
      </c>
      <c r="D45" s="239">
        <v>1673</v>
      </c>
      <c r="E45" s="239">
        <f t="shared" si="4"/>
        <v>-195</v>
      </c>
      <c r="F45" s="238">
        <f t="shared" si="5"/>
        <v>-0.10438972162740899</v>
      </c>
    </row>
    <row r="46" spans="1:6" ht="20.25" customHeight="1" x14ac:dyDescent="0.3">
      <c r="A46" s="235">
        <v>7</v>
      </c>
      <c r="B46" s="236" t="s">
        <v>438</v>
      </c>
      <c r="C46" s="239">
        <v>1507</v>
      </c>
      <c r="D46" s="239">
        <v>1933</v>
      </c>
      <c r="E46" s="239">
        <f t="shared" si="4"/>
        <v>426</v>
      </c>
      <c r="F46" s="238">
        <f t="shared" si="5"/>
        <v>0.28268082282680823</v>
      </c>
    </row>
    <row r="47" spans="1:6" ht="20.25" customHeight="1" x14ac:dyDescent="0.3">
      <c r="A47" s="235">
        <v>8</v>
      </c>
      <c r="B47" s="236" t="s">
        <v>439</v>
      </c>
      <c r="C47" s="239">
        <v>129</v>
      </c>
      <c r="D47" s="239">
        <v>217</v>
      </c>
      <c r="E47" s="239">
        <f t="shared" si="4"/>
        <v>88</v>
      </c>
      <c r="F47" s="238">
        <f t="shared" si="5"/>
        <v>0.68217054263565891</v>
      </c>
    </row>
    <row r="48" spans="1:6" ht="20.25" customHeight="1" x14ac:dyDescent="0.3">
      <c r="A48" s="235">
        <v>9</v>
      </c>
      <c r="B48" s="236" t="s">
        <v>440</v>
      </c>
      <c r="C48" s="239">
        <v>167</v>
      </c>
      <c r="D48" s="239">
        <v>176</v>
      </c>
      <c r="E48" s="239">
        <f t="shared" si="4"/>
        <v>9</v>
      </c>
      <c r="F48" s="238">
        <f t="shared" si="5"/>
        <v>5.3892215568862277E-2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14524465</v>
      </c>
      <c r="D49" s="243">
        <f>+D40+D42</f>
        <v>17527566</v>
      </c>
      <c r="E49" s="243">
        <f t="shared" si="4"/>
        <v>3003101</v>
      </c>
      <c r="F49" s="244">
        <f t="shared" si="5"/>
        <v>0.20676155713824915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7833721</v>
      </c>
      <c r="D50" s="243">
        <f>+D41+D43</f>
        <v>6818955</v>
      </c>
      <c r="E50" s="243">
        <f t="shared" si="4"/>
        <v>-1014766</v>
      </c>
      <c r="F50" s="244">
        <f t="shared" si="5"/>
        <v>-0.12953818498259001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26111048</v>
      </c>
      <c r="D53" s="237">
        <v>29883268</v>
      </c>
      <c r="E53" s="237">
        <f t="shared" ref="E53:E63" si="6">D53-C53</f>
        <v>3772220</v>
      </c>
      <c r="F53" s="238">
        <f t="shared" ref="F53:F63" si="7">IF(C53=0,0,E53/C53)</f>
        <v>0.14446834918307377</v>
      </c>
    </row>
    <row r="54" spans="1:6" ht="20.25" customHeight="1" x14ac:dyDescent="0.3">
      <c r="A54" s="235">
        <v>2</v>
      </c>
      <c r="B54" s="236" t="s">
        <v>435</v>
      </c>
      <c r="C54" s="237">
        <v>13753478</v>
      </c>
      <c r="D54" s="237">
        <v>14614959</v>
      </c>
      <c r="E54" s="237">
        <f t="shared" si="6"/>
        <v>861481</v>
      </c>
      <c r="F54" s="238">
        <f t="shared" si="7"/>
        <v>6.263731981103253E-2</v>
      </c>
    </row>
    <row r="55" spans="1:6" ht="20.25" customHeight="1" x14ac:dyDescent="0.3">
      <c r="A55" s="235">
        <v>3</v>
      </c>
      <c r="B55" s="236" t="s">
        <v>436</v>
      </c>
      <c r="C55" s="237">
        <v>11789536</v>
      </c>
      <c r="D55" s="237">
        <v>14871781</v>
      </c>
      <c r="E55" s="237">
        <f t="shared" si="6"/>
        <v>3082245</v>
      </c>
      <c r="F55" s="238">
        <f t="shared" si="7"/>
        <v>0.26143904221506259</v>
      </c>
    </row>
    <row r="56" spans="1:6" ht="20.25" customHeight="1" x14ac:dyDescent="0.3">
      <c r="A56" s="235">
        <v>4</v>
      </c>
      <c r="B56" s="236" t="s">
        <v>437</v>
      </c>
      <c r="C56" s="237">
        <v>2533729</v>
      </c>
      <c r="D56" s="237">
        <v>3607618</v>
      </c>
      <c r="E56" s="237">
        <f t="shared" si="6"/>
        <v>1073889</v>
      </c>
      <c r="F56" s="238">
        <f t="shared" si="7"/>
        <v>0.42383735592875166</v>
      </c>
    </row>
    <row r="57" spans="1:6" ht="20.25" customHeight="1" x14ac:dyDescent="0.3">
      <c r="A57" s="235">
        <v>5</v>
      </c>
      <c r="B57" s="236" t="s">
        <v>373</v>
      </c>
      <c r="C57" s="239">
        <v>789</v>
      </c>
      <c r="D57" s="239">
        <v>907</v>
      </c>
      <c r="E57" s="239">
        <f t="shared" si="6"/>
        <v>118</v>
      </c>
      <c r="F57" s="238">
        <f t="shared" si="7"/>
        <v>0.14955640050697086</v>
      </c>
    </row>
    <row r="58" spans="1:6" ht="20.25" customHeight="1" x14ac:dyDescent="0.3">
      <c r="A58" s="235">
        <v>6</v>
      </c>
      <c r="B58" s="236" t="s">
        <v>372</v>
      </c>
      <c r="C58" s="239">
        <v>4456</v>
      </c>
      <c r="D58" s="239">
        <v>4744</v>
      </c>
      <c r="E58" s="239">
        <f t="shared" si="6"/>
        <v>288</v>
      </c>
      <c r="F58" s="238">
        <f t="shared" si="7"/>
        <v>6.4631956912028721E-2</v>
      </c>
    </row>
    <row r="59" spans="1:6" ht="20.25" customHeight="1" x14ac:dyDescent="0.3">
      <c r="A59" s="235">
        <v>7</v>
      </c>
      <c r="B59" s="236" t="s">
        <v>438</v>
      </c>
      <c r="C59" s="239">
        <v>3479</v>
      </c>
      <c r="D59" s="239">
        <v>3942</v>
      </c>
      <c r="E59" s="239">
        <f t="shared" si="6"/>
        <v>463</v>
      </c>
      <c r="F59" s="238">
        <f t="shared" si="7"/>
        <v>0.1330842196033343</v>
      </c>
    </row>
    <row r="60" spans="1:6" ht="20.25" customHeight="1" x14ac:dyDescent="0.3">
      <c r="A60" s="235">
        <v>8</v>
      </c>
      <c r="B60" s="236" t="s">
        <v>439</v>
      </c>
      <c r="C60" s="239">
        <v>449</v>
      </c>
      <c r="D60" s="239">
        <v>433</v>
      </c>
      <c r="E60" s="239">
        <f t="shared" si="6"/>
        <v>-16</v>
      </c>
      <c r="F60" s="238">
        <f t="shared" si="7"/>
        <v>-3.5634743875278395E-2</v>
      </c>
    </row>
    <row r="61" spans="1:6" ht="20.25" customHeight="1" x14ac:dyDescent="0.3">
      <c r="A61" s="235">
        <v>9</v>
      </c>
      <c r="B61" s="236" t="s">
        <v>440</v>
      </c>
      <c r="C61" s="239">
        <v>481</v>
      </c>
      <c r="D61" s="239">
        <v>516</v>
      </c>
      <c r="E61" s="239">
        <f t="shared" si="6"/>
        <v>35</v>
      </c>
      <c r="F61" s="238">
        <f t="shared" si="7"/>
        <v>7.2765072765072769E-2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37900584</v>
      </c>
      <c r="D62" s="243">
        <f>+D53+D55</f>
        <v>44755049</v>
      </c>
      <c r="E62" s="243">
        <f t="shared" si="6"/>
        <v>6854465</v>
      </c>
      <c r="F62" s="244">
        <f t="shared" si="7"/>
        <v>0.18085380953496652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16287207</v>
      </c>
      <c r="D63" s="243">
        <f>+D54+D56</f>
        <v>18222577</v>
      </c>
      <c r="E63" s="243">
        <f t="shared" si="6"/>
        <v>1935370</v>
      </c>
      <c r="F63" s="244">
        <f t="shared" si="7"/>
        <v>0.1188276172826931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2557278</v>
      </c>
      <c r="D66" s="237">
        <v>1915909</v>
      </c>
      <c r="E66" s="237">
        <f t="shared" ref="E66:E76" si="8">D66-C66</f>
        <v>-641369</v>
      </c>
      <c r="F66" s="238">
        <f t="shared" ref="F66:F76" si="9">IF(C66=0,0,E66/C66)</f>
        <v>-0.25080143809159583</v>
      </c>
    </row>
    <row r="67" spans="1:6" ht="20.25" customHeight="1" x14ac:dyDescent="0.3">
      <c r="A67" s="235">
        <v>2</v>
      </c>
      <c r="B67" s="236" t="s">
        <v>435</v>
      </c>
      <c r="C67" s="237">
        <v>1868166</v>
      </c>
      <c r="D67" s="237">
        <v>1188718</v>
      </c>
      <c r="E67" s="237">
        <f t="shared" si="8"/>
        <v>-679448</v>
      </c>
      <c r="F67" s="238">
        <f t="shared" si="9"/>
        <v>-0.36369787267298515</v>
      </c>
    </row>
    <row r="68" spans="1:6" ht="20.25" customHeight="1" x14ac:dyDescent="0.3">
      <c r="A68" s="235">
        <v>3</v>
      </c>
      <c r="B68" s="236" t="s">
        <v>436</v>
      </c>
      <c r="C68" s="237">
        <v>1096051</v>
      </c>
      <c r="D68" s="237">
        <v>1397704</v>
      </c>
      <c r="E68" s="237">
        <f t="shared" si="8"/>
        <v>301653</v>
      </c>
      <c r="F68" s="238">
        <f t="shared" si="9"/>
        <v>0.27521803273752771</v>
      </c>
    </row>
    <row r="69" spans="1:6" ht="20.25" customHeight="1" x14ac:dyDescent="0.3">
      <c r="A69" s="235">
        <v>4</v>
      </c>
      <c r="B69" s="236" t="s">
        <v>437</v>
      </c>
      <c r="C69" s="237">
        <v>345975</v>
      </c>
      <c r="D69" s="237">
        <v>1035148</v>
      </c>
      <c r="E69" s="237">
        <f t="shared" si="8"/>
        <v>689173</v>
      </c>
      <c r="F69" s="238">
        <f t="shared" si="9"/>
        <v>1.9919734084832719</v>
      </c>
    </row>
    <row r="70" spans="1:6" ht="20.25" customHeight="1" x14ac:dyDescent="0.3">
      <c r="A70" s="235">
        <v>5</v>
      </c>
      <c r="B70" s="236" t="s">
        <v>373</v>
      </c>
      <c r="C70" s="239">
        <v>99</v>
      </c>
      <c r="D70" s="239">
        <v>67</v>
      </c>
      <c r="E70" s="239">
        <f t="shared" si="8"/>
        <v>-32</v>
      </c>
      <c r="F70" s="238">
        <f t="shared" si="9"/>
        <v>-0.32323232323232326</v>
      </c>
    </row>
    <row r="71" spans="1:6" ht="20.25" customHeight="1" x14ac:dyDescent="0.3">
      <c r="A71" s="235">
        <v>6</v>
      </c>
      <c r="B71" s="236" t="s">
        <v>372</v>
      </c>
      <c r="C71" s="239">
        <v>650</v>
      </c>
      <c r="D71" s="239">
        <v>391</v>
      </c>
      <c r="E71" s="239">
        <f t="shared" si="8"/>
        <v>-259</v>
      </c>
      <c r="F71" s="238">
        <f t="shared" si="9"/>
        <v>-0.39846153846153848</v>
      </c>
    </row>
    <row r="72" spans="1:6" ht="20.25" customHeight="1" x14ac:dyDescent="0.3">
      <c r="A72" s="235">
        <v>7</v>
      </c>
      <c r="B72" s="236" t="s">
        <v>438</v>
      </c>
      <c r="C72" s="239">
        <v>408</v>
      </c>
      <c r="D72" s="239">
        <v>319</v>
      </c>
      <c r="E72" s="239">
        <f t="shared" si="8"/>
        <v>-89</v>
      </c>
      <c r="F72" s="238">
        <f t="shared" si="9"/>
        <v>-0.21813725490196079</v>
      </c>
    </row>
    <row r="73" spans="1:6" ht="20.25" customHeight="1" x14ac:dyDescent="0.3">
      <c r="A73" s="235">
        <v>8</v>
      </c>
      <c r="B73" s="236" t="s">
        <v>439</v>
      </c>
      <c r="C73" s="239">
        <v>84</v>
      </c>
      <c r="D73" s="239">
        <v>72</v>
      </c>
      <c r="E73" s="239">
        <f t="shared" si="8"/>
        <v>-12</v>
      </c>
      <c r="F73" s="238">
        <f t="shared" si="9"/>
        <v>-0.14285714285714285</v>
      </c>
    </row>
    <row r="74" spans="1:6" ht="20.25" customHeight="1" x14ac:dyDescent="0.3">
      <c r="A74" s="235">
        <v>9</v>
      </c>
      <c r="B74" s="236" t="s">
        <v>440</v>
      </c>
      <c r="C74" s="239">
        <v>74</v>
      </c>
      <c r="D74" s="239">
        <v>51</v>
      </c>
      <c r="E74" s="239">
        <f t="shared" si="8"/>
        <v>-23</v>
      </c>
      <c r="F74" s="238">
        <f t="shared" si="9"/>
        <v>-0.3108108108108108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3653329</v>
      </c>
      <c r="D75" s="243">
        <f>+D66+D68</f>
        <v>3313613</v>
      </c>
      <c r="E75" s="243">
        <f t="shared" si="8"/>
        <v>-339716</v>
      </c>
      <c r="F75" s="244">
        <f t="shared" si="9"/>
        <v>-9.2988066500443847E-2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2214141</v>
      </c>
      <c r="D76" s="243">
        <f>+D67+D69</f>
        <v>2223866</v>
      </c>
      <c r="E76" s="243">
        <f t="shared" si="8"/>
        <v>9725</v>
      </c>
      <c r="F76" s="244">
        <f t="shared" si="9"/>
        <v>4.3922225368664414E-3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7133512</v>
      </c>
      <c r="D105" s="237">
        <v>5581992</v>
      </c>
      <c r="E105" s="237">
        <f t="shared" ref="E105:E115" si="14">D105-C105</f>
        <v>-1551520</v>
      </c>
      <c r="F105" s="238">
        <f t="shared" ref="F105:F115" si="15">IF(C105=0,0,E105/C105)</f>
        <v>-0.21749735614098636</v>
      </c>
    </row>
    <row r="106" spans="1:6" ht="20.25" customHeight="1" x14ac:dyDescent="0.3">
      <c r="A106" s="235">
        <v>2</v>
      </c>
      <c r="B106" s="236" t="s">
        <v>435</v>
      </c>
      <c r="C106" s="237">
        <v>3113558</v>
      </c>
      <c r="D106" s="237">
        <v>2375251</v>
      </c>
      <c r="E106" s="237">
        <f t="shared" si="14"/>
        <v>-738307</v>
      </c>
      <c r="F106" s="238">
        <f t="shared" si="15"/>
        <v>-0.2371264643215254</v>
      </c>
    </row>
    <row r="107" spans="1:6" ht="20.25" customHeight="1" x14ac:dyDescent="0.3">
      <c r="A107" s="235">
        <v>3</v>
      </c>
      <c r="B107" s="236" t="s">
        <v>436</v>
      </c>
      <c r="C107" s="237">
        <v>5252365</v>
      </c>
      <c r="D107" s="237">
        <v>6269150</v>
      </c>
      <c r="E107" s="237">
        <f t="shared" si="14"/>
        <v>1016785</v>
      </c>
      <c r="F107" s="238">
        <f t="shared" si="15"/>
        <v>0.19358612739213668</v>
      </c>
    </row>
    <row r="108" spans="1:6" ht="20.25" customHeight="1" x14ac:dyDescent="0.3">
      <c r="A108" s="235">
        <v>4</v>
      </c>
      <c r="B108" s="236" t="s">
        <v>437</v>
      </c>
      <c r="C108" s="237">
        <v>1144018</v>
      </c>
      <c r="D108" s="237">
        <v>1217526</v>
      </c>
      <c r="E108" s="237">
        <f t="shared" si="14"/>
        <v>73508</v>
      </c>
      <c r="F108" s="238">
        <f t="shared" si="15"/>
        <v>6.425423376205619E-2</v>
      </c>
    </row>
    <row r="109" spans="1:6" ht="20.25" customHeight="1" x14ac:dyDescent="0.3">
      <c r="A109" s="235">
        <v>5</v>
      </c>
      <c r="B109" s="236" t="s">
        <v>373</v>
      </c>
      <c r="C109" s="239">
        <v>247</v>
      </c>
      <c r="D109" s="239">
        <v>198</v>
      </c>
      <c r="E109" s="239">
        <f t="shared" si="14"/>
        <v>-49</v>
      </c>
      <c r="F109" s="238">
        <f t="shared" si="15"/>
        <v>-0.19838056680161945</v>
      </c>
    </row>
    <row r="110" spans="1:6" ht="20.25" customHeight="1" x14ac:dyDescent="0.3">
      <c r="A110" s="235">
        <v>6</v>
      </c>
      <c r="B110" s="236" t="s">
        <v>372</v>
      </c>
      <c r="C110" s="239">
        <v>1332</v>
      </c>
      <c r="D110" s="239">
        <v>1053</v>
      </c>
      <c r="E110" s="239">
        <f t="shared" si="14"/>
        <v>-279</v>
      </c>
      <c r="F110" s="238">
        <f t="shared" si="15"/>
        <v>-0.20945945945945946</v>
      </c>
    </row>
    <row r="111" spans="1:6" ht="20.25" customHeight="1" x14ac:dyDescent="0.3">
      <c r="A111" s="235">
        <v>7</v>
      </c>
      <c r="B111" s="236" t="s">
        <v>438</v>
      </c>
      <c r="C111" s="239">
        <v>2493</v>
      </c>
      <c r="D111" s="239">
        <v>2070</v>
      </c>
      <c r="E111" s="239">
        <f t="shared" si="14"/>
        <v>-423</v>
      </c>
      <c r="F111" s="238">
        <f t="shared" si="15"/>
        <v>-0.16967509025270758</v>
      </c>
    </row>
    <row r="112" spans="1:6" ht="20.25" customHeight="1" x14ac:dyDescent="0.3">
      <c r="A112" s="235">
        <v>8</v>
      </c>
      <c r="B112" s="236" t="s">
        <v>439</v>
      </c>
      <c r="C112" s="239">
        <v>475</v>
      </c>
      <c r="D112" s="239">
        <v>435</v>
      </c>
      <c r="E112" s="239">
        <f t="shared" si="14"/>
        <v>-40</v>
      </c>
      <c r="F112" s="238">
        <f t="shared" si="15"/>
        <v>-8.4210526315789472E-2</v>
      </c>
    </row>
    <row r="113" spans="1:6" ht="20.25" customHeight="1" x14ac:dyDescent="0.3">
      <c r="A113" s="235">
        <v>9</v>
      </c>
      <c r="B113" s="236" t="s">
        <v>440</v>
      </c>
      <c r="C113" s="239">
        <v>176</v>
      </c>
      <c r="D113" s="239">
        <v>160</v>
      </c>
      <c r="E113" s="239">
        <f t="shared" si="14"/>
        <v>-16</v>
      </c>
      <c r="F113" s="238">
        <f t="shared" si="15"/>
        <v>-9.0909090909090912E-2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12385877</v>
      </c>
      <c r="D114" s="243">
        <f>+D105+D107</f>
        <v>11851142</v>
      </c>
      <c r="E114" s="243">
        <f t="shared" si="14"/>
        <v>-534735</v>
      </c>
      <c r="F114" s="244">
        <f t="shared" si="15"/>
        <v>-4.3172962237554915E-2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4257576</v>
      </c>
      <c r="D115" s="243">
        <f>+D106+D108</f>
        <v>3592777</v>
      </c>
      <c r="E115" s="243">
        <f t="shared" si="14"/>
        <v>-664799</v>
      </c>
      <c r="F115" s="244">
        <f t="shared" si="15"/>
        <v>-0.15614495196327677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7032332</v>
      </c>
      <c r="D118" s="237">
        <v>9171902</v>
      </c>
      <c r="E118" s="237">
        <f t="shared" ref="E118:E128" si="16">D118-C118</f>
        <v>2139570</v>
      </c>
      <c r="F118" s="238">
        <f t="shared" ref="F118:F128" si="17">IF(C118=0,0,E118/C118)</f>
        <v>0.30424758103001964</v>
      </c>
    </row>
    <row r="119" spans="1:6" ht="20.25" customHeight="1" x14ac:dyDescent="0.3">
      <c r="A119" s="235">
        <v>2</v>
      </c>
      <c r="B119" s="236" t="s">
        <v>435</v>
      </c>
      <c r="C119" s="237">
        <v>3000319</v>
      </c>
      <c r="D119" s="237">
        <v>3536900</v>
      </c>
      <c r="E119" s="237">
        <f t="shared" si="16"/>
        <v>536581</v>
      </c>
      <c r="F119" s="238">
        <f t="shared" si="17"/>
        <v>0.1788413165400079</v>
      </c>
    </row>
    <row r="120" spans="1:6" ht="20.25" customHeight="1" x14ac:dyDescent="0.3">
      <c r="A120" s="235">
        <v>3</v>
      </c>
      <c r="B120" s="236" t="s">
        <v>436</v>
      </c>
      <c r="C120" s="237">
        <v>3987090</v>
      </c>
      <c r="D120" s="237">
        <v>5450467</v>
      </c>
      <c r="E120" s="237">
        <f t="shared" si="16"/>
        <v>1463377</v>
      </c>
      <c r="F120" s="238">
        <f t="shared" si="17"/>
        <v>0.36702883556679183</v>
      </c>
    </row>
    <row r="121" spans="1:6" ht="20.25" customHeight="1" x14ac:dyDescent="0.3">
      <c r="A121" s="235">
        <v>4</v>
      </c>
      <c r="B121" s="236" t="s">
        <v>437</v>
      </c>
      <c r="C121" s="237">
        <v>772485</v>
      </c>
      <c r="D121" s="237">
        <v>798270</v>
      </c>
      <c r="E121" s="237">
        <f t="shared" si="16"/>
        <v>25785</v>
      </c>
      <c r="F121" s="238">
        <f t="shared" si="17"/>
        <v>3.3379288918231421E-2</v>
      </c>
    </row>
    <row r="122" spans="1:6" ht="20.25" customHeight="1" x14ac:dyDescent="0.3">
      <c r="A122" s="235">
        <v>5</v>
      </c>
      <c r="B122" s="236" t="s">
        <v>373</v>
      </c>
      <c r="C122" s="239">
        <v>261</v>
      </c>
      <c r="D122" s="239">
        <v>308</v>
      </c>
      <c r="E122" s="239">
        <f t="shared" si="16"/>
        <v>47</v>
      </c>
      <c r="F122" s="238">
        <f t="shared" si="17"/>
        <v>0.18007662835249041</v>
      </c>
    </row>
    <row r="123" spans="1:6" ht="20.25" customHeight="1" x14ac:dyDescent="0.3">
      <c r="A123" s="235">
        <v>6</v>
      </c>
      <c r="B123" s="236" t="s">
        <v>372</v>
      </c>
      <c r="C123" s="239">
        <v>1397</v>
      </c>
      <c r="D123" s="239">
        <v>1624</v>
      </c>
      <c r="E123" s="239">
        <f t="shared" si="16"/>
        <v>227</v>
      </c>
      <c r="F123" s="238">
        <f t="shared" si="17"/>
        <v>0.16249105225483179</v>
      </c>
    </row>
    <row r="124" spans="1:6" ht="20.25" customHeight="1" x14ac:dyDescent="0.3">
      <c r="A124" s="235">
        <v>7</v>
      </c>
      <c r="B124" s="236" t="s">
        <v>438</v>
      </c>
      <c r="C124" s="239">
        <v>1084</v>
      </c>
      <c r="D124" s="239">
        <v>1339</v>
      </c>
      <c r="E124" s="239">
        <f t="shared" si="16"/>
        <v>255</v>
      </c>
      <c r="F124" s="238">
        <f t="shared" si="17"/>
        <v>0.23523985239852399</v>
      </c>
    </row>
    <row r="125" spans="1:6" ht="20.25" customHeight="1" x14ac:dyDescent="0.3">
      <c r="A125" s="235">
        <v>8</v>
      </c>
      <c r="B125" s="236" t="s">
        <v>439</v>
      </c>
      <c r="C125" s="239">
        <v>181</v>
      </c>
      <c r="D125" s="239">
        <v>145</v>
      </c>
      <c r="E125" s="239">
        <f t="shared" si="16"/>
        <v>-36</v>
      </c>
      <c r="F125" s="238">
        <f t="shared" si="17"/>
        <v>-0.19889502762430938</v>
      </c>
    </row>
    <row r="126" spans="1:6" ht="20.25" customHeight="1" x14ac:dyDescent="0.3">
      <c r="A126" s="235">
        <v>9</v>
      </c>
      <c r="B126" s="236" t="s">
        <v>440</v>
      </c>
      <c r="C126" s="239">
        <v>163</v>
      </c>
      <c r="D126" s="239">
        <v>194</v>
      </c>
      <c r="E126" s="239">
        <f t="shared" si="16"/>
        <v>31</v>
      </c>
      <c r="F126" s="238">
        <f t="shared" si="17"/>
        <v>0.19018404907975461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11019422</v>
      </c>
      <c r="D127" s="243">
        <f>+D118+D120</f>
        <v>14622369</v>
      </c>
      <c r="E127" s="243">
        <f t="shared" si="16"/>
        <v>3602947</v>
      </c>
      <c r="F127" s="244">
        <f t="shared" si="17"/>
        <v>0.32696333800447974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3772804</v>
      </c>
      <c r="D128" s="243">
        <f>+D119+D121</f>
        <v>4335170</v>
      </c>
      <c r="E128" s="243">
        <f t="shared" si="16"/>
        <v>562366</v>
      </c>
      <c r="F128" s="244">
        <f t="shared" si="17"/>
        <v>0.14905783602858774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17850498</v>
      </c>
      <c r="D183" s="237">
        <v>17693670</v>
      </c>
      <c r="E183" s="237">
        <f t="shared" ref="E183:E193" si="26">D183-C183</f>
        <v>-156828</v>
      </c>
      <c r="F183" s="238">
        <f t="shared" ref="F183:F193" si="27">IF(C183=0,0,E183/C183)</f>
        <v>-8.7856372410450405E-3</v>
      </c>
    </row>
    <row r="184" spans="1:6" ht="20.25" customHeight="1" x14ac:dyDescent="0.3">
      <c r="A184" s="235">
        <v>2</v>
      </c>
      <c r="B184" s="236" t="s">
        <v>435</v>
      </c>
      <c r="C184" s="237">
        <v>9445828</v>
      </c>
      <c r="D184" s="237">
        <v>8048811</v>
      </c>
      <c r="E184" s="237">
        <f t="shared" si="26"/>
        <v>-1397017</v>
      </c>
      <c r="F184" s="238">
        <f t="shared" si="27"/>
        <v>-0.14789778090390807</v>
      </c>
    </row>
    <row r="185" spans="1:6" ht="20.25" customHeight="1" x14ac:dyDescent="0.3">
      <c r="A185" s="235">
        <v>3</v>
      </c>
      <c r="B185" s="236" t="s">
        <v>436</v>
      </c>
      <c r="C185" s="237">
        <v>10060897</v>
      </c>
      <c r="D185" s="237">
        <v>11934555</v>
      </c>
      <c r="E185" s="237">
        <f t="shared" si="26"/>
        <v>1873658</v>
      </c>
      <c r="F185" s="238">
        <f t="shared" si="27"/>
        <v>0.18623170478735643</v>
      </c>
    </row>
    <row r="186" spans="1:6" ht="20.25" customHeight="1" x14ac:dyDescent="0.3">
      <c r="A186" s="235">
        <v>4</v>
      </c>
      <c r="B186" s="236" t="s">
        <v>437</v>
      </c>
      <c r="C186" s="237">
        <v>5750445</v>
      </c>
      <c r="D186" s="237">
        <v>2853643</v>
      </c>
      <c r="E186" s="237">
        <f t="shared" si="26"/>
        <v>-2896802</v>
      </c>
      <c r="F186" s="238">
        <f t="shared" si="27"/>
        <v>-0.50375266609801506</v>
      </c>
    </row>
    <row r="187" spans="1:6" ht="20.25" customHeight="1" x14ac:dyDescent="0.3">
      <c r="A187" s="235">
        <v>5</v>
      </c>
      <c r="B187" s="236" t="s">
        <v>373</v>
      </c>
      <c r="C187" s="239">
        <v>619</v>
      </c>
      <c r="D187" s="239">
        <v>597</v>
      </c>
      <c r="E187" s="239">
        <f t="shared" si="26"/>
        <v>-22</v>
      </c>
      <c r="F187" s="238">
        <f t="shared" si="27"/>
        <v>-3.5541195476575124E-2</v>
      </c>
    </row>
    <row r="188" spans="1:6" ht="20.25" customHeight="1" x14ac:dyDescent="0.3">
      <c r="A188" s="235">
        <v>6</v>
      </c>
      <c r="B188" s="236" t="s">
        <v>372</v>
      </c>
      <c r="C188" s="239">
        <v>3460</v>
      </c>
      <c r="D188" s="239">
        <v>3188</v>
      </c>
      <c r="E188" s="239">
        <f t="shared" si="26"/>
        <v>-272</v>
      </c>
      <c r="F188" s="238">
        <f t="shared" si="27"/>
        <v>-7.8612716763005783E-2</v>
      </c>
    </row>
    <row r="189" spans="1:6" ht="20.25" customHeight="1" x14ac:dyDescent="0.3">
      <c r="A189" s="235">
        <v>7</v>
      </c>
      <c r="B189" s="236" t="s">
        <v>438</v>
      </c>
      <c r="C189" s="239">
        <v>4746</v>
      </c>
      <c r="D189" s="239">
        <v>5083</v>
      </c>
      <c r="E189" s="239">
        <f t="shared" si="26"/>
        <v>337</v>
      </c>
      <c r="F189" s="238">
        <f t="shared" si="27"/>
        <v>7.1007163927517908E-2</v>
      </c>
    </row>
    <row r="190" spans="1:6" ht="20.25" customHeight="1" x14ac:dyDescent="0.3">
      <c r="A190" s="235">
        <v>8</v>
      </c>
      <c r="B190" s="236" t="s">
        <v>439</v>
      </c>
      <c r="C190" s="239">
        <v>1031</v>
      </c>
      <c r="D190" s="239">
        <v>1037</v>
      </c>
      <c r="E190" s="239">
        <f t="shared" si="26"/>
        <v>6</v>
      </c>
      <c r="F190" s="238">
        <f t="shared" si="27"/>
        <v>5.8195926285160042E-3</v>
      </c>
    </row>
    <row r="191" spans="1:6" ht="20.25" customHeight="1" x14ac:dyDescent="0.3">
      <c r="A191" s="235">
        <v>9</v>
      </c>
      <c r="B191" s="236" t="s">
        <v>440</v>
      </c>
      <c r="C191" s="239">
        <v>474</v>
      </c>
      <c r="D191" s="239">
        <v>464</v>
      </c>
      <c r="E191" s="239">
        <f t="shared" si="26"/>
        <v>-10</v>
      </c>
      <c r="F191" s="238">
        <f t="shared" si="27"/>
        <v>-2.1097046413502109E-2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27911395</v>
      </c>
      <c r="D192" s="243">
        <f>+D183+D185</f>
        <v>29628225</v>
      </c>
      <c r="E192" s="243">
        <f t="shared" si="26"/>
        <v>1716830</v>
      </c>
      <c r="F192" s="244">
        <f t="shared" si="27"/>
        <v>6.1510003351677695E-2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15196273</v>
      </c>
      <c r="D193" s="243">
        <f>+D184+D186</f>
        <v>10902454</v>
      </c>
      <c r="E193" s="243">
        <f t="shared" si="26"/>
        <v>-4293819</v>
      </c>
      <c r="F193" s="244">
        <f t="shared" si="27"/>
        <v>-0.28255737442990131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459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72710797</v>
      </c>
      <c r="D198" s="243">
        <f t="shared" si="28"/>
        <v>78312359</v>
      </c>
      <c r="E198" s="243">
        <f t="shared" ref="E198:E208" si="29">D198-C198</f>
        <v>5601562</v>
      </c>
      <c r="F198" s="251">
        <f t="shared" ref="F198:F208" si="30">IF(C198=0,0,E198/C198)</f>
        <v>7.7038929995499841E-2</v>
      </c>
    </row>
    <row r="199" spans="1:9" ht="20.25" customHeight="1" x14ac:dyDescent="0.3">
      <c r="A199" s="249"/>
      <c r="B199" s="250" t="s">
        <v>461</v>
      </c>
      <c r="C199" s="243">
        <f t="shared" si="28"/>
        <v>38129115</v>
      </c>
      <c r="D199" s="243">
        <f t="shared" si="28"/>
        <v>36423058</v>
      </c>
      <c r="E199" s="243">
        <f t="shared" si="29"/>
        <v>-1706057</v>
      </c>
      <c r="F199" s="251">
        <f t="shared" si="30"/>
        <v>-4.4744206625304574E-2</v>
      </c>
    </row>
    <row r="200" spans="1:9" ht="20.25" customHeight="1" x14ac:dyDescent="0.3">
      <c r="A200" s="249"/>
      <c r="B200" s="250" t="s">
        <v>462</v>
      </c>
      <c r="C200" s="243">
        <f t="shared" si="28"/>
        <v>37868365</v>
      </c>
      <c r="D200" s="243">
        <f t="shared" si="28"/>
        <v>48316533</v>
      </c>
      <c r="E200" s="243">
        <f t="shared" si="29"/>
        <v>10448168</v>
      </c>
      <c r="F200" s="251">
        <f t="shared" si="30"/>
        <v>0.2759075550264713</v>
      </c>
    </row>
    <row r="201" spans="1:9" ht="20.25" customHeight="1" x14ac:dyDescent="0.3">
      <c r="A201" s="249"/>
      <c r="B201" s="250" t="s">
        <v>463</v>
      </c>
      <c r="C201" s="243">
        <f t="shared" si="28"/>
        <v>12589376</v>
      </c>
      <c r="D201" s="243">
        <f t="shared" si="28"/>
        <v>11754987</v>
      </c>
      <c r="E201" s="243">
        <f t="shared" si="29"/>
        <v>-834389</v>
      </c>
      <c r="F201" s="251">
        <f t="shared" si="30"/>
        <v>-6.6277232485549717E-2</v>
      </c>
    </row>
    <row r="202" spans="1:9" ht="20.25" customHeight="1" x14ac:dyDescent="0.3">
      <c r="A202" s="249"/>
      <c r="B202" s="250" t="s">
        <v>464</v>
      </c>
      <c r="C202" s="252">
        <f t="shared" si="28"/>
        <v>2413</v>
      </c>
      <c r="D202" s="252">
        <f t="shared" si="28"/>
        <v>2545</v>
      </c>
      <c r="E202" s="252">
        <f t="shared" si="29"/>
        <v>132</v>
      </c>
      <c r="F202" s="251">
        <f t="shared" si="30"/>
        <v>5.4703688354745129E-2</v>
      </c>
    </row>
    <row r="203" spans="1:9" ht="20.25" customHeight="1" x14ac:dyDescent="0.3">
      <c r="A203" s="249"/>
      <c r="B203" s="250" t="s">
        <v>465</v>
      </c>
      <c r="C203" s="252">
        <f t="shared" si="28"/>
        <v>13536</v>
      </c>
      <c r="D203" s="252">
        <f t="shared" si="28"/>
        <v>13160</v>
      </c>
      <c r="E203" s="252">
        <f t="shared" si="29"/>
        <v>-376</v>
      </c>
      <c r="F203" s="251">
        <f t="shared" si="30"/>
        <v>-2.7777777777777776E-2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14084</v>
      </c>
      <c r="D204" s="252">
        <f t="shared" si="28"/>
        <v>15219</v>
      </c>
      <c r="E204" s="252">
        <f t="shared" si="29"/>
        <v>1135</v>
      </c>
      <c r="F204" s="251">
        <f t="shared" si="30"/>
        <v>8.0587901164441922E-2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2387</v>
      </c>
      <c r="D205" s="252">
        <f t="shared" si="28"/>
        <v>2411</v>
      </c>
      <c r="E205" s="252">
        <f t="shared" si="29"/>
        <v>24</v>
      </c>
      <c r="F205" s="251">
        <f t="shared" si="30"/>
        <v>1.0054461667364893E-2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1575</v>
      </c>
      <c r="D206" s="252">
        <f t="shared" si="28"/>
        <v>1624</v>
      </c>
      <c r="E206" s="252">
        <f t="shared" si="29"/>
        <v>49</v>
      </c>
      <c r="F206" s="251">
        <f t="shared" si="30"/>
        <v>3.111111111111111E-2</v>
      </c>
    </row>
    <row r="207" spans="1:9" ht="20.25" customHeight="1" x14ac:dyDescent="0.3">
      <c r="A207" s="249"/>
      <c r="B207" s="242" t="s">
        <v>469</v>
      </c>
      <c r="C207" s="243">
        <f>+C198+C200</f>
        <v>110579162</v>
      </c>
      <c r="D207" s="243">
        <f>+D198+D200</f>
        <v>126628892</v>
      </c>
      <c r="E207" s="243">
        <f t="shared" si="29"/>
        <v>16049730</v>
      </c>
      <c r="F207" s="251">
        <f t="shared" si="30"/>
        <v>0.14514244555407282</v>
      </c>
    </row>
    <row r="208" spans="1:9" ht="20.25" customHeight="1" x14ac:dyDescent="0.3">
      <c r="A208" s="249"/>
      <c r="B208" s="242" t="s">
        <v>470</v>
      </c>
      <c r="C208" s="243">
        <f>+C199+C201</f>
        <v>50718491</v>
      </c>
      <c r="D208" s="243">
        <f>+D199+D201</f>
        <v>48178045</v>
      </c>
      <c r="E208" s="243">
        <f t="shared" si="29"/>
        <v>-2540446</v>
      </c>
      <c r="F208" s="251">
        <f t="shared" si="30"/>
        <v>-5.0089147959863398E-2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FRANCIS HOSPITAL AND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A3" sqref="A3:F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471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5254513</v>
      </c>
      <c r="D14" s="237">
        <v>0</v>
      </c>
      <c r="E14" s="237">
        <f t="shared" ref="E14:E24" si="0">D14-C14</f>
        <v>-5254513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1243799</v>
      </c>
      <c r="D15" s="237">
        <v>0</v>
      </c>
      <c r="E15" s="237">
        <f t="shared" si="0"/>
        <v>-1243799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7524275</v>
      </c>
      <c r="D16" s="237">
        <v>0</v>
      </c>
      <c r="E16" s="237">
        <f t="shared" si="0"/>
        <v>-7524275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1215942</v>
      </c>
      <c r="D17" s="237">
        <v>0</v>
      </c>
      <c r="E17" s="237">
        <f t="shared" si="0"/>
        <v>-1215942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502</v>
      </c>
      <c r="D18" s="239">
        <v>0</v>
      </c>
      <c r="E18" s="239">
        <f t="shared" si="0"/>
        <v>-502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1666</v>
      </c>
      <c r="D19" s="239">
        <v>0</v>
      </c>
      <c r="E19" s="239">
        <f t="shared" si="0"/>
        <v>-1666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7954</v>
      </c>
      <c r="D20" s="239">
        <v>0</v>
      </c>
      <c r="E20" s="239">
        <f t="shared" si="0"/>
        <v>-7954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1731</v>
      </c>
      <c r="D21" s="239">
        <v>0</v>
      </c>
      <c r="E21" s="239">
        <f t="shared" si="0"/>
        <v>-1731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80</v>
      </c>
      <c r="D22" s="239">
        <v>0</v>
      </c>
      <c r="E22" s="239">
        <f t="shared" si="0"/>
        <v>-80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12778788</v>
      </c>
      <c r="D23" s="243">
        <f>+D14+D16</f>
        <v>0</v>
      </c>
      <c r="E23" s="243">
        <f t="shared" si="0"/>
        <v>-12778788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2459741</v>
      </c>
      <c r="D24" s="243">
        <f>+D15+D17</f>
        <v>0</v>
      </c>
      <c r="E24" s="243">
        <f t="shared" si="0"/>
        <v>-2459741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18509663</v>
      </c>
      <c r="D26" s="237">
        <v>23183660</v>
      </c>
      <c r="E26" s="237">
        <f t="shared" ref="E26:E36" si="2">D26-C26</f>
        <v>4673997</v>
      </c>
      <c r="F26" s="238">
        <f t="shared" ref="F26:F36" si="3">IF(C26=0,0,E26/C26)</f>
        <v>0.25251659092874895</v>
      </c>
    </row>
    <row r="27" spans="1:6" ht="20.25" customHeight="1" x14ac:dyDescent="0.3">
      <c r="A27" s="235">
        <v>2</v>
      </c>
      <c r="B27" s="236" t="s">
        <v>435</v>
      </c>
      <c r="C27" s="237">
        <v>8495261</v>
      </c>
      <c r="D27" s="237">
        <v>7006782</v>
      </c>
      <c r="E27" s="237">
        <f t="shared" si="2"/>
        <v>-1488479</v>
      </c>
      <c r="F27" s="238">
        <f t="shared" si="3"/>
        <v>-0.17521286279491591</v>
      </c>
    </row>
    <row r="28" spans="1:6" ht="20.25" customHeight="1" x14ac:dyDescent="0.3">
      <c r="A28" s="235">
        <v>3</v>
      </c>
      <c r="B28" s="236" t="s">
        <v>436</v>
      </c>
      <c r="C28" s="237">
        <v>20126973</v>
      </c>
      <c r="D28" s="237">
        <v>29608258</v>
      </c>
      <c r="E28" s="237">
        <f t="shared" si="2"/>
        <v>9481285</v>
      </c>
      <c r="F28" s="238">
        <f t="shared" si="3"/>
        <v>0.47107356878751711</v>
      </c>
    </row>
    <row r="29" spans="1:6" ht="20.25" customHeight="1" x14ac:dyDescent="0.3">
      <c r="A29" s="235">
        <v>4</v>
      </c>
      <c r="B29" s="236" t="s">
        <v>437</v>
      </c>
      <c r="C29" s="237">
        <v>5657077</v>
      </c>
      <c r="D29" s="237">
        <v>7722154</v>
      </c>
      <c r="E29" s="237">
        <f t="shared" si="2"/>
        <v>2065077</v>
      </c>
      <c r="F29" s="238">
        <f t="shared" si="3"/>
        <v>0.36504311325442451</v>
      </c>
    </row>
    <row r="30" spans="1:6" ht="20.25" customHeight="1" x14ac:dyDescent="0.3">
      <c r="A30" s="235">
        <v>5</v>
      </c>
      <c r="B30" s="236" t="s">
        <v>373</v>
      </c>
      <c r="C30" s="239">
        <v>1392</v>
      </c>
      <c r="D30" s="239">
        <v>1612</v>
      </c>
      <c r="E30" s="239">
        <f t="shared" si="2"/>
        <v>220</v>
      </c>
      <c r="F30" s="238">
        <f t="shared" si="3"/>
        <v>0.15804597701149425</v>
      </c>
    </row>
    <row r="31" spans="1:6" ht="20.25" customHeight="1" x14ac:dyDescent="0.3">
      <c r="A31" s="235">
        <v>6</v>
      </c>
      <c r="B31" s="236" t="s">
        <v>372</v>
      </c>
      <c r="C31" s="239">
        <v>5467</v>
      </c>
      <c r="D31" s="239">
        <v>5785</v>
      </c>
      <c r="E31" s="239">
        <f t="shared" si="2"/>
        <v>318</v>
      </c>
      <c r="F31" s="238">
        <f t="shared" si="3"/>
        <v>5.8167184927748306E-2</v>
      </c>
    </row>
    <row r="32" spans="1:6" ht="20.25" customHeight="1" x14ac:dyDescent="0.3">
      <c r="A32" s="235">
        <v>7</v>
      </c>
      <c r="B32" s="236" t="s">
        <v>438</v>
      </c>
      <c r="C32" s="239">
        <v>21499</v>
      </c>
      <c r="D32" s="239">
        <v>26568</v>
      </c>
      <c r="E32" s="239">
        <f t="shared" si="2"/>
        <v>5069</v>
      </c>
      <c r="F32" s="238">
        <f t="shared" si="3"/>
        <v>0.23577840829806038</v>
      </c>
    </row>
    <row r="33" spans="1:6" ht="20.25" customHeight="1" x14ac:dyDescent="0.3">
      <c r="A33" s="235">
        <v>8</v>
      </c>
      <c r="B33" s="236" t="s">
        <v>439</v>
      </c>
      <c r="C33" s="239">
        <v>4608</v>
      </c>
      <c r="D33" s="239">
        <v>6053</v>
      </c>
      <c r="E33" s="239">
        <f t="shared" si="2"/>
        <v>1445</v>
      </c>
      <c r="F33" s="238">
        <f t="shared" si="3"/>
        <v>0.31358506944444442</v>
      </c>
    </row>
    <row r="34" spans="1:6" ht="20.25" customHeight="1" x14ac:dyDescent="0.3">
      <c r="A34" s="235">
        <v>9</v>
      </c>
      <c r="B34" s="236" t="s">
        <v>440</v>
      </c>
      <c r="C34" s="239">
        <v>181</v>
      </c>
      <c r="D34" s="239">
        <v>299</v>
      </c>
      <c r="E34" s="239">
        <f t="shared" si="2"/>
        <v>118</v>
      </c>
      <c r="F34" s="238">
        <f t="shared" si="3"/>
        <v>0.65193370165745856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38636636</v>
      </c>
      <c r="D35" s="243">
        <f>+D26+D28</f>
        <v>52791918</v>
      </c>
      <c r="E35" s="243">
        <f t="shared" si="2"/>
        <v>14155282</v>
      </c>
      <c r="F35" s="244">
        <f t="shared" si="3"/>
        <v>0.36636942201696854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14152338</v>
      </c>
      <c r="D36" s="243">
        <f>+D27+D29</f>
        <v>14728936</v>
      </c>
      <c r="E36" s="243">
        <f t="shared" si="2"/>
        <v>576598</v>
      </c>
      <c r="F36" s="244">
        <f t="shared" si="3"/>
        <v>4.0742243437091458E-2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6951753</v>
      </c>
      <c r="D50" s="237">
        <v>6016867</v>
      </c>
      <c r="E50" s="237">
        <f t="shared" ref="E50:E60" si="6">D50-C50</f>
        <v>-934886</v>
      </c>
      <c r="F50" s="238">
        <f t="shared" ref="F50:F60" si="7">IF(C50=0,0,E50/C50)</f>
        <v>-0.13448205078632686</v>
      </c>
    </row>
    <row r="51" spans="1:6" ht="20.25" customHeight="1" x14ac:dyDescent="0.3">
      <c r="A51" s="235">
        <v>2</v>
      </c>
      <c r="B51" s="236" t="s">
        <v>435</v>
      </c>
      <c r="C51" s="237">
        <v>3785923</v>
      </c>
      <c r="D51" s="237">
        <v>3486632</v>
      </c>
      <c r="E51" s="237">
        <f t="shared" si="6"/>
        <v>-299291</v>
      </c>
      <c r="F51" s="238">
        <f t="shared" si="7"/>
        <v>-7.9053641608664516E-2</v>
      </c>
    </row>
    <row r="52" spans="1:6" ht="20.25" customHeight="1" x14ac:dyDescent="0.3">
      <c r="A52" s="235">
        <v>3</v>
      </c>
      <c r="B52" s="236" t="s">
        <v>436</v>
      </c>
      <c r="C52" s="237">
        <v>1689004</v>
      </c>
      <c r="D52" s="237">
        <v>397</v>
      </c>
      <c r="E52" s="237">
        <f t="shared" si="6"/>
        <v>-1688607</v>
      </c>
      <c r="F52" s="238">
        <f t="shared" si="7"/>
        <v>-0.99976495023102374</v>
      </c>
    </row>
    <row r="53" spans="1:6" ht="20.25" customHeight="1" x14ac:dyDescent="0.3">
      <c r="A53" s="235">
        <v>4</v>
      </c>
      <c r="B53" s="236" t="s">
        <v>437</v>
      </c>
      <c r="C53" s="237">
        <v>750712</v>
      </c>
      <c r="D53" s="237">
        <v>397</v>
      </c>
      <c r="E53" s="237">
        <f t="shared" si="6"/>
        <v>-750315</v>
      </c>
      <c r="F53" s="238">
        <f t="shared" si="7"/>
        <v>-0.99947116870384378</v>
      </c>
    </row>
    <row r="54" spans="1:6" ht="20.25" customHeight="1" x14ac:dyDescent="0.3">
      <c r="A54" s="235">
        <v>5</v>
      </c>
      <c r="B54" s="236" t="s">
        <v>373</v>
      </c>
      <c r="C54" s="239">
        <v>558</v>
      </c>
      <c r="D54" s="239">
        <v>408</v>
      </c>
      <c r="E54" s="239">
        <f t="shared" si="6"/>
        <v>-150</v>
      </c>
      <c r="F54" s="238">
        <f t="shared" si="7"/>
        <v>-0.26881720430107525</v>
      </c>
    </row>
    <row r="55" spans="1:6" ht="20.25" customHeight="1" x14ac:dyDescent="0.3">
      <c r="A55" s="235">
        <v>6</v>
      </c>
      <c r="B55" s="236" t="s">
        <v>372</v>
      </c>
      <c r="C55" s="239">
        <v>5003</v>
      </c>
      <c r="D55" s="239">
        <v>4867</v>
      </c>
      <c r="E55" s="239">
        <f t="shared" si="6"/>
        <v>-136</v>
      </c>
      <c r="F55" s="238">
        <f t="shared" si="7"/>
        <v>-2.7183689786128323E-2</v>
      </c>
    </row>
    <row r="56" spans="1:6" ht="20.25" customHeight="1" x14ac:dyDescent="0.3">
      <c r="A56" s="235">
        <v>7</v>
      </c>
      <c r="B56" s="236" t="s">
        <v>438</v>
      </c>
      <c r="C56" s="239">
        <v>1794</v>
      </c>
      <c r="D56" s="239">
        <v>91</v>
      </c>
      <c r="E56" s="239">
        <f t="shared" si="6"/>
        <v>-1703</v>
      </c>
      <c r="F56" s="238">
        <f t="shared" si="7"/>
        <v>-0.94927536231884058</v>
      </c>
    </row>
    <row r="57" spans="1:6" ht="20.25" customHeight="1" x14ac:dyDescent="0.3">
      <c r="A57" s="235">
        <v>8</v>
      </c>
      <c r="B57" s="236" t="s">
        <v>439</v>
      </c>
      <c r="C57" s="239">
        <v>521</v>
      </c>
      <c r="D57" s="239">
        <v>11</v>
      </c>
      <c r="E57" s="239">
        <f t="shared" si="6"/>
        <v>-510</v>
      </c>
      <c r="F57" s="238">
        <f t="shared" si="7"/>
        <v>-0.97888675623800381</v>
      </c>
    </row>
    <row r="58" spans="1:6" ht="20.25" customHeight="1" x14ac:dyDescent="0.3">
      <c r="A58" s="235">
        <v>9</v>
      </c>
      <c r="B58" s="236" t="s">
        <v>440</v>
      </c>
      <c r="C58" s="239">
        <v>120</v>
      </c>
      <c r="D58" s="239">
        <v>130</v>
      </c>
      <c r="E58" s="239">
        <f t="shared" si="6"/>
        <v>10</v>
      </c>
      <c r="F58" s="238">
        <f t="shared" si="7"/>
        <v>8.3333333333333329E-2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8640757</v>
      </c>
      <c r="D59" s="243">
        <f>+D50+D52</f>
        <v>6017264</v>
      </c>
      <c r="E59" s="243">
        <f t="shared" si="6"/>
        <v>-2623493</v>
      </c>
      <c r="F59" s="244">
        <f t="shared" si="7"/>
        <v>-0.30361842139525508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4536635</v>
      </c>
      <c r="D60" s="243">
        <f>+D51+D53</f>
        <v>3487029</v>
      </c>
      <c r="E60" s="243">
        <f t="shared" si="6"/>
        <v>-1049606</v>
      </c>
      <c r="F60" s="244">
        <f t="shared" si="7"/>
        <v>-0.23136223213901935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3618326</v>
      </c>
      <c r="D86" s="237">
        <v>7005008</v>
      </c>
      <c r="E86" s="237">
        <f t="shared" ref="E86:E96" si="12">D86-C86</f>
        <v>3386682</v>
      </c>
      <c r="F86" s="238">
        <f t="shared" ref="F86:F96" si="13">IF(C86=0,0,E86/C86)</f>
        <v>0.93598034007991537</v>
      </c>
    </row>
    <row r="87" spans="1:6" ht="20.25" customHeight="1" x14ac:dyDescent="0.3">
      <c r="A87" s="235">
        <v>2</v>
      </c>
      <c r="B87" s="236" t="s">
        <v>435</v>
      </c>
      <c r="C87" s="237">
        <v>1559597</v>
      </c>
      <c r="D87" s="237">
        <v>2257356</v>
      </c>
      <c r="E87" s="237">
        <f t="shared" si="12"/>
        <v>697759</v>
      </c>
      <c r="F87" s="238">
        <f t="shared" si="13"/>
        <v>0.44739698781159493</v>
      </c>
    </row>
    <row r="88" spans="1:6" ht="20.25" customHeight="1" x14ac:dyDescent="0.3">
      <c r="A88" s="235">
        <v>3</v>
      </c>
      <c r="B88" s="236" t="s">
        <v>436</v>
      </c>
      <c r="C88" s="237">
        <v>4757177</v>
      </c>
      <c r="D88" s="237">
        <v>7785191</v>
      </c>
      <c r="E88" s="237">
        <f t="shared" si="12"/>
        <v>3028014</v>
      </c>
      <c r="F88" s="238">
        <f t="shared" si="13"/>
        <v>0.63651489107931025</v>
      </c>
    </row>
    <row r="89" spans="1:6" ht="20.25" customHeight="1" x14ac:dyDescent="0.3">
      <c r="A89" s="235">
        <v>4</v>
      </c>
      <c r="B89" s="236" t="s">
        <v>437</v>
      </c>
      <c r="C89" s="237">
        <v>1507796</v>
      </c>
      <c r="D89" s="237">
        <v>2189693</v>
      </c>
      <c r="E89" s="237">
        <f t="shared" si="12"/>
        <v>681897</v>
      </c>
      <c r="F89" s="238">
        <f t="shared" si="13"/>
        <v>0.45224751889512904</v>
      </c>
    </row>
    <row r="90" spans="1:6" ht="20.25" customHeight="1" x14ac:dyDescent="0.3">
      <c r="A90" s="235">
        <v>5</v>
      </c>
      <c r="B90" s="236" t="s">
        <v>373</v>
      </c>
      <c r="C90" s="239">
        <v>304</v>
      </c>
      <c r="D90" s="239">
        <v>546</v>
      </c>
      <c r="E90" s="239">
        <f t="shared" si="12"/>
        <v>242</v>
      </c>
      <c r="F90" s="238">
        <f t="shared" si="13"/>
        <v>0.79605263157894735</v>
      </c>
    </row>
    <row r="91" spans="1:6" ht="20.25" customHeight="1" x14ac:dyDescent="0.3">
      <c r="A91" s="235">
        <v>6</v>
      </c>
      <c r="B91" s="236" t="s">
        <v>372</v>
      </c>
      <c r="C91" s="239">
        <v>1063</v>
      </c>
      <c r="D91" s="239">
        <v>1931</v>
      </c>
      <c r="E91" s="239">
        <f t="shared" si="12"/>
        <v>868</v>
      </c>
      <c r="F91" s="238">
        <f t="shared" si="13"/>
        <v>0.81655691439322675</v>
      </c>
    </row>
    <row r="92" spans="1:6" ht="20.25" customHeight="1" x14ac:dyDescent="0.3">
      <c r="A92" s="235">
        <v>7</v>
      </c>
      <c r="B92" s="236" t="s">
        <v>438</v>
      </c>
      <c r="C92" s="239">
        <v>5026</v>
      </c>
      <c r="D92" s="239">
        <v>7513</v>
      </c>
      <c r="E92" s="239">
        <f t="shared" si="12"/>
        <v>2487</v>
      </c>
      <c r="F92" s="238">
        <f t="shared" si="13"/>
        <v>0.49482690011937924</v>
      </c>
    </row>
    <row r="93" spans="1:6" ht="20.25" customHeight="1" x14ac:dyDescent="0.3">
      <c r="A93" s="235">
        <v>8</v>
      </c>
      <c r="B93" s="236" t="s">
        <v>439</v>
      </c>
      <c r="C93" s="239">
        <v>1255</v>
      </c>
      <c r="D93" s="239">
        <v>1898</v>
      </c>
      <c r="E93" s="239">
        <f t="shared" si="12"/>
        <v>643</v>
      </c>
      <c r="F93" s="238">
        <f t="shared" si="13"/>
        <v>0.5123505976095617</v>
      </c>
    </row>
    <row r="94" spans="1:6" ht="20.25" customHeight="1" x14ac:dyDescent="0.3">
      <c r="A94" s="235">
        <v>9</v>
      </c>
      <c r="B94" s="236" t="s">
        <v>440</v>
      </c>
      <c r="C94" s="239">
        <v>66</v>
      </c>
      <c r="D94" s="239">
        <v>89</v>
      </c>
      <c r="E94" s="239">
        <f t="shared" si="12"/>
        <v>23</v>
      </c>
      <c r="F94" s="238">
        <f t="shared" si="13"/>
        <v>0.34848484848484851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8375503</v>
      </c>
      <c r="D95" s="243">
        <f>+D86+D88</f>
        <v>14790199</v>
      </c>
      <c r="E95" s="243">
        <f t="shared" si="12"/>
        <v>6414696</v>
      </c>
      <c r="F95" s="244">
        <f t="shared" si="13"/>
        <v>0.76588785175051577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3067393</v>
      </c>
      <c r="D96" s="243">
        <f>+D87+D89</f>
        <v>4447049</v>
      </c>
      <c r="E96" s="243">
        <f t="shared" si="12"/>
        <v>1379656</v>
      </c>
      <c r="F96" s="244">
        <f t="shared" si="13"/>
        <v>0.44978129636469799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7925627</v>
      </c>
      <c r="D98" s="237">
        <v>12698566</v>
      </c>
      <c r="E98" s="237">
        <f t="shared" ref="E98:E108" si="14">D98-C98</f>
        <v>4772939</v>
      </c>
      <c r="F98" s="238">
        <f t="shared" ref="F98:F108" si="15">IF(C98=0,0,E98/C98)</f>
        <v>0.60221595086420288</v>
      </c>
    </row>
    <row r="99" spans="1:7" ht="20.25" customHeight="1" x14ac:dyDescent="0.3">
      <c r="A99" s="235">
        <v>2</v>
      </c>
      <c r="B99" s="236" t="s">
        <v>435</v>
      </c>
      <c r="C99" s="237">
        <v>2692355</v>
      </c>
      <c r="D99" s="237">
        <v>4845348</v>
      </c>
      <c r="E99" s="237">
        <f t="shared" si="14"/>
        <v>2152993</v>
      </c>
      <c r="F99" s="238">
        <f t="shared" si="15"/>
        <v>0.79966906295789375</v>
      </c>
    </row>
    <row r="100" spans="1:7" ht="20.25" customHeight="1" x14ac:dyDescent="0.3">
      <c r="A100" s="235">
        <v>3</v>
      </c>
      <c r="B100" s="236" t="s">
        <v>436</v>
      </c>
      <c r="C100" s="237">
        <v>7947651</v>
      </c>
      <c r="D100" s="237">
        <v>13250964</v>
      </c>
      <c r="E100" s="237">
        <f t="shared" si="14"/>
        <v>5303313</v>
      </c>
      <c r="F100" s="238">
        <f t="shared" si="15"/>
        <v>0.66728055874622583</v>
      </c>
    </row>
    <row r="101" spans="1:7" ht="20.25" customHeight="1" x14ac:dyDescent="0.3">
      <c r="A101" s="235">
        <v>4</v>
      </c>
      <c r="B101" s="236" t="s">
        <v>437</v>
      </c>
      <c r="C101" s="237">
        <v>2540612</v>
      </c>
      <c r="D101" s="237">
        <v>3619667</v>
      </c>
      <c r="E101" s="237">
        <f t="shared" si="14"/>
        <v>1079055</v>
      </c>
      <c r="F101" s="238">
        <f t="shared" si="15"/>
        <v>0.42472246844461098</v>
      </c>
    </row>
    <row r="102" spans="1:7" ht="20.25" customHeight="1" x14ac:dyDescent="0.3">
      <c r="A102" s="235">
        <v>5</v>
      </c>
      <c r="B102" s="236" t="s">
        <v>373</v>
      </c>
      <c r="C102" s="239">
        <v>656</v>
      </c>
      <c r="D102" s="239">
        <v>793</v>
      </c>
      <c r="E102" s="239">
        <f t="shared" si="14"/>
        <v>137</v>
      </c>
      <c r="F102" s="238">
        <f t="shared" si="15"/>
        <v>0.20884146341463414</v>
      </c>
    </row>
    <row r="103" spans="1:7" ht="20.25" customHeight="1" x14ac:dyDescent="0.3">
      <c r="A103" s="235">
        <v>6</v>
      </c>
      <c r="B103" s="236" t="s">
        <v>372</v>
      </c>
      <c r="C103" s="239">
        <v>2407</v>
      </c>
      <c r="D103" s="239">
        <v>3413</v>
      </c>
      <c r="E103" s="239">
        <f t="shared" si="14"/>
        <v>1006</v>
      </c>
      <c r="F103" s="238">
        <f t="shared" si="15"/>
        <v>0.41794765267968426</v>
      </c>
    </row>
    <row r="104" spans="1:7" ht="20.25" customHeight="1" x14ac:dyDescent="0.3">
      <c r="A104" s="235">
        <v>7</v>
      </c>
      <c r="B104" s="236" t="s">
        <v>438</v>
      </c>
      <c r="C104" s="239">
        <v>8150</v>
      </c>
      <c r="D104" s="239">
        <v>11089</v>
      </c>
      <c r="E104" s="239">
        <f t="shared" si="14"/>
        <v>2939</v>
      </c>
      <c r="F104" s="238">
        <f t="shared" si="15"/>
        <v>0.36061349693251532</v>
      </c>
    </row>
    <row r="105" spans="1:7" ht="20.25" customHeight="1" x14ac:dyDescent="0.3">
      <c r="A105" s="235">
        <v>8</v>
      </c>
      <c r="B105" s="236" t="s">
        <v>439</v>
      </c>
      <c r="C105" s="239">
        <v>2159</v>
      </c>
      <c r="D105" s="239">
        <v>2886</v>
      </c>
      <c r="E105" s="239">
        <f t="shared" si="14"/>
        <v>727</v>
      </c>
      <c r="F105" s="238">
        <f t="shared" si="15"/>
        <v>0.33672996757758222</v>
      </c>
    </row>
    <row r="106" spans="1:7" ht="20.25" customHeight="1" x14ac:dyDescent="0.3">
      <c r="A106" s="235">
        <v>9</v>
      </c>
      <c r="B106" s="236" t="s">
        <v>440</v>
      </c>
      <c r="C106" s="239">
        <v>95</v>
      </c>
      <c r="D106" s="239">
        <v>108</v>
      </c>
      <c r="E106" s="239">
        <f t="shared" si="14"/>
        <v>13</v>
      </c>
      <c r="F106" s="238">
        <f t="shared" si="15"/>
        <v>0.1368421052631579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15873278</v>
      </c>
      <c r="D107" s="243">
        <f>+D98+D100</f>
        <v>25949530</v>
      </c>
      <c r="E107" s="243">
        <f t="shared" si="14"/>
        <v>10076252</v>
      </c>
      <c r="F107" s="244">
        <f t="shared" si="15"/>
        <v>0.63479339302190763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5232967</v>
      </c>
      <c r="D108" s="243">
        <f>+D99+D101</f>
        <v>8465015</v>
      </c>
      <c r="E108" s="243">
        <f t="shared" si="14"/>
        <v>3232048</v>
      </c>
      <c r="F108" s="244">
        <f t="shared" si="15"/>
        <v>0.61763202405060069</v>
      </c>
    </row>
    <row r="109" spans="1:7" s="240" customFormat="1" ht="20.25" customHeight="1" x14ac:dyDescent="0.3">
      <c r="A109" s="688" t="s">
        <v>44</v>
      </c>
      <c r="B109" s="689" t="s">
        <v>478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42259882</v>
      </c>
      <c r="D112" s="243">
        <f t="shared" si="16"/>
        <v>48904101</v>
      </c>
      <c r="E112" s="243">
        <f t="shared" ref="E112:E122" si="17">D112-C112</f>
        <v>6644219</v>
      </c>
      <c r="F112" s="244">
        <f t="shared" ref="F112:F122" si="18">IF(C112=0,0,E112/C112)</f>
        <v>0.15722284790099508</v>
      </c>
    </row>
    <row r="113" spans="1:6" ht="20.25" customHeight="1" x14ac:dyDescent="0.3">
      <c r="A113" s="249"/>
      <c r="B113" s="250" t="s">
        <v>461</v>
      </c>
      <c r="C113" s="243">
        <f t="shared" si="16"/>
        <v>17776935</v>
      </c>
      <c r="D113" s="243">
        <f t="shared" si="16"/>
        <v>17596118</v>
      </c>
      <c r="E113" s="243">
        <f t="shared" si="17"/>
        <v>-180817</v>
      </c>
      <c r="F113" s="244">
        <f t="shared" si="18"/>
        <v>-1.0171438439753535E-2</v>
      </c>
    </row>
    <row r="114" spans="1:6" ht="20.25" customHeight="1" x14ac:dyDescent="0.3">
      <c r="A114" s="249"/>
      <c r="B114" s="250" t="s">
        <v>462</v>
      </c>
      <c r="C114" s="243">
        <f t="shared" si="16"/>
        <v>42045080</v>
      </c>
      <c r="D114" s="243">
        <f t="shared" si="16"/>
        <v>50644810</v>
      </c>
      <c r="E114" s="243">
        <f t="shared" si="17"/>
        <v>8599730</v>
      </c>
      <c r="F114" s="244">
        <f t="shared" si="18"/>
        <v>0.20453594094719288</v>
      </c>
    </row>
    <row r="115" spans="1:6" ht="20.25" customHeight="1" x14ac:dyDescent="0.3">
      <c r="A115" s="249"/>
      <c r="B115" s="250" t="s">
        <v>463</v>
      </c>
      <c r="C115" s="243">
        <f t="shared" si="16"/>
        <v>11672139</v>
      </c>
      <c r="D115" s="243">
        <f t="shared" si="16"/>
        <v>13531911</v>
      </c>
      <c r="E115" s="243">
        <f t="shared" si="17"/>
        <v>1859772</v>
      </c>
      <c r="F115" s="244">
        <f t="shared" si="18"/>
        <v>0.15933429168381219</v>
      </c>
    </row>
    <row r="116" spans="1:6" ht="20.25" customHeight="1" x14ac:dyDescent="0.3">
      <c r="A116" s="249"/>
      <c r="B116" s="250" t="s">
        <v>464</v>
      </c>
      <c r="C116" s="252">
        <f t="shared" si="16"/>
        <v>3412</v>
      </c>
      <c r="D116" s="252">
        <f t="shared" si="16"/>
        <v>3359</v>
      </c>
      <c r="E116" s="252">
        <f t="shared" si="17"/>
        <v>-53</v>
      </c>
      <c r="F116" s="244">
        <f t="shared" si="18"/>
        <v>-1.5533411488862838E-2</v>
      </c>
    </row>
    <row r="117" spans="1:6" ht="20.25" customHeight="1" x14ac:dyDescent="0.3">
      <c r="A117" s="249"/>
      <c r="B117" s="250" t="s">
        <v>465</v>
      </c>
      <c r="C117" s="252">
        <f t="shared" si="16"/>
        <v>15606</v>
      </c>
      <c r="D117" s="252">
        <f t="shared" si="16"/>
        <v>15996</v>
      </c>
      <c r="E117" s="252">
        <f t="shared" si="17"/>
        <v>390</v>
      </c>
      <c r="F117" s="244">
        <f t="shared" si="18"/>
        <v>2.4990388312187622E-2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44423</v>
      </c>
      <c r="D118" s="252">
        <f t="shared" si="16"/>
        <v>45261</v>
      </c>
      <c r="E118" s="252">
        <f t="shared" si="17"/>
        <v>838</v>
      </c>
      <c r="F118" s="244">
        <f t="shared" si="18"/>
        <v>1.8864101929180831E-2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10274</v>
      </c>
      <c r="D119" s="252">
        <f t="shared" si="16"/>
        <v>10848</v>
      </c>
      <c r="E119" s="252">
        <f t="shared" si="17"/>
        <v>574</v>
      </c>
      <c r="F119" s="244">
        <f t="shared" si="18"/>
        <v>5.5869184348841736E-2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542</v>
      </c>
      <c r="D120" s="252">
        <f t="shared" si="16"/>
        <v>626</v>
      </c>
      <c r="E120" s="252">
        <f t="shared" si="17"/>
        <v>84</v>
      </c>
      <c r="F120" s="244">
        <f t="shared" si="18"/>
        <v>0.15498154981549817</v>
      </c>
    </row>
    <row r="121" spans="1:6" ht="39.950000000000003" customHeight="1" x14ac:dyDescent="0.3">
      <c r="A121" s="249"/>
      <c r="B121" s="242" t="s">
        <v>441</v>
      </c>
      <c r="C121" s="243">
        <f>+C112+C114</f>
        <v>84304962</v>
      </c>
      <c r="D121" s="243">
        <f>+D112+D114</f>
        <v>99548911</v>
      </c>
      <c r="E121" s="243">
        <f t="shared" si="17"/>
        <v>15243949</v>
      </c>
      <c r="F121" s="244">
        <f t="shared" si="18"/>
        <v>0.18081911951991628</v>
      </c>
    </row>
    <row r="122" spans="1:6" ht="39.950000000000003" customHeight="1" x14ac:dyDescent="0.3">
      <c r="A122" s="249"/>
      <c r="B122" s="242" t="s">
        <v>470</v>
      </c>
      <c r="C122" s="243">
        <f>+C113+C115</f>
        <v>29449074</v>
      </c>
      <c r="D122" s="243">
        <f>+D113+D115</f>
        <v>31128029</v>
      </c>
      <c r="E122" s="243">
        <f t="shared" si="17"/>
        <v>1678955</v>
      </c>
      <c r="F122" s="244">
        <f t="shared" si="18"/>
        <v>5.7012149176575128E-2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FRANCIS HOSPITAL AND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2" sqref="B2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91550980</v>
      </c>
      <c r="D13" s="23">
        <v>122056032</v>
      </c>
      <c r="E13" s="23">
        <f t="shared" ref="E13:E22" si="0">D13-C13</f>
        <v>30505052</v>
      </c>
      <c r="F13" s="24">
        <f t="shared" ref="F13:F22" si="1">IF(C13=0,0,E13/C13)</f>
        <v>0.33320289963034805</v>
      </c>
    </row>
    <row r="14" spans="1:8" ht="24" customHeight="1" x14ac:dyDescent="0.2">
      <c r="A14" s="21">
        <v>2</v>
      </c>
      <c r="B14" s="22" t="s">
        <v>17</v>
      </c>
      <c r="C14" s="23">
        <v>7714223</v>
      </c>
      <c r="D14" s="23">
        <v>12991665</v>
      </c>
      <c r="E14" s="23">
        <f t="shared" si="0"/>
        <v>5277442</v>
      </c>
      <c r="F14" s="24">
        <f t="shared" si="1"/>
        <v>0.6841184134811763</v>
      </c>
    </row>
    <row r="15" spans="1:8" ht="35.1" customHeight="1" x14ac:dyDescent="0.2">
      <c r="A15" s="21">
        <v>3</v>
      </c>
      <c r="B15" s="22" t="s">
        <v>18</v>
      </c>
      <c r="C15" s="23">
        <v>75159184</v>
      </c>
      <c r="D15" s="23">
        <v>65990123</v>
      </c>
      <c r="E15" s="23">
        <f t="shared" si="0"/>
        <v>-9169061</v>
      </c>
      <c r="F15" s="24">
        <f t="shared" si="1"/>
        <v>-0.12199521751061054</v>
      </c>
    </row>
    <row r="16" spans="1:8" ht="35.1" customHeight="1" x14ac:dyDescent="0.2">
      <c r="A16" s="21">
        <v>4</v>
      </c>
      <c r="B16" s="22" t="s">
        <v>19</v>
      </c>
      <c r="C16" s="23">
        <v>4471328</v>
      </c>
      <c r="D16" s="23">
        <v>4616162</v>
      </c>
      <c r="E16" s="23">
        <f t="shared" si="0"/>
        <v>144834</v>
      </c>
      <c r="F16" s="24">
        <f t="shared" si="1"/>
        <v>3.2391718970292492E-2</v>
      </c>
    </row>
    <row r="17" spans="1:11" ht="24" customHeight="1" x14ac:dyDescent="0.2">
      <c r="A17" s="21">
        <v>5</v>
      </c>
      <c r="B17" s="22" t="s">
        <v>20</v>
      </c>
      <c r="C17" s="23">
        <v>784773</v>
      </c>
      <c r="D17" s="23">
        <v>1875664</v>
      </c>
      <c r="E17" s="23">
        <f t="shared" si="0"/>
        <v>1090891</v>
      </c>
      <c r="F17" s="24">
        <f t="shared" si="1"/>
        <v>1.3900720335689429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1678915</v>
      </c>
      <c r="E18" s="23">
        <f t="shared" si="0"/>
        <v>1678915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4353054</v>
      </c>
      <c r="D19" s="23">
        <v>5011137</v>
      </c>
      <c r="E19" s="23">
        <f t="shared" si="0"/>
        <v>658083</v>
      </c>
      <c r="F19" s="24">
        <f t="shared" si="1"/>
        <v>0.15117731137725376</v>
      </c>
    </row>
    <row r="20" spans="1:11" ht="24" customHeight="1" x14ac:dyDescent="0.2">
      <c r="A20" s="21">
        <v>8</v>
      </c>
      <c r="B20" s="22" t="s">
        <v>23</v>
      </c>
      <c r="C20" s="23">
        <v>6300284</v>
      </c>
      <c r="D20" s="23">
        <v>7128119</v>
      </c>
      <c r="E20" s="23">
        <f t="shared" si="0"/>
        <v>827835</v>
      </c>
      <c r="F20" s="24">
        <f t="shared" si="1"/>
        <v>0.13139645768349489</v>
      </c>
    </row>
    <row r="21" spans="1:11" ht="24" customHeight="1" x14ac:dyDescent="0.2">
      <c r="A21" s="21">
        <v>9</v>
      </c>
      <c r="B21" s="22" t="s">
        <v>24</v>
      </c>
      <c r="C21" s="23">
        <v>8669286</v>
      </c>
      <c r="D21" s="23">
        <v>10110648</v>
      </c>
      <c r="E21" s="23">
        <f t="shared" si="0"/>
        <v>1441362</v>
      </c>
      <c r="F21" s="24">
        <f t="shared" si="1"/>
        <v>0.16626075088536704</v>
      </c>
    </row>
    <row r="22" spans="1:11" ht="24" customHeight="1" x14ac:dyDescent="0.25">
      <c r="A22" s="25"/>
      <c r="B22" s="26" t="s">
        <v>25</v>
      </c>
      <c r="C22" s="27">
        <f>SUM(C13:C21)</f>
        <v>199003112</v>
      </c>
      <c r="D22" s="27">
        <f>SUM(D13:D21)</f>
        <v>231458465</v>
      </c>
      <c r="E22" s="27">
        <f t="shared" si="0"/>
        <v>32455353</v>
      </c>
      <c r="F22" s="28">
        <f t="shared" si="1"/>
        <v>0.16308967570316188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42603103</v>
      </c>
      <c r="D25" s="23">
        <v>44595433</v>
      </c>
      <c r="E25" s="23">
        <f>D25-C25</f>
        <v>1992330</v>
      </c>
      <c r="F25" s="24">
        <f>IF(C25=0,0,E25/C25)</f>
        <v>4.6764903486020727E-2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46342794</v>
      </c>
      <c r="D26" s="23">
        <v>51320356</v>
      </c>
      <c r="E26" s="23">
        <f>D26-C26</f>
        <v>4977562</v>
      </c>
      <c r="F26" s="24">
        <f>IF(C26=0,0,E26/C26)</f>
        <v>0.10740746447009647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109254940</v>
      </c>
      <c r="D28" s="23">
        <v>36969244</v>
      </c>
      <c r="E28" s="23">
        <f>D28-C28</f>
        <v>-72285696</v>
      </c>
      <c r="F28" s="24">
        <f>IF(C28=0,0,E28/C28)</f>
        <v>-0.66162405104977406</v>
      </c>
    </row>
    <row r="29" spans="1:11" ht="35.1" customHeight="1" x14ac:dyDescent="0.25">
      <c r="A29" s="25"/>
      <c r="B29" s="26" t="s">
        <v>32</v>
      </c>
      <c r="C29" s="27">
        <f>SUM(C25:C28)</f>
        <v>198200837</v>
      </c>
      <c r="D29" s="27">
        <f>SUM(D25:D28)</f>
        <v>132885033</v>
      </c>
      <c r="E29" s="27">
        <f>D29-C29</f>
        <v>-65315804</v>
      </c>
      <c r="F29" s="28">
        <f>IF(C29=0,0,E29/C29)</f>
        <v>-0.32954353265420366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13021484</v>
      </c>
      <c r="D32" s="23">
        <v>14003539</v>
      </c>
      <c r="E32" s="23">
        <f>D32-C32</f>
        <v>982055</v>
      </c>
      <c r="F32" s="24">
        <f>IF(C32=0,0,E32/C32)</f>
        <v>7.5418055269276529E-2</v>
      </c>
    </row>
    <row r="33" spans="1:8" ht="24" customHeight="1" x14ac:dyDescent="0.2">
      <c r="A33" s="21">
        <v>7</v>
      </c>
      <c r="B33" s="22" t="s">
        <v>35</v>
      </c>
      <c r="C33" s="23">
        <v>19217251</v>
      </c>
      <c r="D33" s="23">
        <v>25439336</v>
      </c>
      <c r="E33" s="23">
        <f>D33-C33</f>
        <v>6222085</v>
      </c>
      <c r="F33" s="24">
        <f>IF(C33=0,0,E33/C33)</f>
        <v>0.32377601770409303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705642311</v>
      </c>
      <c r="D36" s="23">
        <v>724621172</v>
      </c>
      <c r="E36" s="23">
        <f>D36-C36</f>
        <v>18978861</v>
      </c>
      <c r="F36" s="24">
        <f>IF(C36=0,0,E36/C36)</f>
        <v>2.6895865942483145E-2</v>
      </c>
    </row>
    <row r="37" spans="1:8" ht="24" customHeight="1" x14ac:dyDescent="0.2">
      <c r="A37" s="21">
        <v>2</v>
      </c>
      <c r="B37" s="22" t="s">
        <v>39</v>
      </c>
      <c r="C37" s="23">
        <v>445845924</v>
      </c>
      <c r="D37" s="23">
        <v>471711350</v>
      </c>
      <c r="E37" s="23">
        <f>D37-C37</f>
        <v>25865426</v>
      </c>
      <c r="F37" s="23">
        <f>IF(C37=0,0,E37/C37)</f>
        <v>5.8014270418674949E-2</v>
      </c>
    </row>
    <row r="38" spans="1:8" ht="24" customHeight="1" x14ac:dyDescent="0.25">
      <c r="A38" s="25"/>
      <c r="B38" s="26" t="s">
        <v>40</v>
      </c>
      <c r="C38" s="27">
        <f>C36-C37</f>
        <v>259796387</v>
      </c>
      <c r="D38" s="27">
        <f>D36-D37</f>
        <v>252909822</v>
      </c>
      <c r="E38" s="27">
        <f>D38-C38</f>
        <v>-6886565</v>
      </c>
      <c r="F38" s="28">
        <f>IF(C38=0,0,E38/C38)</f>
        <v>-2.6507547235443272E-2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106273858</v>
      </c>
      <c r="D40" s="23">
        <v>180084830</v>
      </c>
      <c r="E40" s="23">
        <f>D40-C40</f>
        <v>73810972</v>
      </c>
      <c r="F40" s="24">
        <f>IF(C40=0,0,E40/C40)</f>
        <v>0.69453554607945067</v>
      </c>
    </row>
    <row r="41" spans="1:8" ht="24" customHeight="1" x14ac:dyDescent="0.25">
      <c r="A41" s="25"/>
      <c r="B41" s="26" t="s">
        <v>42</v>
      </c>
      <c r="C41" s="27">
        <f>+C38+C40</f>
        <v>366070245</v>
      </c>
      <c r="D41" s="27">
        <f>+D38+D40</f>
        <v>432994652</v>
      </c>
      <c r="E41" s="27">
        <f>D41-C41</f>
        <v>66924407</v>
      </c>
      <c r="F41" s="28">
        <f>IF(C41=0,0,E41/C41)</f>
        <v>0.18281848337605258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795512929</v>
      </c>
      <c r="D43" s="27">
        <f>D22+D29+D31+D32+D33+D41</f>
        <v>836781025</v>
      </c>
      <c r="E43" s="27">
        <f>D43-C43</f>
        <v>41268096</v>
      </c>
      <c r="F43" s="28">
        <f>IF(C43=0,0,E43/C43)</f>
        <v>5.1876084593466112E-2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49763042</v>
      </c>
      <c r="D49" s="23">
        <v>46491003</v>
      </c>
      <c r="E49" s="23">
        <f t="shared" ref="E49:E56" si="2">D49-C49</f>
        <v>-3272039</v>
      </c>
      <c r="F49" s="24">
        <f t="shared" ref="F49:F56" si="3">IF(C49=0,0,E49/C49)</f>
        <v>-6.5752391101814078E-2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29436600</v>
      </c>
      <c r="D50" s="23">
        <v>36622214</v>
      </c>
      <c r="E50" s="23">
        <f t="shared" si="2"/>
        <v>7185614</v>
      </c>
      <c r="F50" s="24">
        <f t="shared" si="3"/>
        <v>0.24410475394576819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6723479</v>
      </c>
      <c r="D51" s="23">
        <v>0</v>
      </c>
      <c r="E51" s="23">
        <f t="shared" si="2"/>
        <v>-6723479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11139747</v>
      </c>
      <c r="D53" s="23">
        <v>45907171</v>
      </c>
      <c r="E53" s="23">
        <f t="shared" si="2"/>
        <v>34767424</v>
      </c>
      <c r="F53" s="24">
        <f t="shared" si="3"/>
        <v>3.121024561868416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8149677</v>
      </c>
      <c r="D55" s="23">
        <v>6393421</v>
      </c>
      <c r="E55" s="23">
        <f t="shared" si="2"/>
        <v>-1756256</v>
      </c>
      <c r="F55" s="24">
        <f t="shared" si="3"/>
        <v>-0.21550007442012734</v>
      </c>
    </row>
    <row r="56" spans="1:6" ht="24" customHeight="1" x14ac:dyDescent="0.25">
      <c r="A56" s="25"/>
      <c r="B56" s="26" t="s">
        <v>54</v>
      </c>
      <c r="C56" s="27">
        <f>SUM(C49:C55)</f>
        <v>105212545</v>
      </c>
      <c r="D56" s="27">
        <f>SUM(D49:D55)</f>
        <v>135413809</v>
      </c>
      <c r="E56" s="27">
        <f t="shared" si="2"/>
        <v>30201264</v>
      </c>
      <c r="F56" s="28">
        <f t="shared" si="3"/>
        <v>0.28705002811214198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241638011</v>
      </c>
      <c r="D59" s="23">
        <v>236199465</v>
      </c>
      <c r="E59" s="23">
        <f>D59-C59</f>
        <v>-5438546</v>
      </c>
      <c r="F59" s="24">
        <f>IF(C59=0,0,E59/C59)</f>
        <v>-2.2506997046917426E-2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241638011</v>
      </c>
      <c r="D61" s="27">
        <f>SUM(D59:D60)</f>
        <v>236199465</v>
      </c>
      <c r="E61" s="27">
        <f>D61-C61</f>
        <v>-5438546</v>
      </c>
      <c r="F61" s="28">
        <f>IF(C61=0,0,E61/C61)</f>
        <v>-2.2506997046917426E-2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216536341</v>
      </c>
      <c r="D63" s="23">
        <v>236478626</v>
      </c>
      <c r="E63" s="23">
        <f>D63-C63</f>
        <v>19942285</v>
      </c>
      <c r="F63" s="24">
        <f>IF(C63=0,0,E63/C63)</f>
        <v>9.2096711840161744E-2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458174352</v>
      </c>
      <c r="D65" s="27">
        <f>SUM(D61:D64)</f>
        <v>472678091</v>
      </c>
      <c r="E65" s="27">
        <f>D65-C65</f>
        <v>14503739</v>
      </c>
      <c r="F65" s="28">
        <f>IF(C65=0,0,E65/C65)</f>
        <v>3.1655501746636401E-2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149366510</v>
      </c>
      <c r="D70" s="23">
        <v>142347421</v>
      </c>
      <c r="E70" s="23">
        <f>D70-C70</f>
        <v>-7019089</v>
      </c>
      <c r="F70" s="24">
        <f>IF(C70=0,0,E70/C70)</f>
        <v>-4.6992388052716771E-2</v>
      </c>
    </row>
    <row r="71" spans="1:6" ht="24" customHeight="1" x14ac:dyDescent="0.2">
      <c r="A71" s="21">
        <v>2</v>
      </c>
      <c r="B71" s="22" t="s">
        <v>65</v>
      </c>
      <c r="C71" s="23">
        <v>35870906</v>
      </c>
      <c r="D71" s="23">
        <v>37460758</v>
      </c>
      <c r="E71" s="23">
        <f>D71-C71</f>
        <v>1589852</v>
      </c>
      <c r="F71" s="24">
        <f>IF(C71=0,0,E71/C71)</f>
        <v>4.4321489956233612E-2</v>
      </c>
    </row>
    <row r="72" spans="1:6" ht="24" customHeight="1" x14ac:dyDescent="0.2">
      <c r="A72" s="21">
        <v>3</v>
      </c>
      <c r="B72" s="22" t="s">
        <v>66</v>
      </c>
      <c r="C72" s="23">
        <v>46888616</v>
      </c>
      <c r="D72" s="23">
        <v>48880946</v>
      </c>
      <c r="E72" s="23">
        <f>D72-C72</f>
        <v>1992330</v>
      </c>
      <c r="F72" s="24">
        <f>IF(C72=0,0,E72/C72)</f>
        <v>4.2490697528798888E-2</v>
      </c>
    </row>
    <row r="73" spans="1:6" ht="24" customHeight="1" x14ac:dyDescent="0.25">
      <c r="A73" s="21"/>
      <c r="B73" s="26" t="s">
        <v>67</v>
      </c>
      <c r="C73" s="27">
        <f>SUM(C70:C72)</f>
        <v>232126032</v>
      </c>
      <c r="D73" s="27">
        <f>SUM(D70:D72)</f>
        <v>228689125</v>
      </c>
      <c r="E73" s="27">
        <f>D73-C73</f>
        <v>-3436907</v>
      </c>
      <c r="F73" s="28">
        <f>IF(C73=0,0,E73/C73)</f>
        <v>-1.4806210963878449E-2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795512929</v>
      </c>
      <c r="D75" s="27">
        <f>D56+D65+D67+D73</f>
        <v>836781025</v>
      </c>
      <c r="E75" s="27">
        <f>D75-C75</f>
        <v>41268096</v>
      </c>
      <c r="F75" s="28">
        <f>IF(C75=0,0,E75/C75)</f>
        <v>5.1876084593466112E-2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FRANCIS CARE,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2" sqref="A2:F2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1451944385</v>
      </c>
      <c r="D12" s="51">
        <v>1551367657</v>
      </c>
      <c r="E12" s="51">
        <f t="shared" ref="E12:E19" si="0">D12-C12</f>
        <v>99423272</v>
      </c>
      <c r="F12" s="70">
        <f t="shared" ref="F12:F19" si="1">IF(C12=0,0,E12/C12)</f>
        <v>6.8475950612943065E-2</v>
      </c>
    </row>
    <row r="13" spans="1:8" ht="23.1" customHeight="1" x14ac:dyDescent="0.2">
      <c r="A13" s="25">
        <v>2</v>
      </c>
      <c r="B13" s="48" t="s">
        <v>72</v>
      </c>
      <c r="C13" s="51">
        <v>811582134</v>
      </c>
      <c r="D13" s="51">
        <v>900554639</v>
      </c>
      <c r="E13" s="51">
        <f t="shared" si="0"/>
        <v>88972505</v>
      </c>
      <c r="F13" s="70">
        <f t="shared" si="1"/>
        <v>0.109628466759718</v>
      </c>
    </row>
    <row r="14" spans="1:8" ht="23.1" customHeight="1" x14ac:dyDescent="0.2">
      <c r="A14" s="25">
        <v>3</v>
      </c>
      <c r="B14" s="48" t="s">
        <v>73</v>
      </c>
      <c r="C14" s="51">
        <v>13810976</v>
      </c>
      <c r="D14" s="51">
        <v>13922705</v>
      </c>
      <c r="E14" s="51">
        <f t="shared" si="0"/>
        <v>111729</v>
      </c>
      <c r="F14" s="70">
        <f t="shared" si="1"/>
        <v>8.0898699700875602E-3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626551275</v>
      </c>
      <c r="D16" s="27">
        <f>D12-D13-D14-D15</f>
        <v>636890313</v>
      </c>
      <c r="E16" s="27">
        <f t="shared" si="0"/>
        <v>10339038</v>
      </c>
      <c r="F16" s="28">
        <f t="shared" si="1"/>
        <v>1.6501503408480018E-2</v>
      </c>
    </row>
    <row r="17" spans="1:7" ht="23.1" customHeight="1" x14ac:dyDescent="0.2">
      <c r="A17" s="25">
        <v>5</v>
      </c>
      <c r="B17" s="48" t="s">
        <v>76</v>
      </c>
      <c r="C17" s="51">
        <v>60283044</v>
      </c>
      <c r="D17" s="51">
        <v>67094801</v>
      </c>
      <c r="E17" s="51">
        <f t="shared" si="0"/>
        <v>6811757</v>
      </c>
      <c r="F17" s="70">
        <f t="shared" si="1"/>
        <v>0.11299623489484041</v>
      </c>
      <c r="G17" s="64"/>
    </row>
    <row r="18" spans="1:7" ht="33" customHeight="1" x14ac:dyDescent="0.2">
      <c r="A18" s="25">
        <v>6</v>
      </c>
      <c r="B18" s="45" t="s">
        <v>77</v>
      </c>
      <c r="C18" s="51">
        <v>9688960</v>
      </c>
      <c r="D18" s="51">
        <v>9011532</v>
      </c>
      <c r="E18" s="51">
        <f t="shared" si="0"/>
        <v>-677428</v>
      </c>
      <c r="F18" s="70">
        <f t="shared" si="1"/>
        <v>-6.9917514366867037E-2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696523279</v>
      </c>
      <c r="D19" s="27">
        <f>SUM(D16:D18)</f>
        <v>712996646</v>
      </c>
      <c r="E19" s="27">
        <f t="shared" si="0"/>
        <v>16473367</v>
      </c>
      <c r="F19" s="28">
        <f t="shared" si="1"/>
        <v>2.3650849148431692E-2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293771452</v>
      </c>
      <c r="D22" s="51">
        <v>302268854</v>
      </c>
      <c r="E22" s="51">
        <f t="shared" ref="E22:E31" si="2">D22-C22</f>
        <v>8497402</v>
      </c>
      <c r="F22" s="70">
        <f t="shared" ref="F22:F31" si="3">IF(C22=0,0,E22/C22)</f>
        <v>2.892521360448598E-2</v>
      </c>
    </row>
    <row r="23" spans="1:7" ht="23.1" customHeight="1" x14ac:dyDescent="0.2">
      <c r="A23" s="25">
        <v>2</v>
      </c>
      <c r="B23" s="48" t="s">
        <v>81</v>
      </c>
      <c r="C23" s="51">
        <v>66673882</v>
      </c>
      <c r="D23" s="51">
        <v>74985061</v>
      </c>
      <c r="E23" s="51">
        <f t="shared" si="2"/>
        <v>8311179</v>
      </c>
      <c r="F23" s="70">
        <f t="shared" si="3"/>
        <v>0.12465419367661838</v>
      </c>
    </row>
    <row r="24" spans="1:7" ht="23.1" customHeight="1" x14ac:dyDescent="0.2">
      <c r="A24" s="25">
        <v>3</v>
      </c>
      <c r="B24" s="48" t="s">
        <v>82</v>
      </c>
      <c r="C24" s="51">
        <v>12060487</v>
      </c>
      <c r="D24" s="51">
        <v>10133272</v>
      </c>
      <c r="E24" s="51">
        <f t="shared" si="2"/>
        <v>-1927215</v>
      </c>
      <c r="F24" s="70">
        <f t="shared" si="3"/>
        <v>-0.15979578602422936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114683886</v>
      </c>
      <c r="D25" s="51">
        <v>115982399</v>
      </c>
      <c r="E25" s="51">
        <f t="shared" si="2"/>
        <v>1298513</v>
      </c>
      <c r="F25" s="70">
        <f t="shared" si="3"/>
        <v>1.1322540988888361E-2</v>
      </c>
    </row>
    <row r="26" spans="1:7" ht="23.1" customHeight="1" x14ac:dyDescent="0.2">
      <c r="A26" s="25">
        <v>5</v>
      </c>
      <c r="B26" s="48" t="s">
        <v>84</v>
      </c>
      <c r="C26" s="51">
        <v>26234513</v>
      </c>
      <c r="D26" s="51">
        <v>26999709</v>
      </c>
      <c r="E26" s="51">
        <f t="shared" si="2"/>
        <v>765196</v>
      </c>
      <c r="F26" s="70">
        <f t="shared" si="3"/>
        <v>2.9167532097889526E-2</v>
      </c>
    </row>
    <row r="27" spans="1:7" ht="23.1" customHeight="1" x14ac:dyDescent="0.2">
      <c r="A27" s="25">
        <v>6</v>
      </c>
      <c r="B27" s="48" t="s">
        <v>85</v>
      </c>
      <c r="C27" s="51">
        <v>23711918</v>
      </c>
      <c r="D27" s="51">
        <v>21112190</v>
      </c>
      <c r="E27" s="51">
        <f t="shared" si="2"/>
        <v>-2599728</v>
      </c>
      <c r="F27" s="70">
        <f t="shared" si="3"/>
        <v>-0.1096380309682245</v>
      </c>
    </row>
    <row r="28" spans="1:7" ht="23.1" customHeight="1" x14ac:dyDescent="0.2">
      <c r="A28" s="25">
        <v>7</v>
      </c>
      <c r="B28" s="48" t="s">
        <v>86</v>
      </c>
      <c r="C28" s="51">
        <v>7309490</v>
      </c>
      <c r="D28" s="51">
        <v>8965622</v>
      </c>
      <c r="E28" s="51">
        <f t="shared" si="2"/>
        <v>1656132</v>
      </c>
      <c r="F28" s="70">
        <f t="shared" si="3"/>
        <v>0.22657285255195642</v>
      </c>
    </row>
    <row r="29" spans="1:7" ht="23.1" customHeight="1" x14ac:dyDescent="0.2">
      <c r="A29" s="25">
        <v>8</v>
      </c>
      <c r="B29" s="48" t="s">
        <v>87</v>
      </c>
      <c r="C29" s="51">
        <v>10279084</v>
      </c>
      <c r="D29" s="51">
        <v>12333326</v>
      </c>
      <c r="E29" s="51">
        <f t="shared" si="2"/>
        <v>2054242</v>
      </c>
      <c r="F29" s="70">
        <f t="shared" si="3"/>
        <v>0.19984679568724217</v>
      </c>
    </row>
    <row r="30" spans="1:7" ht="23.1" customHeight="1" x14ac:dyDescent="0.2">
      <c r="A30" s="25">
        <v>9</v>
      </c>
      <c r="B30" s="48" t="s">
        <v>88</v>
      </c>
      <c r="C30" s="51">
        <v>113267777</v>
      </c>
      <c r="D30" s="51">
        <v>125703532</v>
      </c>
      <c r="E30" s="51">
        <f t="shared" si="2"/>
        <v>12435755</v>
      </c>
      <c r="F30" s="70">
        <f t="shared" si="3"/>
        <v>0.10979075717183008</v>
      </c>
    </row>
    <row r="31" spans="1:7" ht="23.1" customHeight="1" x14ac:dyDescent="0.25">
      <c r="A31" s="29"/>
      <c r="B31" s="71" t="s">
        <v>89</v>
      </c>
      <c r="C31" s="27">
        <f>SUM(C22:C30)</f>
        <v>667992489</v>
      </c>
      <c r="D31" s="27">
        <f>SUM(D22:D30)</f>
        <v>698483965</v>
      </c>
      <c r="E31" s="27">
        <f t="shared" si="2"/>
        <v>30491476</v>
      </c>
      <c r="F31" s="28">
        <f t="shared" si="3"/>
        <v>4.5646435404754979E-2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28530790</v>
      </c>
      <c r="D33" s="27">
        <f>+D19-D31</f>
        <v>14512681</v>
      </c>
      <c r="E33" s="27">
        <f>D33-C33</f>
        <v>-14018109</v>
      </c>
      <c r="F33" s="28">
        <f>IF(C33=0,0,E33/C33)</f>
        <v>-0.49133266201181253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-8410809</v>
      </c>
      <c r="D36" s="51">
        <v>1670003</v>
      </c>
      <c r="E36" s="51">
        <f>D36-C36</f>
        <v>10080812</v>
      </c>
      <c r="F36" s="70">
        <f>IF(C36=0,0,E36/C36)</f>
        <v>-1.1985543840075312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-3376256</v>
      </c>
      <c r="D38" s="51">
        <v>-10850066</v>
      </c>
      <c r="E38" s="51">
        <f>D38-C38</f>
        <v>-7473810</v>
      </c>
      <c r="F38" s="70">
        <f>IF(C38=0,0,E38/C38)</f>
        <v>2.213638420783258</v>
      </c>
    </row>
    <row r="39" spans="1:6" ht="23.1" customHeight="1" x14ac:dyDescent="0.25">
      <c r="A39" s="20"/>
      <c r="B39" s="71" t="s">
        <v>95</v>
      </c>
      <c r="C39" s="27">
        <f>SUM(C36:C38)</f>
        <v>-11787065</v>
      </c>
      <c r="D39" s="27">
        <f>SUM(D36:D38)</f>
        <v>-9180063</v>
      </c>
      <c r="E39" s="27">
        <f>D39-C39</f>
        <v>2607002</v>
      </c>
      <c r="F39" s="28">
        <f>IF(C39=0,0,E39/C39)</f>
        <v>-0.22117482172194688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16743725</v>
      </c>
      <c r="D41" s="27">
        <f>D33+D39</f>
        <v>5332618</v>
      </c>
      <c r="E41" s="27">
        <f>D41-C41</f>
        <v>-11411107</v>
      </c>
      <c r="F41" s="28">
        <f>IF(C41=0,0,E41/C41)</f>
        <v>-0.68151543339370424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16743725</v>
      </c>
      <c r="D48" s="27">
        <f>D41+D46</f>
        <v>5332618</v>
      </c>
      <c r="E48" s="27">
        <f>D48-C48</f>
        <v>-11411107</v>
      </c>
      <c r="F48" s="28">
        <f>IF(C48=0,0,E48/C48)</f>
        <v>-0.68151543339370424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FRANCIS CARE,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2011-07-28T13:45:25Z</cp:lastPrinted>
  <dcterms:created xsi:type="dcterms:W3CDTF">2006-08-03T13:49:12Z</dcterms:created>
  <dcterms:modified xsi:type="dcterms:W3CDTF">2011-08-08T15:26:33Z</dcterms:modified>
</cp:coreProperties>
</file>