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E91" i="22"/>
  <c r="E93" i="22" s="1"/>
  <c r="D91" i="22"/>
  <c r="D93" i="22"/>
  <c r="C91" i="22"/>
  <c r="C93" i="22" s="1"/>
  <c r="E87" i="22"/>
  <c r="D87" i="22"/>
  <c r="C87" i="22"/>
  <c r="E86" i="22"/>
  <c r="E88" i="22"/>
  <c r="D86" i="22"/>
  <c r="D88" i="22" s="1"/>
  <c r="C86" i="22"/>
  <c r="C88" i="22" s="1"/>
  <c r="E83" i="22"/>
  <c r="E102" i="22" s="1"/>
  <c r="E101" i="22"/>
  <c r="E103" i="22" s="1"/>
  <c r="D83" i="22"/>
  <c r="D102" i="22"/>
  <c r="C83" i="22"/>
  <c r="C101" i="22" s="1"/>
  <c r="E76" i="22"/>
  <c r="D76" i="22"/>
  <c r="C76" i="22"/>
  <c r="C77" i="22" s="1"/>
  <c r="E75" i="22"/>
  <c r="E77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/>
  <c r="D21" i="21"/>
  <c r="C21" i="21"/>
  <c r="D19" i="21"/>
  <c r="C19" i="21"/>
  <c r="E17" i="21"/>
  <c r="F17" i="21" s="1"/>
  <c r="E15" i="21"/>
  <c r="F15" i="21" s="1"/>
  <c r="D45" i="20"/>
  <c r="C45" i="20"/>
  <c r="D44" i="20"/>
  <c r="C44" i="20"/>
  <c r="D43" i="20"/>
  <c r="C43" i="20"/>
  <c r="D36" i="20"/>
  <c r="D40" i="20" s="1"/>
  <c r="C36" i="20"/>
  <c r="C40" i="20"/>
  <c r="C41" i="20" s="1"/>
  <c r="F35" i="20"/>
  <c r="E35" i="20"/>
  <c r="E34" i="20"/>
  <c r="F33" i="20"/>
  <c r="E33" i="20"/>
  <c r="F30" i="20"/>
  <c r="E30" i="20"/>
  <c r="E29" i="20"/>
  <c r="F29" i="20" s="1"/>
  <c r="F28" i="20"/>
  <c r="E28" i="20"/>
  <c r="E27" i="20"/>
  <c r="F27" i="20" s="1"/>
  <c r="D25" i="20"/>
  <c r="D39" i="20" s="1"/>
  <c r="C25" i="20"/>
  <c r="C39" i="20" s="1"/>
  <c r="F24" i="20"/>
  <c r="E24" i="20"/>
  <c r="E23" i="20"/>
  <c r="F23" i="20" s="1"/>
  <c r="F22" i="20"/>
  <c r="E22" i="20"/>
  <c r="E25" i="20"/>
  <c r="D19" i="20"/>
  <c r="D20" i="20" s="1"/>
  <c r="C19" i="20"/>
  <c r="C20" i="20"/>
  <c r="F18" i="20"/>
  <c r="E18" i="20"/>
  <c r="D16" i="20"/>
  <c r="E16" i="20"/>
  <c r="C16" i="20"/>
  <c r="E15" i="20"/>
  <c r="F15" i="20" s="1"/>
  <c r="F13" i="20"/>
  <c r="E13" i="20"/>
  <c r="F12" i="20"/>
  <c r="E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4" i="19"/>
  <c r="C65" i="19" s="1"/>
  <c r="C114" i="19" s="1"/>
  <c r="C116" i="19" s="1"/>
  <c r="C119" i="19" s="1"/>
  <c r="C123" i="19" s="1"/>
  <c r="C63" i="19"/>
  <c r="C59" i="19"/>
  <c r="C60" i="19" s="1"/>
  <c r="C48" i="19"/>
  <c r="C49" i="19" s="1"/>
  <c r="C36" i="19"/>
  <c r="C38" i="19" s="1"/>
  <c r="C127" i="19" s="1"/>
  <c r="C32" i="19"/>
  <c r="C33" i="19" s="1"/>
  <c r="C21" i="19"/>
  <c r="C37" i="19"/>
  <c r="E328" i="18"/>
  <c r="E325" i="18"/>
  <c r="D324" i="18"/>
  <c r="D326" i="18" s="1"/>
  <c r="C324" i="18"/>
  <c r="C326" i="18" s="1"/>
  <c r="C330" i="18" s="1"/>
  <c r="E318" i="18"/>
  <c r="E315" i="18"/>
  <c r="D314" i="18"/>
  <c r="D316" i="18"/>
  <c r="C314" i="18"/>
  <c r="C316" i="18" s="1"/>
  <c r="C320" i="18" s="1"/>
  <c r="E308" i="18"/>
  <c r="E305" i="18"/>
  <c r="D301" i="18"/>
  <c r="D303" i="18" s="1"/>
  <c r="C301" i="18"/>
  <c r="D293" i="18"/>
  <c r="E293" i="18" s="1"/>
  <c r="C293" i="18"/>
  <c r="D292" i="18"/>
  <c r="C292" i="18"/>
  <c r="E292" i="18"/>
  <c r="D291" i="18"/>
  <c r="C291" i="18"/>
  <c r="E291" i="18" s="1"/>
  <c r="D290" i="18"/>
  <c r="C290" i="18"/>
  <c r="E290" i="18"/>
  <c r="D288" i="18"/>
  <c r="C288" i="18"/>
  <c r="D287" i="18"/>
  <c r="E287" i="18"/>
  <c r="C287" i="18"/>
  <c r="D282" i="18"/>
  <c r="C282" i="18"/>
  <c r="E282" i="18"/>
  <c r="D281" i="18"/>
  <c r="C281" i="18"/>
  <c r="D280" i="18"/>
  <c r="E280" i="18" s="1"/>
  <c r="C280" i="18"/>
  <c r="D279" i="18"/>
  <c r="E279" i="18"/>
  <c r="C279" i="18"/>
  <c r="D278" i="18"/>
  <c r="C278" i="18"/>
  <c r="E278" i="18"/>
  <c r="D277" i="18"/>
  <c r="E277" i="18" s="1"/>
  <c r="C277" i="18"/>
  <c r="D276" i="18"/>
  <c r="E276" i="18" s="1"/>
  <c r="C276" i="18"/>
  <c r="E270" i="18"/>
  <c r="D265" i="18"/>
  <c r="D302" i="18" s="1"/>
  <c r="C265" i="18"/>
  <c r="C302" i="18"/>
  <c r="D262" i="18"/>
  <c r="C262" i="18"/>
  <c r="D251" i="18"/>
  <c r="E251" i="18" s="1"/>
  <c r="C251" i="18"/>
  <c r="D233" i="18"/>
  <c r="C233" i="18"/>
  <c r="D232" i="18"/>
  <c r="E232" i="18"/>
  <c r="C232" i="18"/>
  <c r="D231" i="18"/>
  <c r="C231" i="18"/>
  <c r="C252" i="18" s="1"/>
  <c r="D230" i="18"/>
  <c r="C230" i="18"/>
  <c r="E230" i="18" s="1"/>
  <c r="D228" i="18"/>
  <c r="C228" i="18"/>
  <c r="D227" i="18"/>
  <c r="E227" i="18" s="1"/>
  <c r="C227" i="18"/>
  <c r="D221" i="18"/>
  <c r="D245" i="18"/>
  <c r="D253" i="18" s="1"/>
  <c r="C221" i="18"/>
  <c r="C245" i="18" s="1"/>
  <c r="D220" i="18"/>
  <c r="D244" i="18"/>
  <c r="C220" i="18"/>
  <c r="D219" i="18"/>
  <c r="C219" i="18"/>
  <c r="C243" i="18"/>
  <c r="D218" i="18"/>
  <c r="C218" i="18"/>
  <c r="D216" i="18"/>
  <c r="D240" i="18" s="1"/>
  <c r="C216" i="18"/>
  <c r="D215" i="18"/>
  <c r="E215" i="18" s="1"/>
  <c r="C215" i="18"/>
  <c r="C239" i="18" s="1"/>
  <c r="D210" i="18"/>
  <c r="E209" i="18"/>
  <c r="E208" i="18"/>
  <c r="E207" i="18"/>
  <c r="E206" i="18"/>
  <c r="D205" i="18"/>
  <c r="D229" i="18"/>
  <c r="E229" i="18" s="1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D261" i="18"/>
  <c r="C188" i="18"/>
  <c r="E186" i="18"/>
  <c r="E185" i="18"/>
  <c r="D179" i="18"/>
  <c r="C179" i="18"/>
  <c r="E179" i="18"/>
  <c r="D178" i="18"/>
  <c r="E178" i="18" s="1"/>
  <c r="C178" i="18"/>
  <c r="D177" i="18"/>
  <c r="C177" i="18"/>
  <c r="D176" i="18"/>
  <c r="C176" i="18"/>
  <c r="E176" i="18" s="1"/>
  <c r="C175" i="18"/>
  <c r="D174" i="18"/>
  <c r="C174" i="18"/>
  <c r="E174" i="18" s="1"/>
  <c r="D173" i="18"/>
  <c r="C173" i="18"/>
  <c r="E173" i="18"/>
  <c r="D167" i="18"/>
  <c r="E167" i="18" s="1"/>
  <c r="C167" i="18"/>
  <c r="D166" i="18"/>
  <c r="C166" i="18"/>
  <c r="D165" i="18"/>
  <c r="C165" i="18"/>
  <c r="E165" i="18" s="1"/>
  <c r="D164" i="18"/>
  <c r="E164" i="18" s="1"/>
  <c r="C164" i="18"/>
  <c r="D162" i="18"/>
  <c r="E162" i="18" s="1"/>
  <c r="C162" i="18"/>
  <c r="D161" i="18"/>
  <c r="C161" i="18"/>
  <c r="E161" i="18" s="1"/>
  <c r="E155" i="18"/>
  <c r="E154" i="18"/>
  <c r="E153" i="18"/>
  <c r="E152" i="18"/>
  <c r="D151" i="18"/>
  <c r="C151" i="18"/>
  <c r="E150" i="18"/>
  <c r="E149" i="18"/>
  <c r="E143" i="18"/>
  <c r="E142" i="18"/>
  <c r="E141" i="18"/>
  <c r="E140" i="18"/>
  <c r="D139" i="18"/>
  <c r="C139" i="18"/>
  <c r="C144" i="18" s="1"/>
  <c r="E138" i="18"/>
  <c r="E137" i="18"/>
  <c r="D75" i="18"/>
  <c r="C75" i="18"/>
  <c r="E75" i="18"/>
  <c r="D74" i="18"/>
  <c r="E74" i="18" s="1"/>
  <c r="C74" i="18"/>
  <c r="D73" i="18"/>
  <c r="C73" i="18"/>
  <c r="E73" i="18" s="1"/>
  <c r="D72" i="18"/>
  <c r="C72" i="18"/>
  <c r="E72" i="18" s="1"/>
  <c r="D70" i="18"/>
  <c r="C70" i="18"/>
  <c r="E70" i="18" s="1"/>
  <c r="D69" i="18"/>
  <c r="C69" i="18"/>
  <c r="E64" i="18"/>
  <c r="E63" i="18"/>
  <c r="E62" i="18"/>
  <c r="E61" i="18"/>
  <c r="D60" i="18"/>
  <c r="C60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C42" i="18"/>
  <c r="E42" i="18" s="1"/>
  <c r="D41" i="18"/>
  <c r="C41" i="18"/>
  <c r="E41" i="18"/>
  <c r="D40" i="18"/>
  <c r="E40" i="18"/>
  <c r="C40" i="18"/>
  <c r="D39" i="18"/>
  <c r="C39" i="18"/>
  <c r="D38" i="18"/>
  <c r="C38" i="18"/>
  <c r="E38" i="18" s="1"/>
  <c r="D37" i="18"/>
  <c r="C37" i="18"/>
  <c r="E37" i="18"/>
  <c r="D36" i="18"/>
  <c r="E36" i="18" s="1"/>
  <c r="C36" i="18"/>
  <c r="D32" i="18"/>
  <c r="C32" i="18"/>
  <c r="C33" i="18" s="1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E330" i="17"/>
  <c r="F330" i="17" s="1"/>
  <c r="F329" i="17"/>
  <c r="E329" i="17"/>
  <c r="F316" i="17"/>
  <c r="E316" i="17"/>
  <c r="F311" i="17"/>
  <c r="D311" i="17"/>
  <c r="E311" i="17" s="1"/>
  <c r="C311" i="17"/>
  <c r="F308" i="17"/>
  <c r="E308" i="17"/>
  <c r="D307" i="17"/>
  <c r="E307" i="17"/>
  <c r="F307" i="17" s="1"/>
  <c r="C307" i="17"/>
  <c r="D299" i="17"/>
  <c r="C299" i="17"/>
  <c r="D298" i="17"/>
  <c r="C298" i="17"/>
  <c r="F298" i="17" s="1"/>
  <c r="D297" i="17"/>
  <c r="C297" i="17"/>
  <c r="D296" i="17"/>
  <c r="C296" i="17"/>
  <c r="D295" i="17"/>
  <c r="C295" i="17"/>
  <c r="D294" i="17"/>
  <c r="C294" i="17"/>
  <c r="D250" i="17"/>
  <c r="D306" i="17"/>
  <c r="C250" i="17"/>
  <c r="C306" i="17" s="1"/>
  <c r="E249" i="17"/>
  <c r="F249" i="17" s="1"/>
  <c r="E248" i="17"/>
  <c r="F248" i="17"/>
  <c r="F245" i="17"/>
  <c r="E245" i="17"/>
  <c r="E244" i="17"/>
  <c r="F244" i="17" s="1"/>
  <c r="E243" i="17"/>
  <c r="F243" i="17" s="1"/>
  <c r="D238" i="17"/>
  <c r="C238" i="17"/>
  <c r="D237" i="17"/>
  <c r="D239" i="17"/>
  <c r="C237" i="17"/>
  <c r="C239" i="17" s="1"/>
  <c r="E234" i="17"/>
  <c r="F234" i="17" s="1"/>
  <c r="E233" i="17"/>
  <c r="F233" i="17" s="1"/>
  <c r="D230" i="17"/>
  <c r="C230" i="17"/>
  <c r="D229" i="17"/>
  <c r="C229" i="17"/>
  <c r="E228" i="17"/>
  <c r="F228" i="17" s="1"/>
  <c r="D226" i="17"/>
  <c r="D227" i="17"/>
  <c r="E227" i="17" s="1"/>
  <c r="F227" i="17" s="1"/>
  <c r="C226" i="17"/>
  <c r="C227" i="17" s="1"/>
  <c r="E225" i="17"/>
  <c r="F225" i="17"/>
  <c r="E224" i="17"/>
  <c r="F224" i="17"/>
  <c r="D223" i="17"/>
  <c r="C223" i="17"/>
  <c r="E222" i="17"/>
  <c r="F222" i="17" s="1"/>
  <c r="E221" i="17"/>
  <c r="F221" i="17"/>
  <c r="D204" i="17"/>
  <c r="C204" i="17"/>
  <c r="C285" i="17"/>
  <c r="D203" i="17"/>
  <c r="C203" i="17"/>
  <c r="D198" i="17"/>
  <c r="C198" i="17"/>
  <c r="C290" i="17" s="1"/>
  <c r="D191" i="17"/>
  <c r="D280" i="17" s="1"/>
  <c r="C191" i="17"/>
  <c r="D189" i="17"/>
  <c r="D215" i="17" s="1"/>
  <c r="D216" i="17" s="1"/>
  <c r="C189" i="17"/>
  <c r="D188" i="17"/>
  <c r="E188" i="17"/>
  <c r="F188" i="17"/>
  <c r="C188" i="17"/>
  <c r="F180" i="17"/>
  <c r="D180" i="17"/>
  <c r="E180" i="17" s="1"/>
  <c r="C180" i="17"/>
  <c r="D179" i="17"/>
  <c r="C179" i="17"/>
  <c r="F171" i="17"/>
  <c r="D171" i="17"/>
  <c r="D172" i="17" s="1"/>
  <c r="C171" i="17"/>
  <c r="C172" i="17"/>
  <c r="F170" i="17"/>
  <c r="D170" i="17"/>
  <c r="C170" i="17"/>
  <c r="E170" i="17" s="1"/>
  <c r="F169" i="17"/>
  <c r="E169" i="17"/>
  <c r="F168" i="17"/>
  <c r="E168" i="17"/>
  <c r="F165" i="17"/>
  <c r="D165" i="17"/>
  <c r="C165" i="17"/>
  <c r="E165" i="17" s="1"/>
  <c r="D164" i="17"/>
  <c r="E164" i="17" s="1"/>
  <c r="C164" i="17"/>
  <c r="F164" i="17" s="1"/>
  <c r="F163" i="17"/>
  <c r="E163" i="17"/>
  <c r="F158" i="17"/>
  <c r="D158" i="17"/>
  <c r="D159" i="17" s="1"/>
  <c r="C158" i="17"/>
  <c r="C159" i="17" s="1"/>
  <c r="F159" i="17"/>
  <c r="F157" i="17"/>
  <c r="E157" i="17"/>
  <c r="F156" i="17"/>
  <c r="E156" i="17"/>
  <c r="D155" i="17"/>
  <c r="E155" i="17" s="1"/>
  <c r="C155" i="17"/>
  <c r="F155" i="17" s="1"/>
  <c r="F154" i="17"/>
  <c r="E154" i="17"/>
  <c r="F153" i="17"/>
  <c r="E153" i="17"/>
  <c r="D145" i="17"/>
  <c r="E145" i="17" s="1"/>
  <c r="C145" i="17"/>
  <c r="D144" i="17"/>
  <c r="D146" i="17" s="1"/>
  <c r="C144" i="17"/>
  <c r="D136" i="17"/>
  <c r="D137" i="17" s="1"/>
  <c r="C136" i="17"/>
  <c r="C137" i="17" s="1"/>
  <c r="D135" i="17"/>
  <c r="E135" i="17"/>
  <c r="F135" i="17"/>
  <c r="C135" i="17"/>
  <c r="E134" i="17"/>
  <c r="F134" i="17" s="1"/>
  <c r="E133" i="17"/>
  <c r="F133" i="17"/>
  <c r="D130" i="17"/>
  <c r="E130" i="17"/>
  <c r="F130" i="17"/>
  <c r="C130" i="17"/>
  <c r="D129" i="17"/>
  <c r="C129" i="17"/>
  <c r="E128" i="17"/>
  <c r="F128" i="17"/>
  <c r="D123" i="17"/>
  <c r="D192" i="17" s="1"/>
  <c r="C123" i="17"/>
  <c r="C193" i="17" s="1"/>
  <c r="C282" i="17" s="1"/>
  <c r="E122" i="17"/>
  <c r="F122" i="17" s="1"/>
  <c r="E121" i="17"/>
  <c r="F121" i="17"/>
  <c r="D120" i="17"/>
  <c r="E120" i="17" s="1"/>
  <c r="F120" i="17" s="1"/>
  <c r="C120" i="17"/>
  <c r="F119" i="17"/>
  <c r="E119" i="17"/>
  <c r="E118" i="17"/>
  <c r="F118" i="17" s="1"/>
  <c r="D110" i="17"/>
  <c r="E110" i="17" s="1"/>
  <c r="F110" i="17" s="1"/>
  <c r="C110" i="17"/>
  <c r="D109" i="17"/>
  <c r="D111" i="17"/>
  <c r="C109" i="17"/>
  <c r="C111" i="17"/>
  <c r="D101" i="17"/>
  <c r="D102" i="17" s="1"/>
  <c r="C101" i="17"/>
  <c r="C102" i="17"/>
  <c r="D100" i="17"/>
  <c r="C100" i="17"/>
  <c r="E99" i="17"/>
  <c r="F99" i="17" s="1"/>
  <c r="E98" i="17"/>
  <c r="F98" i="17" s="1"/>
  <c r="D95" i="17"/>
  <c r="E95" i="17" s="1"/>
  <c r="F95" i="17" s="1"/>
  <c r="C95" i="17"/>
  <c r="D94" i="17"/>
  <c r="C94" i="17"/>
  <c r="F93" i="17"/>
  <c r="E93" i="17"/>
  <c r="D88" i="17"/>
  <c r="D89" i="17"/>
  <c r="E89" i="17" s="1"/>
  <c r="F89" i="17" s="1"/>
  <c r="C88" i="17"/>
  <c r="C89" i="17" s="1"/>
  <c r="E87" i="17"/>
  <c r="F87" i="17" s="1"/>
  <c r="E86" i="17"/>
  <c r="F86" i="17" s="1"/>
  <c r="D85" i="17"/>
  <c r="E85" i="17" s="1"/>
  <c r="F85" i="17" s="1"/>
  <c r="C85" i="17"/>
  <c r="F84" i="17"/>
  <c r="E84" i="17"/>
  <c r="E83" i="17"/>
  <c r="F83" i="17" s="1"/>
  <c r="D76" i="17"/>
  <c r="D77" i="17" s="1"/>
  <c r="C76" i="17"/>
  <c r="C77" i="17"/>
  <c r="E74" i="17"/>
  <c r="F74" i="17" s="1"/>
  <c r="E73" i="17"/>
  <c r="F73" i="17"/>
  <c r="D67" i="17"/>
  <c r="C67" i="17"/>
  <c r="D66" i="17"/>
  <c r="D68" i="17"/>
  <c r="E68" i="17"/>
  <c r="C66" i="17"/>
  <c r="C68" i="17"/>
  <c r="D59" i="17"/>
  <c r="D60" i="17" s="1"/>
  <c r="C59" i="17"/>
  <c r="C60" i="17" s="1"/>
  <c r="D58" i="17"/>
  <c r="C58" i="17"/>
  <c r="E57" i="17"/>
  <c r="F57" i="17"/>
  <c r="E56" i="17"/>
  <c r="F56" i="17" s="1"/>
  <c r="D53" i="17"/>
  <c r="C53" i="17"/>
  <c r="D52" i="17"/>
  <c r="C52" i="17"/>
  <c r="E52" i="17" s="1"/>
  <c r="E51" i="17"/>
  <c r="F51" i="17"/>
  <c r="D47" i="17"/>
  <c r="D48" i="17" s="1"/>
  <c r="C47" i="17"/>
  <c r="C48" i="17" s="1"/>
  <c r="E46" i="17"/>
  <c r="F46" i="17"/>
  <c r="E45" i="17"/>
  <c r="F45" i="17"/>
  <c r="D44" i="17"/>
  <c r="E44" i="17" s="1"/>
  <c r="C44" i="17"/>
  <c r="E43" i="17"/>
  <c r="F43" i="17"/>
  <c r="E42" i="17"/>
  <c r="F42" i="17" s="1"/>
  <c r="D36" i="17"/>
  <c r="E36" i="17" s="1"/>
  <c r="C36" i="17"/>
  <c r="D35" i="17"/>
  <c r="D37" i="17" s="1"/>
  <c r="C35" i="17"/>
  <c r="D30" i="17"/>
  <c r="D31" i="17" s="1"/>
  <c r="C30" i="17"/>
  <c r="C31" i="17"/>
  <c r="D29" i="17"/>
  <c r="E29" i="17" s="1"/>
  <c r="C29" i="17"/>
  <c r="E28" i="17"/>
  <c r="F28" i="17"/>
  <c r="E27" i="17"/>
  <c r="F27" i="17"/>
  <c r="D24" i="17"/>
  <c r="E24" i="17" s="1"/>
  <c r="C24" i="17"/>
  <c r="D23" i="17"/>
  <c r="C23" i="17"/>
  <c r="E23" i="17" s="1"/>
  <c r="F23" i="17" s="1"/>
  <c r="E22" i="17"/>
  <c r="F22" i="17"/>
  <c r="D20" i="17"/>
  <c r="C20" i="17"/>
  <c r="E19" i="17"/>
  <c r="F19" i="17"/>
  <c r="E18" i="17"/>
  <c r="F18" i="17" s="1"/>
  <c r="D17" i="17"/>
  <c r="C17" i="17"/>
  <c r="E16" i="17"/>
  <c r="F16" i="17" s="1"/>
  <c r="E15" i="17"/>
  <c r="F15" i="17"/>
  <c r="D21" i="16"/>
  <c r="E21" i="16"/>
  <c r="C21" i="16"/>
  <c r="F20" i="16"/>
  <c r="E20" i="16"/>
  <c r="D17" i="16"/>
  <c r="C17" i="16"/>
  <c r="E16" i="16"/>
  <c r="F16" i="16" s="1"/>
  <c r="D13" i="16"/>
  <c r="E13" i="16" s="1"/>
  <c r="F13" i="16" s="1"/>
  <c r="C13" i="16"/>
  <c r="F12" i="16"/>
  <c r="E12" i="16"/>
  <c r="D107" i="15"/>
  <c r="E107" i="15"/>
  <c r="F107" i="15"/>
  <c r="C107" i="15"/>
  <c r="F106" i="15"/>
  <c r="E106" i="15"/>
  <c r="F105" i="15"/>
  <c r="E105" i="15"/>
  <c r="E104" i="15"/>
  <c r="F104" i="15" s="1"/>
  <c r="D100" i="15"/>
  <c r="E100" i="15" s="1"/>
  <c r="C100" i="15"/>
  <c r="F100" i="15" s="1"/>
  <c r="E99" i="15"/>
  <c r="F99" i="15" s="1"/>
  <c r="E98" i="15"/>
  <c r="F98" i="15" s="1"/>
  <c r="F97" i="15"/>
  <c r="E97" i="15"/>
  <c r="E96" i="15"/>
  <c r="F96" i="15" s="1"/>
  <c r="E95" i="15"/>
  <c r="F95" i="15" s="1"/>
  <c r="D92" i="15"/>
  <c r="E92" i="15"/>
  <c r="F92" i="15"/>
  <c r="C92" i="15"/>
  <c r="F91" i="15"/>
  <c r="E91" i="15"/>
  <c r="E90" i="15"/>
  <c r="F90" i="15" s="1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5" i="15" s="1"/>
  <c r="E74" i="15"/>
  <c r="F74" i="15" s="1"/>
  <c r="F73" i="15"/>
  <c r="E73" i="15"/>
  <c r="E75" i="15" s="1"/>
  <c r="D70" i="15"/>
  <c r="E70" i="15" s="1"/>
  <c r="C70" i="15"/>
  <c r="F69" i="15"/>
  <c r="E69" i="15"/>
  <c r="E68" i="15"/>
  <c r="F68" i="15" s="1"/>
  <c r="D65" i="15"/>
  <c r="C65" i="15"/>
  <c r="F64" i="15"/>
  <c r="E64" i="15"/>
  <c r="E63" i="15"/>
  <c r="F63" i="15" s="1"/>
  <c r="F60" i="15"/>
  <c r="D60" i="15"/>
  <c r="C60" i="15"/>
  <c r="F59" i="15"/>
  <c r="E59" i="15"/>
  <c r="E60" i="15" s="1"/>
  <c r="F58" i="15"/>
  <c r="E58" i="15"/>
  <c r="F55" i="15"/>
  <c r="D55" i="15"/>
  <c r="E55" i="15" s="1"/>
  <c r="C55" i="15"/>
  <c r="F54" i="15"/>
  <c r="E54" i="15"/>
  <c r="F53" i="15"/>
  <c r="E53" i="15"/>
  <c r="D50" i="15"/>
  <c r="C50" i="15"/>
  <c r="F50" i="15" s="1"/>
  <c r="F49" i="15"/>
  <c r="E49" i="15"/>
  <c r="F48" i="15"/>
  <c r="E48" i="15"/>
  <c r="D45" i="15"/>
  <c r="C45" i="15"/>
  <c r="F45" i="15" s="1"/>
  <c r="F44" i="15"/>
  <c r="E44" i="15"/>
  <c r="F43" i="15"/>
  <c r="E43" i="15"/>
  <c r="F37" i="15"/>
  <c r="D37" i="15"/>
  <c r="C37" i="15"/>
  <c r="F36" i="15"/>
  <c r="E36" i="15"/>
  <c r="F35" i="15"/>
  <c r="E35" i="15"/>
  <c r="F34" i="15"/>
  <c r="E34" i="15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E23" i="15"/>
  <c r="C23" i="15"/>
  <c r="F22" i="15"/>
  <c r="E22" i="15"/>
  <c r="E21" i="15"/>
  <c r="F21" i="15" s="1"/>
  <c r="F20" i="15"/>
  <c r="E20" i="15"/>
  <c r="E19" i="15"/>
  <c r="F19" i="15" s="1"/>
  <c r="D16" i="15"/>
  <c r="E16" i="15" s="1"/>
  <c r="C16" i="15"/>
  <c r="F15" i="15"/>
  <c r="E15" i="15"/>
  <c r="E14" i="15"/>
  <c r="F14" i="15" s="1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E17" i="14"/>
  <c r="E31" i="14"/>
  <c r="D17" i="14"/>
  <c r="D33" i="14" s="1"/>
  <c r="D36" i="14" s="1"/>
  <c r="D38" i="14" s="1"/>
  <c r="D40" i="14"/>
  <c r="C17" i="14"/>
  <c r="C31" i="14" s="1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C78" i="13"/>
  <c r="C80" i="13" s="1"/>
  <c r="C77" i="13" s="1"/>
  <c r="C75" i="13"/>
  <c r="E73" i="13"/>
  <c r="E75" i="13" s="1"/>
  <c r="D73" i="13"/>
  <c r="D75" i="13"/>
  <c r="C73" i="13"/>
  <c r="E71" i="13"/>
  <c r="D71" i="13"/>
  <c r="C71" i="13"/>
  <c r="E66" i="13"/>
  <c r="E65" i="13" s="1"/>
  <c r="D66" i="13"/>
  <c r="D65" i="13" s="1"/>
  <c r="C66" i="13"/>
  <c r="C65" i="13"/>
  <c r="E60" i="13"/>
  <c r="D60" i="13"/>
  <c r="C60" i="13"/>
  <c r="E59" i="13"/>
  <c r="E61" i="13" s="1"/>
  <c r="E57" i="13" s="1"/>
  <c r="C59" i="13"/>
  <c r="C61" i="13" s="1"/>
  <c r="C57" i="13" s="1"/>
  <c r="E58" i="13"/>
  <c r="D58" i="13"/>
  <c r="C58" i="13"/>
  <c r="E55" i="13"/>
  <c r="E50" i="13" s="1"/>
  <c r="D55" i="13"/>
  <c r="D50" i="13" s="1"/>
  <c r="C55" i="13"/>
  <c r="C50" i="13" s="1"/>
  <c r="E54" i="13"/>
  <c r="D54" i="13"/>
  <c r="C54" i="13"/>
  <c r="E48" i="13"/>
  <c r="E42" i="13"/>
  <c r="E46" i="13"/>
  <c r="D46" i="13"/>
  <c r="D59" i="13"/>
  <c r="D61" i="13" s="1"/>
  <c r="D57" i="13" s="1"/>
  <c r="C46" i="13"/>
  <c r="C48" i="13" s="1"/>
  <c r="C42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C25" i="13"/>
  <c r="C27" i="13" s="1"/>
  <c r="C15" i="13"/>
  <c r="C24" i="13" s="1"/>
  <c r="E13" i="13"/>
  <c r="E15" i="13" s="1"/>
  <c r="E24" i="13" s="1"/>
  <c r="D13" i="13"/>
  <c r="D25" i="13"/>
  <c r="C13" i="13"/>
  <c r="D47" i="12"/>
  <c r="E47" i="12"/>
  <c r="C47" i="12"/>
  <c r="F47" i="12" s="1"/>
  <c r="F46" i="12"/>
  <c r="E46" i="12"/>
  <c r="F45" i="12"/>
  <c r="E45" i="12"/>
  <c r="D40" i="12"/>
  <c r="E40" i="12"/>
  <c r="F40" i="12"/>
  <c r="C40" i="12"/>
  <c r="E39" i="12"/>
  <c r="F39" i="12" s="1"/>
  <c r="F38" i="12"/>
  <c r="E38" i="12"/>
  <c r="E37" i="12"/>
  <c r="F37" i="12" s="1"/>
  <c r="D32" i="12"/>
  <c r="C32" i="12"/>
  <c r="E31" i="12"/>
  <c r="F31" i="12" s="1"/>
  <c r="E30" i="12"/>
  <c r="F30" i="12" s="1"/>
  <c r="F29" i="12"/>
  <c r="E29" i="12"/>
  <c r="F28" i="12"/>
  <c r="E28" i="12"/>
  <c r="E27" i="12"/>
  <c r="F27" i="12" s="1"/>
  <c r="E26" i="12"/>
  <c r="F26" i="12" s="1"/>
  <c r="F25" i="12"/>
  <c r="E25" i="12"/>
  <c r="E24" i="12"/>
  <c r="F24" i="12" s="1"/>
  <c r="E23" i="12"/>
  <c r="F23" i="12" s="1"/>
  <c r="E19" i="12"/>
  <c r="F19" i="12" s="1"/>
  <c r="F18" i="12"/>
  <c r="E18" i="12"/>
  <c r="E16" i="12"/>
  <c r="F16" i="12" s="1"/>
  <c r="D15" i="12"/>
  <c r="D17" i="12" s="1"/>
  <c r="C15" i="12"/>
  <c r="C17" i="12"/>
  <c r="F14" i="12"/>
  <c r="E14" i="12"/>
  <c r="F13" i="12"/>
  <c r="E13" i="12"/>
  <c r="F12" i="12"/>
  <c r="E12" i="12"/>
  <c r="E11" i="12"/>
  <c r="F11" i="12" s="1"/>
  <c r="D73" i="11"/>
  <c r="C73" i="11"/>
  <c r="E72" i="11"/>
  <c r="F72" i="11" s="1"/>
  <c r="E71" i="11"/>
  <c r="F71" i="11" s="1"/>
  <c r="F70" i="11"/>
  <c r="E70" i="11"/>
  <c r="F67" i="11"/>
  <c r="E67" i="11"/>
  <c r="E64" i="11"/>
  <c r="F64" i="11" s="1"/>
  <c r="E63" i="11"/>
  <c r="F63" i="11" s="1"/>
  <c r="D61" i="11"/>
  <c r="C61" i="11"/>
  <c r="C65" i="11" s="1"/>
  <c r="E60" i="11"/>
  <c r="F60" i="11" s="1"/>
  <c r="F59" i="11"/>
  <c r="E59" i="11"/>
  <c r="D56" i="11"/>
  <c r="E56" i="11"/>
  <c r="F56" i="11" s="1"/>
  <c r="C56" i="11"/>
  <c r="E55" i="11"/>
  <c r="F55" i="11" s="1"/>
  <c r="E54" i="11"/>
  <c r="F54" i="11" s="1"/>
  <c r="F53" i="11"/>
  <c r="E53" i="11"/>
  <c r="F52" i="11"/>
  <c r="E52" i="11"/>
  <c r="E51" i="11"/>
  <c r="F51" i="11" s="1"/>
  <c r="E50" i="11"/>
  <c r="F50" i="11"/>
  <c r="A50" i="11"/>
  <c r="A51" i="11" s="1"/>
  <c r="A52" i="11" s="1"/>
  <c r="A53" i="11" s="1"/>
  <c r="A54" i="11" s="1"/>
  <c r="A55" i="11" s="1"/>
  <c r="F49" i="11"/>
  <c r="E49" i="11"/>
  <c r="E40" i="11"/>
  <c r="F40" i="11" s="1"/>
  <c r="D38" i="11"/>
  <c r="C38" i="11"/>
  <c r="E37" i="11"/>
  <c r="F37" i="11" s="1"/>
  <c r="F36" i="11"/>
  <c r="E36" i="11"/>
  <c r="E33" i="11"/>
  <c r="F33" i="11" s="1"/>
  <c r="F32" i="11"/>
  <c r="E32" i="11"/>
  <c r="F31" i="11"/>
  <c r="E31" i="11"/>
  <c r="D29" i="11"/>
  <c r="E29" i="11" s="1"/>
  <c r="C29" i="11"/>
  <c r="F29" i="11" s="1"/>
  <c r="F28" i="11"/>
  <c r="E28" i="11"/>
  <c r="F27" i="11"/>
  <c r="E27" i="11"/>
  <c r="F26" i="11"/>
  <c r="E26" i="11"/>
  <c r="E25" i="11"/>
  <c r="F25" i="11" s="1"/>
  <c r="D22" i="11"/>
  <c r="E22" i="11"/>
  <c r="C22" i="11"/>
  <c r="F21" i="11"/>
  <c r="E21" i="11"/>
  <c r="E20" i="11"/>
  <c r="F20" i="11" s="1"/>
  <c r="F19" i="11"/>
  <c r="E19" i="11"/>
  <c r="F18" i="11"/>
  <c r="E18" i="11"/>
  <c r="F17" i="11"/>
  <c r="E17" i="11"/>
  <c r="E16" i="11"/>
  <c r="F16" i="11" s="1"/>
  <c r="F15" i="11"/>
  <c r="E15" i="11"/>
  <c r="F14" i="11"/>
  <c r="E14" i="11"/>
  <c r="E13" i="11"/>
  <c r="F13" i="11" s="1"/>
  <c r="D120" i="10"/>
  <c r="C120" i="10"/>
  <c r="F120" i="10"/>
  <c r="D119" i="10"/>
  <c r="C119" i="10"/>
  <c r="F119" i="10"/>
  <c r="D118" i="10"/>
  <c r="E118" i="10" s="1"/>
  <c r="C118" i="10"/>
  <c r="F118" i="10"/>
  <c r="D117" i="10"/>
  <c r="C117" i="10"/>
  <c r="F117" i="10"/>
  <c r="D116" i="10"/>
  <c r="C116" i="10"/>
  <c r="F116" i="10" s="1"/>
  <c r="D115" i="10"/>
  <c r="C115" i="10"/>
  <c r="F115" i="10"/>
  <c r="D114" i="10"/>
  <c r="C114" i="10"/>
  <c r="F114" i="10" s="1"/>
  <c r="D113" i="10"/>
  <c r="D122" i="10" s="1"/>
  <c r="C113" i="10"/>
  <c r="F113" i="10"/>
  <c r="D112" i="10"/>
  <c r="D121" i="10" s="1"/>
  <c r="C112" i="10"/>
  <c r="F112" i="10"/>
  <c r="D108" i="10"/>
  <c r="C108" i="10"/>
  <c r="F108" i="10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/>
  <c r="D23" i="10"/>
  <c r="E23" i="10" s="1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C205" i="9"/>
  <c r="D204" i="9"/>
  <c r="E204" i="9" s="1"/>
  <c r="C204" i="9"/>
  <c r="F204" i="9" s="1"/>
  <c r="D203" i="9"/>
  <c r="E203" i="9"/>
  <c r="C203" i="9"/>
  <c r="D202" i="9"/>
  <c r="E202" i="9" s="1"/>
  <c r="C202" i="9"/>
  <c r="D201" i="9"/>
  <c r="C201" i="9"/>
  <c r="D200" i="9"/>
  <c r="E200" i="9" s="1"/>
  <c r="C200" i="9"/>
  <c r="F200" i="9" s="1"/>
  <c r="D199" i="9"/>
  <c r="C199" i="9"/>
  <c r="D198" i="9"/>
  <c r="C198" i="9"/>
  <c r="C207" i="9" s="1"/>
  <c r="D193" i="9"/>
  <c r="E193" i="9" s="1"/>
  <c r="C193" i="9"/>
  <c r="F193" i="9" s="1"/>
  <c r="D192" i="9"/>
  <c r="E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 s="1"/>
  <c r="C180" i="9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D166" i="9"/>
  <c r="E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C140" i="9"/>
  <c r="E140" i="9" s="1"/>
  <c r="F140" i="9" s="1"/>
  <c r="F139" i="9"/>
  <c r="E139" i="9"/>
  <c r="F138" i="9"/>
  <c r="E138" i="9"/>
  <c r="E137" i="9"/>
  <c r="F137" i="9" s="1"/>
  <c r="F136" i="9"/>
  <c r="E136" i="9"/>
  <c r="F135" i="9"/>
  <c r="E135" i="9"/>
  <c r="F134" i="9"/>
  <c r="E134" i="9"/>
  <c r="E133" i="9"/>
  <c r="F133" i="9" s="1"/>
  <c r="F132" i="9"/>
  <c r="E132" i="9"/>
  <c r="F131" i="9"/>
  <c r="E131" i="9"/>
  <c r="D128" i="9"/>
  <c r="E128" i="9" s="1"/>
  <c r="C128" i="9"/>
  <c r="D127" i="9"/>
  <c r="C127" i="9"/>
  <c r="F126" i="9"/>
  <c r="E126" i="9"/>
  <c r="E125" i="9"/>
  <c r="F125" i="9" s="1"/>
  <c r="F124" i="9"/>
  <c r="E124" i="9"/>
  <c r="E123" i="9"/>
  <c r="F123" i="9" s="1"/>
  <c r="F122" i="9"/>
  <c r="E122" i="9"/>
  <c r="E121" i="9"/>
  <c r="F121" i="9" s="1"/>
  <c r="F120" i="9"/>
  <c r="E120" i="9"/>
  <c r="E119" i="9"/>
  <c r="F119" i="9" s="1"/>
  <c r="F118" i="9"/>
  <c r="E118" i="9"/>
  <c r="D115" i="9"/>
  <c r="E115" i="9"/>
  <c r="C115" i="9"/>
  <c r="D114" i="9"/>
  <c r="E114" i="9"/>
  <c r="F114" i="9" s="1"/>
  <c r="C114" i="9"/>
  <c r="E113" i="9"/>
  <c r="F113" i="9" s="1"/>
  <c r="F112" i="9"/>
  <c r="E112" i="9"/>
  <c r="E111" i="9"/>
  <c r="F111" i="9" s="1"/>
  <c r="F110" i="9"/>
  <c r="E110" i="9"/>
  <c r="E109" i="9"/>
  <c r="F109" i="9" s="1"/>
  <c r="F108" i="9"/>
  <c r="E108" i="9"/>
  <c r="E107" i="9"/>
  <c r="F107" i="9" s="1"/>
  <c r="F106" i="9"/>
  <c r="E106" i="9"/>
  <c r="E105" i="9"/>
  <c r="F105" i="9" s="1"/>
  <c r="D102" i="9"/>
  <c r="E102" i="9" s="1"/>
  <c r="C102" i="9"/>
  <c r="D101" i="9"/>
  <c r="E101" i="9" s="1"/>
  <c r="C101" i="9"/>
  <c r="E100" i="9"/>
  <c r="F100" i="9" s="1"/>
  <c r="E99" i="9"/>
  <c r="F99" i="9" s="1"/>
  <c r="F98" i="9"/>
  <c r="E98" i="9"/>
  <c r="E97" i="9"/>
  <c r="F97" i="9" s="1"/>
  <c r="E96" i="9"/>
  <c r="F96" i="9" s="1"/>
  <c r="E95" i="9"/>
  <c r="F95" i="9" s="1"/>
  <c r="F94" i="9"/>
  <c r="E94" i="9"/>
  <c r="E93" i="9"/>
  <c r="F93" i="9" s="1"/>
  <c r="E92" i="9"/>
  <c r="F92" i="9" s="1"/>
  <c r="F89" i="9"/>
  <c r="D89" i="9"/>
  <c r="E89" i="9" s="1"/>
  <c r="C89" i="9"/>
  <c r="D88" i="9"/>
  <c r="E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D75" i="9"/>
  <c r="C75" i="9"/>
  <c r="F74" i="9"/>
  <c r="E74" i="9"/>
  <c r="E73" i="9"/>
  <c r="F73" i="9" s="1"/>
  <c r="F72" i="9"/>
  <c r="E72" i="9"/>
  <c r="F71" i="9"/>
  <c r="E71" i="9"/>
  <c r="F70" i="9"/>
  <c r="E70" i="9"/>
  <c r="E69" i="9"/>
  <c r="F69" i="9" s="1"/>
  <c r="F68" i="9"/>
  <c r="E68" i="9"/>
  <c r="F67" i="9"/>
  <c r="E67" i="9"/>
  <c r="F66" i="9"/>
  <c r="E66" i="9"/>
  <c r="D63" i="9"/>
  <c r="C63" i="9"/>
  <c r="F63" i="9" s="1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 s="1"/>
  <c r="C50" i="9"/>
  <c r="D49" i="9"/>
  <c r="E49" i="9" s="1"/>
  <c r="F49" i="9"/>
  <c r="C49" i="9"/>
  <c r="F48" i="9"/>
  <c r="E48" i="9"/>
  <c r="E47" i="9"/>
  <c r="F47" i="9" s="1"/>
  <c r="E46" i="9"/>
  <c r="F46" i="9" s="1"/>
  <c r="E45" i="9"/>
  <c r="F45" i="9" s="1"/>
  <c r="E44" i="9"/>
  <c r="F44" i="9"/>
  <c r="E43" i="9"/>
  <c r="F43" i="9" s="1"/>
  <c r="E42" i="9"/>
  <c r="F42" i="9" s="1"/>
  <c r="E41" i="9"/>
  <c r="F41" i="9" s="1"/>
  <c r="E40" i="9"/>
  <c r="F40" i="9" s="1"/>
  <c r="D37" i="9"/>
  <c r="C37" i="9"/>
  <c r="F37" i="9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C23" i="9"/>
  <c r="E22" i="9"/>
  <c r="F22" i="9" s="1"/>
  <c r="E21" i="9"/>
  <c r="F21" i="9"/>
  <c r="E20" i="9"/>
  <c r="F20" i="9" s="1"/>
  <c r="E19" i="9"/>
  <c r="F19" i="9" s="1"/>
  <c r="E18" i="9"/>
  <c r="F18" i="9" s="1"/>
  <c r="E17" i="9"/>
  <c r="F17" i="9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/>
  <c r="D166" i="8" s="1"/>
  <c r="C164" i="8"/>
  <c r="C160" i="8" s="1"/>
  <c r="E162" i="8"/>
  <c r="D162" i="8"/>
  <c r="C162" i="8"/>
  <c r="E161" i="8"/>
  <c r="D161" i="8"/>
  <c r="C161" i="8"/>
  <c r="E147" i="8"/>
  <c r="D147" i="8"/>
  <c r="D143" i="8" s="1"/>
  <c r="D149" i="8" s="1"/>
  <c r="C147" i="8"/>
  <c r="E145" i="8"/>
  <c r="E149" i="8" s="1"/>
  <c r="D145" i="8"/>
  <c r="C145" i="8"/>
  <c r="E144" i="8"/>
  <c r="D144" i="8"/>
  <c r="C144" i="8"/>
  <c r="E143" i="8"/>
  <c r="C143" i="8"/>
  <c r="C149" i="8" s="1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D109" i="8"/>
  <c r="D106" i="8" s="1"/>
  <c r="C107" i="8"/>
  <c r="C109" i="8"/>
  <c r="C106" i="8" s="1"/>
  <c r="E104" i="8"/>
  <c r="C104" i="8"/>
  <c r="E102" i="8"/>
  <c r="D102" i="8"/>
  <c r="D104" i="8"/>
  <c r="C102" i="8"/>
  <c r="E100" i="8"/>
  <c r="D100" i="8"/>
  <c r="C100" i="8"/>
  <c r="E95" i="8"/>
  <c r="E94" i="8"/>
  <c r="D95" i="8"/>
  <c r="D94" i="8" s="1"/>
  <c r="C95" i="8"/>
  <c r="C94" i="8" s="1"/>
  <c r="E89" i="8"/>
  <c r="D89" i="8"/>
  <c r="C89" i="8"/>
  <c r="E87" i="8"/>
  <c r="D87" i="8"/>
  <c r="C87" i="8"/>
  <c r="E84" i="8"/>
  <c r="E79" i="8" s="1"/>
  <c r="D84" i="8"/>
  <c r="D79" i="8" s="1"/>
  <c r="C84" i="8"/>
  <c r="E83" i="8"/>
  <c r="D83" i="8"/>
  <c r="C83" i="8"/>
  <c r="C79" i="8"/>
  <c r="C77" i="8"/>
  <c r="E75" i="8"/>
  <c r="E88" i="8" s="1"/>
  <c r="E90" i="8" s="1"/>
  <c r="E86" i="8" s="1"/>
  <c r="D75" i="8"/>
  <c r="D88" i="8"/>
  <c r="D90" i="8" s="1"/>
  <c r="D86" i="8"/>
  <c r="C75" i="8"/>
  <c r="C88" i="8" s="1"/>
  <c r="C90" i="8" s="1"/>
  <c r="C86" i="8" s="1"/>
  <c r="E74" i="8"/>
  <c r="D74" i="8"/>
  <c r="C74" i="8"/>
  <c r="E67" i="8"/>
  <c r="D67" i="8"/>
  <c r="C67" i="8"/>
  <c r="D53" i="8"/>
  <c r="E38" i="8"/>
  <c r="E57" i="8" s="1"/>
  <c r="E62" i="8"/>
  <c r="D38" i="8"/>
  <c r="D43" i="8" s="1"/>
  <c r="D57" i="8"/>
  <c r="D62" i="8" s="1"/>
  <c r="C38" i="8"/>
  <c r="C57" i="8" s="1"/>
  <c r="C62" i="8" s="1"/>
  <c r="E33" i="8"/>
  <c r="E34" i="8"/>
  <c r="D33" i="8"/>
  <c r="D34" i="8"/>
  <c r="E26" i="8"/>
  <c r="D26" i="8"/>
  <c r="C26" i="8"/>
  <c r="C25" i="8"/>
  <c r="C27" i="8" s="1"/>
  <c r="E15" i="8"/>
  <c r="E24" i="8"/>
  <c r="C15" i="8"/>
  <c r="C24" i="8" s="1"/>
  <c r="E13" i="8"/>
  <c r="E25" i="8" s="1"/>
  <c r="E27" i="8" s="1"/>
  <c r="D13" i="8"/>
  <c r="D25" i="8"/>
  <c r="D27" i="8" s="1"/>
  <c r="C13" i="8"/>
  <c r="F186" i="7"/>
  <c r="E186" i="7"/>
  <c r="D183" i="7"/>
  <c r="C183" i="7"/>
  <c r="C188" i="7" s="1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E155" i="7"/>
  <c r="F155" i="7" s="1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 s="1"/>
  <c r="F144" i="7"/>
  <c r="E144" i="7"/>
  <c r="F143" i="7"/>
  <c r="E143" i="7"/>
  <c r="F142" i="7"/>
  <c r="E142" i="7"/>
  <c r="E141" i="7"/>
  <c r="F141" i="7" s="1"/>
  <c r="F140" i="7"/>
  <c r="E140" i="7"/>
  <c r="F139" i="7"/>
  <c r="E139" i="7"/>
  <c r="F138" i="7"/>
  <c r="E138" i="7"/>
  <c r="E137" i="7"/>
  <c r="F137" i="7" s="1"/>
  <c r="F136" i="7"/>
  <c r="E136" i="7"/>
  <c r="E135" i="7"/>
  <c r="F135" i="7" s="1"/>
  <c r="F134" i="7"/>
  <c r="E134" i="7"/>
  <c r="F133" i="7"/>
  <c r="E133" i="7"/>
  <c r="D130" i="7"/>
  <c r="E130" i="7" s="1"/>
  <c r="C130" i="7"/>
  <c r="F129" i="7"/>
  <c r="E129" i="7"/>
  <c r="F128" i="7"/>
  <c r="E128" i="7"/>
  <c r="F127" i="7"/>
  <c r="E127" i="7"/>
  <c r="E126" i="7"/>
  <c r="F126" i="7" s="1"/>
  <c r="F125" i="7"/>
  <c r="E125" i="7"/>
  <c r="E124" i="7"/>
  <c r="F124" i="7" s="1"/>
  <c r="D121" i="7"/>
  <c r="E121" i="7" s="1"/>
  <c r="C121" i="7"/>
  <c r="F121" i="7" s="1"/>
  <c r="F120" i="7"/>
  <c r="E120" i="7"/>
  <c r="E119" i="7"/>
  <c r="F119" i="7" s="1"/>
  <c r="F118" i="7"/>
  <c r="E118" i="7"/>
  <c r="E117" i="7"/>
  <c r="F117" i="7" s="1"/>
  <c r="F116" i="7"/>
  <c r="E116" i="7"/>
  <c r="F115" i="7"/>
  <c r="E115" i="7"/>
  <c r="F114" i="7"/>
  <c r="E114" i="7"/>
  <c r="E113" i="7"/>
  <c r="F113" i="7" s="1"/>
  <c r="F112" i="7"/>
  <c r="E112" i="7"/>
  <c r="E111" i="7"/>
  <c r="F111" i="7" s="1"/>
  <c r="F110" i="7"/>
  <c r="E110" i="7"/>
  <c r="E109" i="7"/>
  <c r="F109" i="7" s="1"/>
  <c r="F108" i="7"/>
  <c r="E108" i="7"/>
  <c r="F107" i="7"/>
  <c r="E107" i="7"/>
  <c r="F106" i="7"/>
  <c r="E106" i="7"/>
  <c r="E105" i="7"/>
  <c r="F105" i="7" s="1"/>
  <c r="F104" i="7"/>
  <c r="E104" i="7"/>
  <c r="E103" i="7"/>
  <c r="F103" i="7" s="1"/>
  <c r="F93" i="7"/>
  <c r="E93" i="7"/>
  <c r="D90" i="7"/>
  <c r="C90" i="7"/>
  <c r="C95" i="7"/>
  <c r="E89" i="7"/>
  <c r="F89" i="7" s="1"/>
  <c r="E88" i="7"/>
  <c r="F88" i="7" s="1"/>
  <c r="E87" i="7"/>
  <c r="F87" i="7" s="1"/>
  <c r="E86" i="7"/>
  <c r="F86" i="7" s="1"/>
  <c r="F85" i="7"/>
  <c r="E85" i="7"/>
  <c r="E84" i="7"/>
  <c r="F84" i="7" s="1"/>
  <c r="E83" i="7"/>
  <c r="F83" i="7" s="1"/>
  <c r="E82" i="7"/>
  <c r="F82" i="7" s="1"/>
  <c r="E81" i="7"/>
  <c r="F81" i="7" s="1"/>
  <c r="E80" i="7"/>
  <c r="F80" i="7" s="1"/>
  <c r="F79" i="7"/>
  <c r="E79" i="7"/>
  <c r="E78" i="7"/>
  <c r="F78" i="7" s="1"/>
  <c r="F77" i="7"/>
  <c r="E77" i="7"/>
  <c r="E76" i="7"/>
  <c r="F76" i="7" s="1"/>
  <c r="E75" i="7"/>
  <c r="F75" i="7" s="1"/>
  <c r="E74" i="7"/>
  <c r="F74" i="7" s="1"/>
  <c r="F73" i="7"/>
  <c r="E73" i="7"/>
  <c r="F72" i="7"/>
  <c r="E72" i="7"/>
  <c r="E71" i="7"/>
  <c r="F71" i="7" s="1"/>
  <c r="E70" i="7"/>
  <c r="F70" i="7" s="1"/>
  <c r="F69" i="7"/>
  <c r="E69" i="7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E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F50" i="7"/>
  <c r="E50" i="7"/>
  <c r="E47" i="7"/>
  <c r="F47" i="7" s="1"/>
  <c r="F44" i="7"/>
  <c r="E44" i="7"/>
  <c r="D41" i="7"/>
  <c r="C41" i="7"/>
  <c r="E40" i="7"/>
  <c r="F40" i="7" s="1"/>
  <c r="E39" i="7"/>
  <c r="F39" i="7" s="1"/>
  <c r="E38" i="7"/>
  <c r="F38" i="7" s="1"/>
  <c r="D35" i="7"/>
  <c r="E35" i="7" s="1"/>
  <c r="C35" i="7"/>
  <c r="E34" i="7"/>
  <c r="F34" i="7" s="1"/>
  <c r="E33" i="7"/>
  <c r="F33" i="7" s="1"/>
  <c r="D30" i="7"/>
  <c r="E30" i="7"/>
  <c r="C30" i="7"/>
  <c r="F29" i="7"/>
  <c r="E29" i="7"/>
  <c r="E28" i="7"/>
  <c r="F28" i="7" s="1"/>
  <c r="F27" i="7"/>
  <c r="E27" i="7"/>
  <c r="D24" i="7"/>
  <c r="C24" i="7"/>
  <c r="E23" i="7"/>
  <c r="F23" i="7" s="1"/>
  <c r="F22" i="7"/>
  <c r="E22" i="7"/>
  <c r="E21" i="7"/>
  <c r="F21" i="7" s="1"/>
  <c r="D18" i="7"/>
  <c r="E18" i="7"/>
  <c r="C18" i="7"/>
  <c r="F17" i="7"/>
  <c r="E17" i="7"/>
  <c r="E16" i="7"/>
  <c r="F16" i="7" s="1"/>
  <c r="E15" i="7"/>
  <c r="F15" i="7" s="1"/>
  <c r="D179" i="6"/>
  <c r="C179" i="6"/>
  <c r="F178" i="6"/>
  <c r="E178" i="6"/>
  <c r="F177" i="6"/>
  <c r="E177" i="6"/>
  <c r="F176" i="6"/>
  <c r="E176" i="6"/>
  <c r="E175" i="6"/>
  <c r="F175" i="6" s="1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 s="1"/>
  <c r="C166" i="6"/>
  <c r="F165" i="6"/>
  <c r="E165" i="6"/>
  <c r="F164" i="6"/>
  <c r="E164" i="6"/>
  <c r="E163" i="6"/>
  <c r="F163" i="6" s="1"/>
  <c r="F162" i="6"/>
  <c r="E162" i="6"/>
  <c r="F161" i="6"/>
  <c r="E161" i="6"/>
  <c r="F160" i="6"/>
  <c r="E160" i="6"/>
  <c r="E159" i="6"/>
  <c r="F159" i="6" s="1"/>
  <c r="F158" i="6"/>
  <c r="E158" i="6"/>
  <c r="F157" i="6"/>
  <c r="E157" i="6"/>
  <c r="F156" i="6"/>
  <c r="E156" i="6"/>
  <c r="E155" i="6"/>
  <c r="F155" i="6" s="1"/>
  <c r="D153" i="6"/>
  <c r="E153" i="6" s="1"/>
  <c r="F153" i="6" s="1"/>
  <c r="C153" i="6"/>
  <c r="F152" i="6"/>
  <c r="E152" i="6"/>
  <c r="F151" i="6"/>
  <c r="E151" i="6"/>
  <c r="F150" i="6"/>
  <c r="E150" i="6"/>
  <c r="F149" i="6"/>
  <c r="E149" i="6"/>
  <c r="F148" i="6"/>
  <c r="E148" i="6"/>
  <c r="E147" i="6"/>
  <c r="F147" i="6" s="1"/>
  <c r="F146" i="6"/>
  <c r="E146" i="6"/>
  <c r="F145" i="6"/>
  <c r="E145" i="6"/>
  <c r="F144" i="6"/>
  <c r="E144" i="6"/>
  <c r="E143" i="6"/>
  <c r="F143" i="6" s="1"/>
  <c r="F142" i="6"/>
  <c r="E142" i="6"/>
  <c r="D137" i="6"/>
  <c r="E137" i="6" s="1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C124" i="6"/>
  <c r="F123" i="6"/>
  <c r="E123" i="6"/>
  <c r="F122" i="6"/>
  <c r="E122" i="6"/>
  <c r="F121" i="6"/>
  <c r="E121" i="6"/>
  <c r="E120" i="6"/>
  <c r="F120" i="6" s="1"/>
  <c r="F119" i="6"/>
  <c r="E119" i="6"/>
  <c r="E118" i="6"/>
  <c r="F118" i="6" s="1"/>
  <c r="F117" i="6"/>
  <c r="E117" i="6"/>
  <c r="F116" i="6"/>
  <c r="E116" i="6"/>
  <c r="F115" i="6"/>
  <c r="E115" i="6"/>
  <c r="E114" i="6"/>
  <c r="F114" i="6" s="1"/>
  <c r="F113" i="6"/>
  <c r="E113" i="6"/>
  <c r="D111" i="6"/>
  <c r="E111" i="6"/>
  <c r="F111" i="6" s="1"/>
  <c r="C111" i="6"/>
  <c r="F110" i="6"/>
  <c r="E110" i="6"/>
  <c r="F109" i="6"/>
  <c r="E109" i="6"/>
  <c r="E108" i="6"/>
  <c r="F108" i="6" s="1"/>
  <c r="F107" i="6"/>
  <c r="E107" i="6"/>
  <c r="E106" i="6"/>
  <c r="F106" i="6" s="1"/>
  <c r="F105" i="6"/>
  <c r="E105" i="6"/>
  <c r="E104" i="6"/>
  <c r="F104" i="6" s="1"/>
  <c r="F103" i="6"/>
  <c r="E103" i="6"/>
  <c r="F102" i="6"/>
  <c r="E102" i="6"/>
  <c r="F101" i="6"/>
  <c r="E101" i="6"/>
  <c r="E100" i="6"/>
  <c r="F100" i="6" s="1"/>
  <c r="D94" i="6"/>
  <c r="E94" i="6"/>
  <c r="C94" i="6"/>
  <c r="F94" i="6" s="1"/>
  <c r="D93" i="6"/>
  <c r="C93" i="6"/>
  <c r="D92" i="6"/>
  <c r="C92" i="6"/>
  <c r="D91" i="6"/>
  <c r="E91" i="6" s="1"/>
  <c r="C91" i="6"/>
  <c r="D90" i="6"/>
  <c r="E90" i="6" s="1"/>
  <c r="F90" i="6"/>
  <c r="C90" i="6"/>
  <c r="D89" i="6"/>
  <c r="E89" i="6" s="1"/>
  <c r="C89" i="6"/>
  <c r="D88" i="6"/>
  <c r="C88" i="6"/>
  <c r="D87" i="6"/>
  <c r="C87" i="6"/>
  <c r="D86" i="6"/>
  <c r="E86" i="6" s="1"/>
  <c r="C86" i="6"/>
  <c r="F86" i="6" s="1"/>
  <c r="D85" i="6"/>
  <c r="E85" i="6" s="1"/>
  <c r="F85" i="6"/>
  <c r="C85" i="6"/>
  <c r="D84" i="6"/>
  <c r="C84" i="6"/>
  <c r="D81" i="6"/>
  <c r="C81" i="6"/>
  <c r="F80" i="6"/>
  <c r="E80" i="6"/>
  <c r="F79" i="6"/>
  <c r="E79" i="6"/>
  <c r="F78" i="6"/>
  <c r="E78" i="6"/>
  <c r="F77" i="6"/>
  <c r="E77" i="6"/>
  <c r="F76" i="6"/>
  <c r="E76" i="6"/>
  <c r="E75" i="6"/>
  <c r="F75" i="6" s="1"/>
  <c r="F74" i="6"/>
  <c r="E74" i="6"/>
  <c r="F73" i="6"/>
  <c r="E73" i="6"/>
  <c r="F72" i="6"/>
  <c r="E72" i="6"/>
  <c r="E71" i="6"/>
  <c r="F71" i="6" s="1"/>
  <c r="F70" i="6"/>
  <c r="E70" i="6"/>
  <c r="D68" i="6"/>
  <c r="E68" i="6" s="1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C49" i="6"/>
  <c r="D48" i="6"/>
  <c r="E48" i="6" s="1"/>
  <c r="F48" i="6" s="1"/>
  <c r="C48" i="6"/>
  <c r="D47" i="6"/>
  <c r="C47" i="6"/>
  <c r="D46" i="6"/>
  <c r="C46" i="6"/>
  <c r="D45" i="6"/>
  <c r="E45" i="6" s="1"/>
  <c r="C45" i="6"/>
  <c r="D44" i="6"/>
  <c r="C44" i="6"/>
  <c r="D43" i="6"/>
  <c r="E43" i="6" s="1"/>
  <c r="F43" i="6" s="1"/>
  <c r="C43" i="6"/>
  <c r="D42" i="6"/>
  <c r="C42" i="6"/>
  <c r="D41" i="6"/>
  <c r="C41" i="6"/>
  <c r="C52" i="6"/>
  <c r="D38" i="6"/>
  <c r="C38" i="6"/>
  <c r="F37" i="6"/>
  <c r="E37" i="6"/>
  <c r="F36" i="6"/>
  <c r="E36" i="6"/>
  <c r="E35" i="6"/>
  <c r="F35" i="6" s="1"/>
  <c r="F34" i="6"/>
  <c r="E34" i="6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E25" i="6"/>
  <c r="C25" i="6"/>
  <c r="F24" i="6"/>
  <c r="E24" i="6"/>
  <c r="F23" i="6"/>
  <c r="E23" i="6"/>
  <c r="E22" i="6"/>
  <c r="F22" i="6" s="1"/>
  <c r="E21" i="6"/>
  <c r="F21" i="6" s="1"/>
  <c r="F20" i="6"/>
  <c r="E20" i="6"/>
  <c r="E19" i="6"/>
  <c r="F19" i="6" s="1"/>
  <c r="E18" i="6"/>
  <c r="F18" i="6" s="1"/>
  <c r="F17" i="6"/>
  <c r="E17" i="6"/>
  <c r="E16" i="6"/>
  <c r="F16" i="6" s="1"/>
  <c r="E15" i="6"/>
  <c r="F15" i="6" s="1"/>
  <c r="F14" i="6"/>
  <c r="E14" i="6"/>
  <c r="E51" i="5"/>
  <c r="F51" i="5" s="1"/>
  <c r="D48" i="5"/>
  <c r="E48" i="5"/>
  <c r="C48" i="5"/>
  <c r="F48" i="5"/>
  <c r="F47" i="5"/>
  <c r="E47" i="5"/>
  <c r="F46" i="5"/>
  <c r="E46" i="5"/>
  <c r="D41" i="5"/>
  <c r="E41" i="5"/>
  <c r="C41" i="5"/>
  <c r="F40" i="5"/>
  <c r="E40" i="5"/>
  <c r="F39" i="5"/>
  <c r="E39" i="5"/>
  <c r="F38" i="5"/>
  <c r="E38" i="5"/>
  <c r="D33" i="5"/>
  <c r="E33" i="5"/>
  <c r="F33" i="5"/>
  <c r="C33" i="5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F25" i="5"/>
  <c r="E25" i="5"/>
  <c r="F24" i="5"/>
  <c r="E24" i="5"/>
  <c r="F20" i="5"/>
  <c r="E20" i="5"/>
  <c r="F19" i="5"/>
  <c r="E19" i="5"/>
  <c r="F17" i="5"/>
  <c r="E17" i="5"/>
  <c r="D16" i="5"/>
  <c r="D18" i="5" s="1"/>
  <c r="C16" i="5"/>
  <c r="F15" i="5"/>
  <c r="E15" i="5"/>
  <c r="F14" i="5"/>
  <c r="E14" i="5"/>
  <c r="E13" i="5"/>
  <c r="F13" i="5" s="1"/>
  <c r="F12" i="5"/>
  <c r="E12" i="5"/>
  <c r="D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 s="1"/>
  <c r="C61" i="4"/>
  <c r="E60" i="4"/>
  <c r="F60" i="4" s="1"/>
  <c r="F59" i="4"/>
  <c r="E59" i="4"/>
  <c r="D56" i="4"/>
  <c r="C56" i="4"/>
  <c r="E55" i="4"/>
  <c r="F55" i="4" s="1"/>
  <c r="E54" i="4"/>
  <c r="F54" i="4" s="1"/>
  <c r="F53" i="4"/>
  <c r="E53" i="4"/>
  <c r="E52" i="4"/>
  <c r="F52" i="4" s="1"/>
  <c r="E51" i="4"/>
  <c r="F51" i="4" s="1"/>
  <c r="E50" i="4"/>
  <c r="F50" i="4"/>
  <c r="A50" i="4"/>
  <c r="A51" i="4" s="1"/>
  <c r="A52" i="4" s="1"/>
  <c r="A53" i="4" s="1"/>
  <c r="A54" i="4" s="1"/>
  <c r="A55" i="4" s="1"/>
  <c r="F49" i="4"/>
  <c r="E49" i="4"/>
  <c r="F40" i="4"/>
  <c r="E40" i="4"/>
  <c r="D38" i="4"/>
  <c r="C38" i="4"/>
  <c r="C41" i="4"/>
  <c r="E37" i="4"/>
  <c r="F37" i="4" s="1"/>
  <c r="E36" i="4"/>
  <c r="F36" i="4" s="1"/>
  <c r="E33" i="4"/>
  <c r="F33" i="4" s="1"/>
  <c r="E32" i="4"/>
  <c r="F32" i="4" s="1"/>
  <c r="E31" i="4"/>
  <c r="F31" i="4" s="1"/>
  <c r="D29" i="4"/>
  <c r="C29" i="4"/>
  <c r="E29" i="4" s="1"/>
  <c r="E28" i="4"/>
  <c r="F28" i="4" s="1"/>
  <c r="F27" i="4"/>
  <c r="E27" i="4"/>
  <c r="F26" i="4"/>
  <c r="E26" i="4"/>
  <c r="E25" i="4"/>
  <c r="F25" i="4" s="1"/>
  <c r="D22" i="4"/>
  <c r="C22" i="4"/>
  <c r="F21" i="4"/>
  <c r="E21" i="4"/>
  <c r="E20" i="4"/>
  <c r="F20" i="4" s="1"/>
  <c r="F19" i="4"/>
  <c r="E19" i="4"/>
  <c r="F18" i="4"/>
  <c r="E18" i="4"/>
  <c r="F17" i="4"/>
  <c r="E17" i="4"/>
  <c r="E16" i="4"/>
  <c r="F16" i="4" s="1"/>
  <c r="F15" i="4"/>
  <c r="E15" i="4"/>
  <c r="F14" i="4"/>
  <c r="E14" i="4"/>
  <c r="F13" i="4"/>
  <c r="E13" i="4"/>
  <c r="C109" i="22"/>
  <c r="C108" i="22"/>
  <c r="C103" i="22"/>
  <c r="D22" i="22"/>
  <c r="C23" i="22"/>
  <c r="E23" i="22"/>
  <c r="D33" i="22"/>
  <c r="C34" i="22"/>
  <c r="E34" i="22"/>
  <c r="C102" i="22"/>
  <c r="C22" i="22"/>
  <c r="E22" i="22"/>
  <c r="E20" i="20"/>
  <c r="F20" i="20"/>
  <c r="D41" i="20"/>
  <c r="E39" i="20"/>
  <c r="E40" i="20"/>
  <c r="E19" i="20"/>
  <c r="F19" i="20" s="1"/>
  <c r="E43" i="20"/>
  <c r="C129" i="19"/>
  <c r="C133" i="19" s="1"/>
  <c r="D181" i="17"/>
  <c r="E229" i="17"/>
  <c r="F229" i="17" s="1"/>
  <c r="E230" i="17"/>
  <c r="E238" i="17"/>
  <c r="E295" i="17"/>
  <c r="E296" i="17"/>
  <c r="E297" i="17"/>
  <c r="E298" i="17"/>
  <c r="E299" i="17"/>
  <c r="C22" i="19"/>
  <c r="E17" i="17"/>
  <c r="F17" i="17"/>
  <c r="E53" i="17"/>
  <c r="F53" i="17" s="1"/>
  <c r="E58" i="17"/>
  <c r="E67" i="17"/>
  <c r="E223" i="17"/>
  <c r="F223" i="17" s="1"/>
  <c r="C283" i="18"/>
  <c r="C22" i="18"/>
  <c r="C284" i="18" s="1"/>
  <c r="E21" i="18"/>
  <c r="D33" i="18"/>
  <c r="E32" i="18"/>
  <c r="D43" i="18"/>
  <c r="D44" i="18" s="1"/>
  <c r="D99" i="18" s="1"/>
  <c r="C43" i="18"/>
  <c r="D22" i="18"/>
  <c r="E22" i="18" s="1"/>
  <c r="E54" i="18"/>
  <c r="D289" i="18"/>
  <c r="D71" i="18"/>
  <c r="D65" i="18"/>
  <c r="E60" i="18"/>
  <c r="E69" i="18"/>
  <c r="E139" i="18"/>
  <c r="D144" i="18"/>
  <c r="C145" i="18"/>
  <c r="C156" i="18"/>
  <c r="C157" i="18"/>
  <c r="D175" i="18"/>
  <c r="E175" i="18" s="1"/>
  <c r="E261" i="18"/>
  <c r="C229" i="18"/>
  <c r="C210" i="18"/>
  <c r="E205" i="18"/>
  <c r="C240" i="18"/>
  <c r="C222" i="18"/>
  <c r="C223" i="18" s="1"/>
  <c r="E216" i="18"/>
  <c r="C242" i="18"/>
  <c r="C217" i="18"/>
  <c r="C241" i="18" s="1"/>
  <c r="E218" i="18"/>
  <c r="D243" i="18"/>
  <c r="E219" i="18"/>
  <c r="E245" i="18"/>
  <c r="E302" i="18"/>
  <c r="C303" i="18"/>
  <c r="C261" i="18"/>
  <c r="C189" i="18"/>
  <c r="E189" i="18" s="1"/>
  <c r="E188" i="18"/>
  <c r="D260" i="18"/>
  <c r="E195" i="18"/>
  <c r="D234" i="18"/>
  <c r="D211" i="18"/>
  <c r="E211" i="18" s="1"/>
  <c r="D239" i="18"/>
  <c r="E239" i="18" s="1"/>
  <c r="C244" i="18"/>
  <c r="E244" i="18" s="1"/>
  <c r="E220" i="18"/>
  <c r="D306" i="18"/>
  <c r="D320" i="18"/>
  <c r="E320" i="18"/>
  <c r="E316" i="18"/>
  <c r="E326" i="18"/>
  <c r="D330" i="18"/>
  <c r="E330" i="18"/>
  <c r="E221" i="18"/>
  <c r="D222" i="18"/>
  <c r="E222" i="18" s="1"/>
  <c r="E265" i="18"/>
  <c r="E314" i="18"/>
  <c r="E233" i="18"/>
  <c r="E301" i="18"/>
  <c r="E324" i="18"/>
  <c r="D32" i="17"/>
  <c r="D175" i="17" s="1"/>
  <c r="D176" i="17" s="1"/>
  <c r="D160" i="17"/>
  <c r="D90" i="17"/>
  <c r="C61" i="17"/>
  <c r="F68" i="17"/>
  <c r="C103" i="17"/>
  <c r="C194" i="17"/>
  <c r="C207" i="17"/>
  <c r="C138" i="17"/>
  <c r="E159" i="17"/>
  <c r="D173" i="17"/>
  <c r="E172" i="17"/>
  <c r="E60" i="17"/>
  <c r="F60" i="17"/>
  <c r="D61" i="17"/>
  <c r="D103" i="17"/>
  <c r="E102" i="17"/>
  <c r="F102" i="17" s="1"/>
  <c r="D207" i="17"/>
  <c r="D138" i="17"/>
  <c r="E137" i="17"/>
  <c r="F137" i="17"/>
  <c r="F172" i="17"/>
  <c r="C173" i="17"/>
  <c r="F173" i="17"/>
  <c r="D21" i="17"/>
  <c r="F24" i="17"/>
  <c r="F29" i="17"/>
  <c r="F36" i="17"/>
  <c r="F44" i="17"/>
  <c r="F52" i="17"/>
  <c r="F58" i="17"/>
  <c r="F67" i="17"/>
  <c r="E88" i="17"/>
  <c r="F88" i="17"/>
  <c r="E101" i="17"/>
  <c r="F101" i="17"/>
  <c r="E109" i="17"/>
  <c r="F109" i="17"/>
  <c r="E123" i="17"/>
  <c r="F123" i="17"/>
  <c r="C124" i="17"/>
  <c r="E136" i="17"/>
  <c r="F136" i="17" s="1"/>
  <c r="E144" i="17"/>
  <c r="F144" i="17" s="1"/>
  <c r="E158" i="17"/>
  <c r="E171" i="17"/>
  <c r="E179" i="17"/>
  <c r="C277" i="17"/>
  <c r="C261" i="17"/>
  <c r="C263" i="17" s="1"/>
  <c r="C278" i="17"/>
  <c r="C288" i="17" s="1"/>
  <c r="C262" i="17"/>
  <c r="C255" i="17"/>
  <c r="F255" i="17" s="1"/>
  <c r="C215" i="17"/>
  <c r="C190" i="17"/>
  <c r="F190" i="17" s="1"/>
  <c r="C280" i="17"/>
  <c r="C264" i="17"/>
  <c r="C200" i="17"/>
  <c r="E191" i="17"/>
  <c r="F191" i="17" s="1"/>
  <c r="E239" i="17"/>
  <c r="F239" i="17"/>
  <c r="C266" i="17"/>
  <c r="E20" i="17"/>
  <c r="F20" i="17"/>
  <c r="C21" i="17"/>
  <c r="C91" i="17" s="1"/>
  <c r="C92" i="17" s="1"/>
  <c r="E30" i="17"/>
  <c r="F30" i="17" s="1"/>
  <c r="E35" i="17"/>
  <c r="F35" i="17"/>
  <c r="C37" i="17"/>
  <c r="E37" i="17"/>
  <c r="E47" i="17"/>
  <c r="F47" i="17"/>
  <c r="E59" i="17"/>
  <c r="F59" i="17"/>
  <c r="E66" i="17"/>
  <c r="F66" i="17"/>
  <c r="E76" i="17"/>
  <c r="F76" i="17"/>
  <c r="D124" i="17"/>
  <c r="E124" i="17"/>
  <c r="D277" i="17"/>
  <c r="D261" i="17"/>
  <c r="D214" i="17"/>
  <c r="D206" i="17"/>
  <c r="D190" i="17"/>
  <c r="E190" i="17" s="1"/>
  <c r="C192" i="17"/>
  <c r="E192" i="17"/>
  <c r="F192" i="17" s="1"/>
  <c r="D193" i="17"/>
  <c r="D290" i="17"/>
  <c r="E290" i="17"/>
  <c r="F290" i="17"/>
  <c r="D274" i="17"/>
  <c r="D200" i="17"/>
  <c r="E200" i="17"/>
  <c r="F200" i="17" s="1"/>
  <c r="D283" i="17"/>
  <c r="D267" i="17"/>
  <c r="D271" i="17" s="1"/>
  <c r="D285" i="17"/>
  <c r="D286" i="17" s="1"/>
  <c r="E285" i="17"/>
  <c r="F285" i="17" s="1"/>
  <c r="D269" i="17"/>
  <c r="D205" i="17"/>
  <c r="F230" i="17"/>
  <c r="F238" i="17"/>
  <c r="E306" i="17"/>
  <c r="D264" i="17"/>
  <c r="E280" i="17"/>
  <c r="F280" i="17" s="1"/>
  <c r="E198" i="17"/>
  <c r="F198" i="17"/>
  <c r="C199" i="17"/>
  <c r="E204" i="17"/>
  <c r="F204" i="17"/>
  <c r="E237" i="17"/>
  <c r="F237" i="17" s="1"/>
  <c r="E250" i="17"/>
  <c r="F250" i="17" s="1"/>
  <c r="C269" i="17"/>
  <c r="C274" i="17"/>
  <c r="E274" i="17" s="1"/>
  <c r="F295" i="17"/>
  <c r="F296" i="17"/>
  <c r="F297" i="17"/>
  <c r="F299" i="17"/>
  <c r="I31" i="14"/>
  <c r="I17" i="14"/>
  <c r="D31" i="14"/>
  <c r="C33" i="14"/>
  <c r="C36" i="14"/>
  <c r="C38" i="14" s="1"/>
  <c r="C40" i="14" s="1"/>
  <c r="E33" i="14"/>
  <c r="E36" i="14" s="1"/>
  <c r="E38" i="14" s="1"/>
  <c r="E40" i="14" s="1"/>
  <c r="G33" i="14"/>
  <c r="I33" i="14" s="1"/>
  <c r="I36" i="14" s="1"/>
  <c r="I38" i="14" s="1"/>
  <c r="H17" i="14"/>
  <c r="C20" i="13"/>
  <c r="C21" i="13"/>
  <c r="D15" i="13"/>
  <c r="D24" i="13" s="1"/>
  <c r="C17" i="13"/>
  <c r="C28" i="13"/>
  <c r="E17" i="13"/>
  <c r="E28" i="13"/>
  <c r="E70" i="13" s="1"/>
  <c r="E72" i="13"/>
  <c r="E69" i="13" s="1"/>
  <c r="D48" i="13"/>
  <c r="D42" i="13" s="1"/>
  <c r="D20" i="12"/>
  <c r="E17" i="12"/>
  <c r="F17" i="12"/>
  <c r="C20" i="12"/>
  <c r="E20" i="12" s="1"/>
  <c r="E15" i="12"/>
  <c r="F15" i="12" s="1"/>
  <c r="D41" i="11"/>
  <c r="D43" i="11" s="1"/>
  <c r="E24" i="10"/>
  <c r="E35" i="10"/>
  <c r="E36" i="10"/>
  <c r="E47" i="10"/>
  <c r="E48" i="10"/>
  <c r="E71" i="10"/>
  <c r="E72" i="10"/>
  <c r="E108" i="10"/>
  <c r="E113" i="10"/>
  <c r="E114" i="10"/>
  <c r="E115" i="10"/>
  <c r="E116" i="10"/>
  <c r="E117" i="10"/>
  <c r="E119" i="10"/>
  <c r="E120" i="10"/>
  <c r="C121" i="10"/>
  <c r="E121" i="10" s="1"/>
  <c r="F121" i="10"/>
  <c r="C122" i="10"/>
  <c r="F122" i="10" s="1"/>
  <c r="E59" i="10"/>
  <c r="E60" i="10"/>
  <c r="E83" i="10"/>
  <c r="E84" i="10"/>
  <c r="E95" i="10"/>
  <c r="E96" i="10"/>
  <c r="E112" i="10"/>
  <c r="F206" i="9"/>
  <c r="E23" i="9"/>
  <c r="F23" i="9" s="1"/>
  <c r="E24" i="9"/>
  <c r="F24" i="9"/>
  <c r="E37" i="9"/>
  <c r="E198" i="9"/>
  <c r="F198" i="9"/>
  <c r="E199" i="9"/>
  <c r="D21" i="8"/>
  <c r="C20" i="8"/>
  <c r="C21" i="8"/>
  <c r="C136" i="8"/>
  <c r="C135" i="8"/>
  <c r="D154" i="8"/>
  <c r="D152" i="8"/>
  <c r="D157" i="8"/>
  <c r="D153" i="8"/>
  <c r="E20" i="8"/>
  <c r="E139" i="8"/>
  <c r="D139" i="8"/>
  <c r="D135" i="8"/>
  <c r="D140" i="8"/>
  <c r="D138" i="8"/>
  <c r="D15" i="8"/>
  <c r="C17" i="8"/>
  <c r="E17" i="8"/>
  <c r="E28" i="8" s="1"/>
  <c r="E99" i="8" s="1"/>
  <c r="E101" i="8" s="1"/>
  <c r="E98" i="8" s="1"/>
  <c r="C43" i="8"/>
  <c r="E43" i="8"/>
  <c r="D49" i="8"/>
  <c r="C53" i="8"/>
  <c r="E53" i="8"/>
  <c r="D77" i="8"/>
  <c r="D71" i="8"/>
  <c r="C49" i="8"/>
  <c r="E49" i="8"/>
  <c r="E90" i="7"/>
  <c r="F90" i="7"/>
  <c r="E183" i="7"/>
  <c r="F183" i="7"/>
  <c r="E41" i="6"/>
  <c r="F41" i="6"/>
  <c r="E56" i="4"/>
  <c r="F56" i="4" s="1"/>
  <c r="E53" i="22"/>
  <c r="E45" i="22"/>
  <c r="E39" i="22"/>
  <c r="E35" i="22"/>
  <c r="E29" i="22"/>
  <c r="E37" i="22" s="1"/>
  <c r="E110" i="22"/>
  <c r="C54" i="22"/>
  <c r="C46" i="22"/>
  <c r="C40" i="22"/>
  <c r="C30" i="22"/>
  <c r="C53" i="22"/>
  <c r="C45" i="22"/>
  <c r="C39" i="22"/>
  <c r="C35" i="22"/>
  <c r="C29" i="22"/>
  <c r="C55" i="22" s="1"/>
  <c r="C110" i="22"/>
  <c r="D53" i="22"/>
  <c r="D45" i="22"/>
  <c r="D39" i="22"/>
  <c r="D35" i="22"/>
  <c r="D29" i="22"/>
  <c r="D47" i="22" s="1"/>
  <c r="F43" i="20"/>
  <c r="E260" i="18"/>
  <c r="D252" i="18"/>
  <c r="E243" i="18"/>
  <c r="C234" i="18"/>
  <c r="C211" i="18"/>
  <c r="D180" i="18"/>
  <c r="D145" i="18"/>
  <c r="E144" i="18"/>
  <c r="D66" i="18"/>
  <c r="C168" i="18"/>
  <c r="D246" i="18"/>
  <c r="D310" i="18"/>
  <c r="D223" i="18"/>
  <c r="D247" i="18" s="1"/>
  <c r="E210" i="18"/>
  <c r="E234" i="18"/>
  <c r="C180" i="18"/>
  <c r="C169" i="18"/>
  <c r="D76" i="18"/>
  <c r="D258" i="18"/>
  <c r="D264" i="18" s="1"/>
  <c r="D100" i="18"/>
  <c r="D96" i="18"/>
  <c r="D87" i="18"/>
  <c r="D83" i="18"/>
  <c r="D101" i="18"/>
  <c r="D95" i="18"/>
  <c r="D88" i="18"/>
  <c r="D86" i="18"/>
  <c r="D259" i="18"/>
  <c r="E43" i="18"/>
  <c r="D295" i="18"/>
  <c r="E33" i="18"/>
  <c r="D300" i="17"/>
  <c r="E264" i="17"/>
  <c r="E269" i="17"/>
  <c r="F269" i="17" s="1"/>
  <c r="E193" i="17"/>
  <c r="F193" i="17"/>
  <c r="E215" i="17"/>
  <c r="F215" i="17" s="1"/>
  <c r="D255" i="17"/>
  <c r="E255" i="17"/>
  <c r="E261" i="17"/>
  <c r="F261" i="17"/>
  <c r="E138" i="17"/>
  <c r="F138" i="17" s="1"/>
  <c r="C139" i="17"/>
  <c r="C104" i="17"/>
  <c r="D254" i="17"/>
  <c r="D287" i="17"/>
  <c r="D284" i="17"/>
  <c r="E277" i="17"/>
  <c r="F277" i="17"/>
  <c r="F37" i="17"/>
  <c r="C49" i="17"/>
  <c r="C161" i="17"/>
  <c r="C126" i="17"/>
  <c r="C281" i="17"/>
  <c r="C272" i="17"/>
  <c r="C279" i="17"/>
  <c r="F124" i="17"/>
  <c r="D161" i="17"/>
  <c r="E161" i="17" s="1"/>
  <c r="D126" i="17"/>
  <c r="D127" i="17" s="1"/>
  <c r="D91" i="17"/>
  <c r="D92" i="17" s="1"/>
  <c r="D49" i="17"/>
  <c r="D282" i="17"/>
  <c r="E282" i="17" s="1"/>
  <c r="F282" i="17" s="1"/>
  <c r="E207" i="17"/>
  <c r="F207" i="17"/>
  <c r="D208" i="17"/>
  <c r="E208" i="17" s="1"/>
  <c r="D209" i="17"/>
  <c r="D174" i="17"/>
  <c r="D139" i="17"/>
  <c r="E61" i="17"/>
  <c r="F61" i="17"/>
  <c r="C208" i="17"/>
  <c r="D125" i="17"/>
  <c r="D140" i="17"/>
  <c r="D62" i="17"/>
  <c r="G36" i="14"/>
  <c r="G38" i="14"/>
  <c r="G40" i="14" s="1"/>
  <c r="D17" i="13"/>
  <c r="D28" i="13" s="1"/>
  <c r="F20" i="12"/>
  <c r="C34" i="12"/>
  <c r="E122" i="10"/>
  <c r="C112" i="8"/>
  <c r="C111" i="8" s="1"/>
  <c r="C28" i="8"/>
  <c r="C22" i="8" s="1"/>
  <c r="E112" i="8"/>
  <c r="E111" i="8" s="1"/>
  <c r="D24" i="8"/>
  <c r="D17" i="8"/>
  <c r="D112" i="8" s="1"/>
  <c r="D111" i="8" s="1"/>
  <c r="D55" i="22"/>
  <c r="D37" i="22"/>
  <c r="C47" i="22"/>
  <c r="E55" i="22"/>
  <c r="E47" i="22"/>
  <c r="E112" i="22"/>
  <c r="D263" i="18"/>
  <c r="D181" i="18"/>
  <c r="D77" i="18"/>
  <c r="E180" i="18"/>
  <c r="D254" i="18"/>
  <c r="E252" i="18"/>
  <c r="D141" i="17"/>
  <c r="D50" i="17"/>
  <c r="E91" i="17"/>
  <c r="F91" i="17"/>
  <c r="D70" i="13"/>
  <c r="D72" i="13" s="1"/>
  <c r="D69" i="13" s="1"/>
  <c r="D28" i="8"/>
  <c r="D99" i="8" s="1"/>
  <c r="D101" i="8" s="1"/>
  <c r="D98" i="8" s="1"/>
  <c r="D122" i="18"/>
  <c r="E92" i="17"/>
  <c r="F92" i="17" s="1"/>
  <c r="D322" i="17"/>
  <c r="D304" i="17" l="1"/>
  <c r="E303" i="18"/>
  <c r="C306" i="18"/>
  <c r="F25" i="6"/>
  <c r="F91" i="6"/>
  <c r="E21" i="8"/>
  <c r="E22" i="8"/>
  <c r="D110" i="18"/>
  <c r="D123" i="18"/>
  <c r="D126" i="18"/>
  <c r="D113" i="18"/>
  <c r="D114" i="18"/>
  <c r="D124" i="18"/>
  <c r="C127" i="17"/>
  <c r="F126" i="17"/>
  <c r="E206" i="17"/>
  <c r="D77" i="22"/>
  <c r="D101" i="22"/>
  <c r="D103" i="22" s="1"/>
  <c r="E49" i="17"/>
  <c r="C50" i="17"/>
  <c r="F49" i="17"/>
  <c r="C113" i="22"/>
  <c r="C48" i="22"/>
  <c r="E240" i="18"/>
  <c r="C253" i="18"/>
  <c r="C254" i="18" s="1"/>
  <c r="E254" i="18" s="1"/>
  <c r="E36" i="22"/>
  <c r="E111" i="22"/>
  <c r="E54" i="22"/>
  <c r="E46" i="22"/>
  <c r="E30" i="22"/>
  <c r="E22" i="4"/>
  <c r="F22" i="4" s="1"/>
  <c r="E38" i="6"/>
  <c r="F38" i="6"/>
  <c r="F47" i="6"/>
  <c r="F92" i="6"/>
  <c r="D281" i="17"/>
  <c r="E281" i="17" s="1"/>
  <c r="F281" i="17" s="1"/>
  <c r="E40" i="22"/>
  <c r="D268" i="17"/>
  <c r="E38" i="4"/>
  <c r="F38" i="4" s="1"/>
  <c r="D41" i="4"/>
  <c r="E41" i="4" s="1"/>
  <c r="F89" i="6"/>
  <c r="E41" i="7"/>
  <c r="F41" i="7"/>
  <c r="E166" i="8"/>
  <c r="F36" i="9"/>
  <c r="E36" i="9"/>
  <c r="F167" i="9"/>
  <c r="E167" i="9"/>
  <c r="E201" i="9"/>
  <c r="D208" i="9"/>
  <c r="E208" i="9" s="1"/>
  <c r="F205" i="9"/>
  <c r="E36" i="20"/>
  <c r="F36" i="20" s="1"/>
  <c r="F34" i="20"/>
  <c r="F208" i="17"/>
  <c r="C38" i="22"/>
  <c r="C22" i="13"/>
  <c r="C70" i="13"/>
  <c r="C72" i="13" s="1"/>
  <c r="C69" i="13" s="1"/>
  <c r="F39" i="20"/>
  <c r="E41" i="20"/>
  <c r="C99" i="8"/>
  <c r="C101" i="8" s="1"/>
  <c r="C98" i="8" s="1"/>
  <c r="C56" i="22"/>
  <c r="D210" i="17"/>
  <c r="C181" i="18"/>
  <c r="E181" i="18" s="1"/>
  <c r="C235" i="18"/>
  <c r="C37" i="22"/>
  <c r="C112" i="22"/>
  <c r="D105" i="17"/>
  <c r="E103" i="17"/>
  <c r="F103" i="17" s="1"/>
  <c r="D104" i="17"/>
  <c r="E104" i="17" s="1"/>
  <c r="F104" i="17" s="1"/>
  <c r="F73" i="4"/>
  <c r="C71" i="8"/>
  <c r="F127" i="9"/>
  <c r="E127" i="9"/>
  <c r="F31" i="14"/>
  <c r="H31" i="14" s="1"/>
  <c r="F33" i="14"/>
  <c r="I40" i="14"/>
  <c r="C283" i="17"/>
  <c r="C254" i="17"/>
  <c r="C205" i="17"/>
  <c r="C206" i="17"/>
  <c r="C214" i="17"/>
  <c r="E203" i="17"/>
  <c r="F203" i="17" s="1"/>
  <c r="C267" i="17"/>
  <c r="E226" i="17"/>
  <c r="F226" i="17" s="1"/>
  <c r="D266" i="17"/>
  <c r="C42" i="12"/>
  <c r="F161" i="17"/>
  <c r="F29" i="4"/>
  <c r="E126" i="17"/>
  <c r="E294" i="17"/>
  <c r="F294" i="17"/>
  <c r="C162" i="17"/>
  <c r="E139" i="17"/>
  <c r="F139" i="17" s="1"/>
  <c r="F274" i="17"/>
  <c r="D121" i="18"/>
  <c r="C300" i="17"/>
  <c r="E300" i="17" s="1"/>
  <c r="C265" i="17"/>
  <c r="F264" i="17"/>
  <c r="E173" i="17"/>
  <c r="C174" i="17"/>
  <c r="C18" i="5"/>
  <c r="E18" i="5" s="1"/>
  <c r="E16" i="5"/>
  <c r="F16" i="5" s="1"/>
  <c r="E167" i="7"/>
  <c r="D188" i="7"/>
  <c r="E188" i="7" s="1"/>
  <c r="F188" i="7" s="1"/>
  <c r="D20" i="8"/>
  <c r="D22" i="8"/>
  <c r="E77" i="8"/>
  <c r="E71" i="8" s="1"/>
  <c r="E137" i="8"/>
  <c r="E140" i="8"/>
  <c r="E138" i="8"/>
  <c r="E136" i="8"/>
  <c r="E135" i="8"/>
  <c r="F41" i="20"/>
  <c r="D127" i="18"/>
  <c r="F41" i="4"/>
  <c r="D148" i="17"/>
  <c r="D112" i="18"/>
  <c r="D266" i="18"/>
  <c r="D270" i="17"/>
  <c r="E267" i="17"/>
  <c r="D109" i="18"/>
  <c r="D111" i="18"/>
  <c r="D63" i="17"/>
  <c r="E223" i="18"/>
  <c r="D115" i="18"/>
  <c r="D125" i="18"/>
  <c r="D162" i="17"/>
  <c r="E145" i="18"/>
  <c r="E127" i="17"/>
  <c r="C268" i="17"/>
  <c r="E181" i="17"/>
  <c r="C65" i="4"/>
  <c r="E61" i="4"/>
  <c r="F61" i="4" s="1"/>
  <c r="D21" i="5"/>
  <c r="E49" i="6"/>
  <c r="F49" i="6" s="1"/>
  <c r="C95" i="6"/>
  <c r="F87" i="6"/>
  <c r="E87" i="6"/>
  <c r="C140" i="8"/>
  <c r="C137" i="8"/>
  <c r="C141" i="8" s="1"/>
  <c r="C138" i="8"/>
  <c r="C139" i="8"/>
  <c r="E61" i="11"/>
  <c r="F61" i="11" s="1"/>
  <c r="D65" i="11"/>
  <c r="E32" i="12"/>
  <c r="F32" i="12" s="1"/>
  <c r="E48" i="17"/>
  <c r="F48" i="17" s="1"/>
  <c r="C160" i="17"/>
  <c r="E21" i="21"/>
  <c r="F21" i="21" s="1"/>
  <c r="E109" i="22"/>
  <c r="E108" i="22"/>
  <c r="C196" i="17"/>
  <c r="E73" i="4"/>
  <c r="F41" i="5"/>
  <c r="F59" i="7"/>
  <c r="F107" i="10"/>
  <c r="E107" i="10"/>
  <c r="D194" i="17"/>
  <c r="C90" i="17"/>
  <c r="C259" i="18"/>
  <c r="C263" i="18" s="1"/>
  <c r="E263" i="18" s="1"/>
  <c r="C44" i="18"/>
  <c r="C36" i="22"/>
  <c r="C111" i="22"/>
  <c r="E65" i="4"/>
  <c r="F44" i="6"/>
  <c r="E44" i="6"/>
  <c r="F93" i="6"/>
  <c r="E93" i="6"/>
  <c r="F179" i="6"/>
  <c r="E205" i="9"/>
  <c r="F65" i="15"/>
  <c r="D283" i="18"/>
  <c r="E283" i="18" s="1"/>
  <c r="D55" i="18"/>
  <c r="D199" i="17"/>
  <c r="E199" i="17" s="1"/>
  <c r="F199" i="17" s="1"/>
  <c r="C195" i="17"/>
  <c r="E31" i="17"/>
  <c r="F31" i="17" s="1"/>
  <c r="D85" i="18"/>
  <c r="D84" i="18"/>
  <c r="D98" i="18"/>
  <c r="D97" i="18"/>
  <c r="F40" i="20"/>
  <c r="C43" i="4"/>
  <c r="C75" i="4"/>
  <c r="D95" i="6"/>
  <c r="E84" i="6"/>
  <c r="F84" i="6" s="1"/>
  <c r="E179" i="6"/>
  <c r="D136" i="8"/>
  <c r="D141" i="8" s="1"/>
  <c r="D137" i="8"/>
  <c r="E63" i="9"/>
  <c r="E65" i="15"/>
  <c r="D262" i="17"/>
  <c r="E189" i="17"/>
  <c r="C209" i="17"/>
  <c r="D34" i="12"/>
  <c r="C125" i="17"/>
  <c r="E21" i="17"/>
  <c r="F21" i="17" s="1"/>
  <c r="E44" i="18"/>
  <c r="D89" i="18"/>
  <c r="D278" i="17"/>
  <c r="C32" i="17"/>
  <c r="D294" i="18"/>
  <c r="D75" i="4"/>
  <c r="E75" i="4" s="1"/>
  <c r="F45" i="6"/>
  <c r="F35" i="7"/>
  <c r="D155" i="8"/>
  <c r="D156" i="8"/>
  <c r="C208" i="9"/>
  <c r="F199" i="9"/>
  <c r="D242" i="18"/>
  <c r="E242" i="18" s="1"/>
  <c r="D217" i="18"/>
  <c r="E253" i="18"/>
  <c r="D52" i="6"/>
  <c r="E52" i="6" s="1"/>
  <c r="F52" i="6" s="1"/>
  <c r="E46" i="6"/>
  <c r="F46" i="6" s="1"/>
  <c r="E92" i="6"/>
  <c r="D95" i="7"/>
  <c r="E95" i="7" s="1"/>
  <c r="F95" i="7" s="1"/>
  <c r="F130" i="7"/>
  <c r="E75" i="9"/>
  <c r="F75" i="9" s="1"/>
  <c r="F101" i="9"/>
  <c r="F202" i="9"/>
  <c r="C41" i="11"/>
  <c r="D27" i="13"/>
  <c r="F16" i="15"/>
  <c r="F23" i="15"/>
  <c r="F30" i="7"/>
  <c r="F102" i="9"/>
  <c r="F21" i="16"/>
  <c r="C71" i="18"/>
  <c r="C76" i="18" s="1"/>
  <c r="C65" i="18"/>
  <c r="E65" i="18" s="1"/>
  <c r="C289" i="18"/>
  <c r="E289" i="18" s="1"/>
  <c r="D156" i="18"/>
  <c r="E151" i="18"/>
  <c r="D163" i="18"/>
  <c r="E163" i="18" s="1"/>
  <c r="E231" i="18"/>
  <c r="E45" i="20"/>
  <c r="F45" i="20" s="1"/>
  <c r="E42" i="6"/>
  <c r="F42" i="6" s="1"/>
  <c r="E47" i="6"/>
  <c r="E124" i="6"/>
  <c r="F124" i="6" s="1"/>
  <c r="E24" i="7"/>
  <c r="F24" i="7" s="1"/>
  <c r="C166" i="8"/>
  <c r="E111" i="17"/>
  <c r="F111" i="17" s="1"/>
  <c r="F129" i="17"/>
  <c r="D23" i="22"/>
  <c r="D34" i="22"/>
  <c r="E81" i="6"/>
  <c r="F81" i="6" s="1"/>
  <c r="E88" i="6"/>
  <c r="F88" i="6" s="1"/>
  <c r="F18" i="7"/>
  <c r="F167" i="7"/>
  <c r="F115" i="9"/>
  <c r="F145" i="17"/>
  <c r="E39" i="18"/>
  <c r="F16" i="20"/>
  <c r="F25" i="20"/>
  <c r="C46" i="20"/>
  <c r="F128" i="9"/>
  <c r="E154" i="9"/>
  <c r="F203" i="9"/>
  <c r="E73" i="11"/>
  <c r="F73" i="11" s="1"/>
  <c r="E177" i="18"/>
  <c r="E262" i="18"/>
  <c r="E38" i="11"/>
  <c r="F38" i="11" s="1"/>
  <c r="D80" i="13"/>
  <c r="D77" i="13" s="1"/>
  <c r="E50" i="15"/>
  <c r="F94" i="17"/>
  <c r="E166" i="18"/>
  <c r="E281" i="18"/>
  <c r="E288" i="18"/>
  <c r="D46" i="20"/>
  <c r="F201" i="9"/>
  <c r="E45" i="15"/>
  <c r="F70" i="15"/>
  <c r="E17" i="16"/>
  <c r="F17" i="16" s="1"/>
  <c r="E94" i="17"/>
  <c r="E100" i="17"/>
  <c r="F100" i="17" s="1"/>
  <c r="C146" i="17"/>
  <c r="F179" i="17"/>
  <c r="C181" i="17"/>
  <c r="F181" i="17" s="1"/>
  <c r="E228" i="18"/>
  <c r="F44" i="20"/>
  <c r="F76" i="9"/>
  <c r="D207" i="9"/>
  <c r="E207" i="9" s="1"/>
  <c r="F207" i="9" s="1"/>
  <c r="F22" i="11"/>
  <c r="C75" i="11"/>
  <c r="E37" i="15"/>
  <c r="E77" i="17"/>
  <c r="E129" i="17"/>
  <c r="F189" i="17"/>
  <c r="E44" i="20"/>
  <c r="E19" i="21"/>
  <c r="F19" i="21" s="1"/>
  <c r="E25" i="13"/>
  <c r="E27" i="13" s="1"/>
  <c r="C163" i="18"/>
  <c r="E153" i="8" l="1"/>
  <c r="E156" i="8"/>
  <c r="E154" i="8"/>
  <c r="E152" i="8"/>
  <c r="E157" i="8"/>
  <c r="E155" i="8"/>
  <c r="E55" i="18"/>
  <c r="D284" i="18"/>
  <c r="E284" i="18" s="1"/>
  <c r="E174" i="17"/>
  <c r="F174" i="17"/>
  <c r="F162" i="17"/>
  <c r="D42" i="12"/>
  <c r="E34" i="12"/>
  <c r="F34" i="12" s="1"/>
  <c r="D90" i="18"/>
  <c r="C49" i="12"/>
  <c r="D106" i="17"/>
  <c r="C197" i="17"/>
  <c r="F127" i="17"/>
  <c r="D116" i="18"/>
  <c r="D265" i="17"/>
  <c r="E265" i="17" s="1"/>
  <c r="E266" i="17"/>
  <c r="F266" i="17" s="1"/>
  <c r="D112" i="22"/>
  <c r="D108" i="22"/>
  <c r="D110" i="22"/>
  <c r="D109" i="22"/>
  <c r="E125" i="17"/>
  <c r="F125" i="17" s="1"/>
  <c r="C270" i="17"/>
  <c r="F267" i="17"/>
  <c r="C271" i="17"/>
  <c r="D168" i="18"/>
  <c r="E168" i="18" s="1"/>
  <c r="E156" i="18"/>
  <c r="D157" i="18"/>
  <c r="E141" i="8"/>
  <c r="F265" i="17"/>
  <c r="D128" i="18"/>
  <c r="E214" i="17"/>
  <c r="F214" i="17" s="1"/>
  <c r="C216" i="17"/>
  <c r="C304" i="17"/>
  <c r="D211" i="17"/>
  <c r="E259" i="18"/>
  <c r="E50" i="17"/>
  <c r="F50" i="17" s="1"/>
  <c r="C21" i="5"/>
  <c r="F18" i="5"/>
  <c r="E306" i="18"/>
  <c r="C310" i="18"/>
  <c r="E310" i="18" s="1"/>
  <c r="E97" i="18"/>
  <c r="D102" i="18"/>
  <c r="E90" i="17"/>
  <c r="F90" i="17" s="1"/>
  <c r="E65" i="11"/>
  <c r="F65" i="11" s="1"/>
  <c r="D75" i="11"/>
  <c r="E75" i="11" s="1"/>
  <c r="F75" i="11" s="1"/>
  <c r="E270" i="17"/>
  <c r="E20" i="13"/>
  <c r="E21" i="13"/>
  <c r="E22" i="13"/>
  <c r="D22" i="13"/>
  <c r="D21" i="13"/>
  <c r="D20" i="13"/>
  <c r="F208" i="9"/>
  <c r="C105" i="17"/>
  <c r="C62" i="17"/>
  <c r="C175" i="17"/>
  <c r="C140" i="17"/>
  <c r="E32" i="17"/>
  <c r="F32" i="17" s="1"/>
  <c r="C210" i="17"/>
  <c r="E210" i="17" s="1"/>
  <c r="E95" i="6"/>
  <c r="F95" i="6" s="1"/>
  <c r="F160" i="17"/>
  <c r="E21" i="5"/>
  <c r="D35" i="5"/>
  <c r="F300" i="17"/>
  <c r="F206" i="17"/>
  <c r="E71" i="18"/>
  <c r="C287" i="17"/>
  <c r="C284" i="17"/>
  <c r="C286" i="17"/>
  <c r="E283" i="17"/>
  <c r="F283" i="17" s="1"/>
  <c r="D235" i="18"/>
  <c r="E235" i="18" s="1"/>
  <c r="D196" i="17"/>
  <c r="E194" i="17"/>
  <c r="F194" i="17" s="1"/>
  <c r="D195" i="17"/>
  <c r="E195" i="17" s="1"/>
  <c r="C66" i="18"/>
  <c r="C246" i="18"/>
  <c r="E246" i="18" s="1"/>
  <c r="C294" i="18"/>
  <c r="E294" i="18" s="1"/>
  <c r="D288" i="17"/>
  <c r="D279" i="17"/>
  <c r="E279" i="17" s="1"/>
  <c r="F279" i="17" s="1"/>
  <c r="E278" i="17"/>
  <c r="F278" i="17" s="1"/>
  <c r="F75" i="4"/>
  <c r="F195" i="17"/>
  <c r="D183" i="17"/>
  <c r="E162" i="17"/>
  <c r="D323" i="17"/>
  <c r="E209" i="17"/>
  <c r="F209" i="17" s="1"/>
  <c r="E205" i="17"/>
  <c r="F205" i="17" s="1"/>
  <c r="E268" i="17"/>
  <c r="D70" i="17"/>
  <c r="D43" i="4"/>
  <c r="E43" i="4" s="1"/>
  <c r="F43" i="4" s="1"/>
  <c r="F268" i="17"/>
  <c r="C156" i="8"/>
  <c r="C157" i="8"/>
  <c r="C153" i="8"/>
  <c r="C155" i="8"/>
  <c r="C154" i="8"/>
  <c r="C152" i="8"/>
  <c r="E217" i="18"/>
  <c r="D241" i="18"/>
  <c r="E241" i="18" s="1"/>
  <c r="E98" i="18"/>
  <c r="F36" i="14"/>
  <c r="F38" i="14" s="1"/>
  <c r="F40" i="14" s="1"/>
  <c r="H33" i="14"/>
  <c r="H36" i="14" s="1"/>
  <c r="H38" i="14" s="1"/>
  <c r="H40" i="14" s="1"/>
  <c r="D30" i="22"/>
  <c r="D40" i="22"/>
  <c r="D54" i="22"/>
  <c r="D111" i="22"/>
  <c r="D36" i="22"/>
  <c r="D46" i="22"/>
  <c r="C43" i="11"/>
  <c r="F41" i="11"/>
  <c r="E41" i="11"/>
  <c r="E262" i="17"/>
  <c r="F262" i="17" s="1"/>
  <c r="D263" i="17"/>
  <c r="E263" i="17" s="1"/>
  <c r="F263" i="17" s="1"/>
  <c r="D272" i="17"/>
  <c r="E46" i="20"/>
  <c r="F46" i="20" s="1"/>
  <c r="E146" i="17"/>
  <c r="F146" i="17" s="1"/>
  <c r="C77" i="18"/>
  <c r="E76" i="18"/>
  <c r="D158" i="8"/>
  <c r="E89" i="18"/>
  <c r="C95" i="18"/>
  <c r="C96" i="18"/>
  <c r="C88" i="18"/>
  <c r="E88" i="18" s="1"/>
  <c r="C89" i="18"/>
  <c r="C101" i="18"/>
  <c r="E101" i="18" s="1"/>
  <c r="C86" i="18"/>
  <c r="E86" i="18" s="1"/>
  <c r="C87" i="18"/>
  <c r="E87" i="18" s="1"/>
  <c r="C84" i="18"/>
  <c r="C100" i="18"/>
  <c r="E100" i="18" s="1"/>
  <c r="C98" i="18"/>
  <c r="C258" i="18"/>
  <c r="C83" i="18"/>
  <c r="C85" i="18"/>
  <c r="E85" i="18" s="1"/>
  <c r="C99" i="18"/>
  <c r="E99" i="18" s="1"/>
  <c r="C97" i="18"/>
  <c r="F65" i="4"/>
  <c r="D117" i="18"/>
  <c r="E254" i="17"/>
  <c r="F254" i="17" s="1"/>
  <c r="D267" i="18"/>
  <c r="E48" i="22"/>
  <c r="E38" i="22"/>
  <c r="E113" i="22"/>
  <c r="E56" i="22"/>
  <c r="E160" i="17"/>
  <c r="D103" i="18" l="1"/>
  <c r="E272" i="17"/>
  <c r="F272" i="17" s="1"/>
  <c r="D273" i="17"/>
  <c r="E273" i="17" s="1"/>
  <c r="C90" i="18"/>
  <c r="C91" i="18" s="1"/>
  <c r="C105" i="18" s="1"/>
  <c r="C158" i="8"/>
  <c r="E288" i="17"/>
  <c r="F288" i="17" s="1"/>
  <c r="D289" i="17"/>
  <c r="D291" i="17"/>
  <c r="E84" i="18"/>
  <c r="C273" i="17"/>
  <c r="E271" i="17"/>
  <c r="F271" i="17" s="1"/>
  <c r="E286" i="17"/>
  <c r="F286" i="17" s="1"/>
  <c r="C141" i="17"/>
  <c r="E140" i="17"/>
  <c r="F140" i="17" s="1"/>
  <c r="F270" i="17"/>
  <c r="D91" i="18"/>
  <c r="E158" i="8"/>
  <c r="C264" i="18"/>
  <c r="E258" i="18"/>
  <c r="C106" i="17"/>
  <c r="C102" i="18"/>
  <c r="E102" i="18" s="1"/>
  <c r="E96" i="18"/>
  <c r="D269" i="18"/>
  <c r="D268" i="18"/>
  <c r="D38" i="22"/>
  <c r="D56" i="22"/>
  <c r="D48" i="22"/>
  <c r="D113" i="22"/>
  <c r="E284" i="17"/>
  <c r="F284" i="17" s="1"/>
  <c r="C176" i="17"/>
  <c r="E175" i="17"/>
  <c r="F175" i="17"/>
  <c r="F21" i="5"/>
  <c r="C35" i="5"/>
  <c r="E216" i="17"/>
  <c r="F216" i="17"/>
  <c r="D197" i="17"/>
  <c r="E197" i="17" s="1"/>
  <c r="F197" i="17" s="1"/>
  <c r="E196" i="17"/>
  <c r="F196" i="17" s="1"/>
  <c r="C103" i="18"/>
  <c r="E95" i="18"/>
  <c r="C295" i="18"/>
  <c r="E295" i="18" s="1"/>
  <c r="C247" i="18"/>
  <c r="E247" i="18" s="1"/>
  <c r="E66" i="18"/>
  <c r="C291" i="17"/>
  <c r="C289" i="17"/>
  <c r="E287" i="17"/>
  <c r="F287" i="17" s="1"/>
  <c r="D43" i="5"/>
  <c r="E35" i="5"/>
  <c r="F62" i="17"/>
  <c r="C63" i="17"/>
  <c r="E62" i="17"/>
  <c r="E157" i="18"/>
  <c r="D169" i="18"/>
  <c r="E169" i="18" s="1"/>
  <c r="E105" i="17"/>
  <c r="F105" i="17" s="1"/>
  <c r="D49" i="12"/>
  <c r="E49" i="12" s="1"/>
  <c r="F49" i="12" s="1"/>
  <c r="E42" i="12"/>
  <c r="F42" i="12" s="1"/>
  <c r="F210" i="17"/>
  <c r="D129" i="18"/>
  <c r="D131" i="18" s="1"/>
  <c r="E83" i="18"/>
  <c r="C127" i="18"/>
  <c r="E127" i="18" s="1"/>
  <c r="C126" i="18"/>
  <c r="E126" i="18" s="1"/>
  <c r="C125" i="18"/>
  <c r="E125" i="18" s="1"/>
  <c r="C124" i="18"/>
  <c r="E124" i="18" s="1"/>
  <c r="C123" i="18"/>
  <c r="E123" i="18" s="1"/>
  <c r="C115" i="18"/>
  <c r="E115" i="18" s="1"/>
  <c r="C114" i="18"/>
  <c r="E114" i="18" s="1"/>
  <c r="C111" i="18"/>
  <c r="E111" i="18" s="1"/>
  <c r="C109" i="18"/>
  <c r="C121" i="18"/>
  <c r="C110" i="18"/>
  <c r="C113" i="18"/>
  <c r="E113" i="18" s="1"/>
  <c r="C122" i="18"/>
  <c r="C112" i="18"/>
  <c r="E112" i="18" s="1"/>
  <c r="E77" i="18"/>
  <c r="E43" i="11"/>
  <c r="F43" i="11" s="1"/>
  <c r="E304" i="17"/>
  <c r="F304" i="17" s="1"/>
  <c r="E106" i="17"/>
  <c r="D324" i="17"/>
  <c r="D113" i="17"/>
  <c r="C128" i="18" l="1"/>
  <c r="E128" i="18" s="1"/>
  <c r="E122" i="18"/>
  <c r="E43" i="5"/>
  <c r="D50" i="5"/>
  <c r="C322" i="17"/>
  <c r="C211" i="17"/>
  <c r="F141" i="17"/>
  <c r="E141" i="17"/>
  <c r="C148" i="17"/>
  <c r="E176" i="17"/>
  <c r="F176" i="17"/>
  <c r="C323" i="17"/>
  <c r="C183" i="17"/>
  <c r="C43" i="5"/>
  <c r="F35" i="5"/>
  <c r="E91" i="18"/>
  <c r="D105" i="18"/>
  <c r="E105" i="18" s="1"/>
  <c r="E291" i="17"/>
  <c r="D305" i="17"/>
  <c r="F63" i="17"/>
  <c r="C70" i="17"/>
  <c r="E63" i="17"/>
  <c r="D325" i="17"/>
  <c r="E324" i="17"/>
  <c r="C266" i="18"/>
  <c r="E264" i="18"/>
  <c r="C129" i="18"/>
  <c r="E121" i="18"/>
  <c r="F289" i="17"/>
  <c r="E90" i="18"/>
  <c r="E289" i="17"/>
  <c r="C116" i="18"/>
  <c r="E116" i="18" s="1"/>
  <c r="E110" i="18"/>
  <c r="F291" i="17"/>
  <c r="C305" i="17"/>
  <c r="F106" i="17"/>
  <c r="C113" i="17"/>
  <c r="C324" i="17"/>
  <c r="E103" i="18"/>
  <c r="D271" i="18"/>
  <c r="F273" i="17"/>
  <c r="C117" i="18"/>
  <c r="E109" i="18"/>
  <c r="E129" i="18"/>
  <c r="C131" i="18" l="1"/>
  <c r="E131" i="18" s="1"/>
  <c r="E117" i="18"/>
  <c r="E322" i="17"/>
  <c r="F322" i="17" s="1"/>
  <c r="E113" i="17"/>
  <c r="F113" i="17" s="1"/>
  <c r="F70" i="17"/>
  <c r="E70" i="17"/>
  <c r="F183" i="17"/>
  <c r="E183" i="17"/>
  <c r="D309" i="17"/>
  <c r="E305" i="17"/>
  <c r="F305" i="17" s="1"/>
  <c r="E148" i="17"/>
  <c r="F148" i="17" s="1"/>
  <c r="E211" i="17"/>
  <c r="F211" i="17" s="1"/>
  <c r="C309" i="17"/>
  <c r="F323" i="17"/>
  <c r="E323" i="17"/>
  <c r="E266" i="18"/>
  <c r="C267" i="18"/>
  <c r="F324" i="17"/>
  <c r="C325" i="17"/>
  <c r="F43" i="5"/>
  <c r="C50" i="5"/>
  <c r="E50" i="5" s="1"/>
  <c r="C269" i="18" l="1"/>
  <c r="E269" i="18" s="1"/>
  <c r="C268" i="18"/>
  <c r="E267" i="18"/>
  <c r="E309" i="17"/>
  <c r="D310" i="17"/>
  <c r="F325" i="17"/>
  <c r="F50" i="5"/>
  <c r="F309" i="17"/>
  <c r="C310" i="17"/>
  <c r="E325" i="17"/>
  <c r="E310" i="17" l="1"/>
  <c r="D312" i="17"/>
  <c r="C271" i="18"/>
  <c r="E271" i="18" s="1"/>
  <c r="E268" i="18"/>
  <c r="C312" i="17"/>
  <c r="F310" i="17"/>
  <c r="C313" i="17" l="1"/>
  <c r="E312" i="17"/>
  <c r="F312" i="17" s="1"/>
  <c r="D313" i="17"/>
  <c r="C314" i="17" l="1"/>
  <c r="C251" i="17"/>
  <c r="C315" i="17"/>
  <c r="C256" i="17"/>
  <c r="E313" i="17"/>
  <c r="F313" i="17" s="1"/>
  <c r="D251" i="17"/>
  <c r="E251" i="17" s="1"/>
  <c r="D315" i="17"/>
  <c r="E315" i="17" s="1"/>
  <c r="D314" i="17"/>
  <c r="D256" i="17"/>
  <c r="F315" i="17" l="1"/>
  <c r="C257" i="17"/>
  <c r="E256" i="17"/>
  <c r="F256" i="17" s="1"/>
  <c r="D257" i="17"/>
  <c r="E257" i="17" s="1"/>
  <c r="C318" i="17"/>
  <c r="F314" i="17"/>
  <c r="F251" i="17"/>
  <c r="D318" i="17"/>
  <c r="E314" i="17"/>
  <c r="F257" i="17" l="1"/>
  <c r="E318" i="17"/>
  <c r="F318" i="17" s="1"/>
</calcChain>
</file>

<file path=xl/sharedStrings.xml><?xml version="1.0" encoding="utf-8"?>
<sst xmlns="http://schemas.openxmlformats.org/spreadsheetml/2006/main" count="2333" uniqueCount="1009">
  <si>
    <t>ROCKVILLE GENERAL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</si>
  <si>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</si>
  <si>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</si>
  <si>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</si>
  <si>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</si>
  <si>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</si>
  <si>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</si>
  <si>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</si>
  <si>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</si>
  <si>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</si>
  <si>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</si>
  <si>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</si>
  <si>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</si>
  <si>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</si>
  <si>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</si>
  <si>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</si>
  <si>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</si>
  <si>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</si>
  <si>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</si>
  <si>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</si>
  <si>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</si>
  <si>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</si>
  <si>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</si>
  <si>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</si>
  <si>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</si>
  <si>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</si>
  <si>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</si>
  <si>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</si>
  <si>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</si>
  <si>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</si>
  <si>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</si>
  <si>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</si>
  <si>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</si>
  <si>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</si>
  <si>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</si>
  <si>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</si>
  <si>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</si>
  <si>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</si>
  <si>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</si>
  <si>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</si>
  <si>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</si>
  <si>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</si>
  <si>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</si>
  <si>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</si>
  <si>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</si>
  <si>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</si>
  <si>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</si>
  <si>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</si>
  <si>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</si>
  <si>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</si>
  <si>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</si>
  <si>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</si>
  <si>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</si>
  <si>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</si>
  <si>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</si>
  <si>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</si>
  <si>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</si>
  <si>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</si>
  <si>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</si>
  <si>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</si>
  <si>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</si>
  <si>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</si>
  <si>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</si>
  <si>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</si>
  <si>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</si>
  <si>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</si>
  <si>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</si>
  <si>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</si>
  <si>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</si>
  <si>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</si>
  <si>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</si>
  <si>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</si>
  <si>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</si>
  <si>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</si>
  <si>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</si>
  <si>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</si>
  <si>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</si>
  <si>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</si>
  <si>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</si>
  <si>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</si>
  <si>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</si>
  <si>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</si>
  <si>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</si>
  <si>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</si>
  <si>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</si>
  <si>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</si>
  <si>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</si>
  <si>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</si>
  <si>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</si>
  <si>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</si>
  <si>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</si>
  <si>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</si>
  <si>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</si>
  <si>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</si>
  <si>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</si>
  <si>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</si>
  <si>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</si>
  <si>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</si>
  <si>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</si>
  <si>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</si>
  <si>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</si>
  <si>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</si>
  <si>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</si>
  <si>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</si>
  <si>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</si>
  <si>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</si>
  <si>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</si>
  <si>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</si>
  <si>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</si>
  <si>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</si>
  <si>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</si>
  <si>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</si>
  <si>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</si>
  <si>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</si>
  <si>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</si>
  <si>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</si>
  <si>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</si>
  <si>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</si>
  <si>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</si>
  <si>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</si>
  <si>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</si>
  <si>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</si>
  <si>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</si>
  <si>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</si>
  <si>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</si>
  <si>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</si>
  <si>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</si>
  <si>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</si>
  <si>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</si>
  <si>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</si>
  <si>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</si>
  <si>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</si>
  <si>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</si>
  <si>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</si>
  <si>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</si>
  <si>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</si>
  <si>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</si>
  <si>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</si>
  <si>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</si>
  <si>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</si>
  <si>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</si>
  <si>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</si>
  <si>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</si>
  <si>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</si>
  <si>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</si>
  <si>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</si>
  <si>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</si>
  <si>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</si>
  <si>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</si>
  <si>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</si>
  <si>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</si>
  <si>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</si>
  <si>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</si>
  <si>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</si>
  <si>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</si>
  <si>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</si>
  <si>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</si>
  <si>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</si>
  <si>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</si>
  <si>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</si>
  <si>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</si>
  <si>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</si>
  <si>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</si>
  <si>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</si>
  <si>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</si>
  <si>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</si>
  <si>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</si>
  <si>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</si>
  <si>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</si>
  <si>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</si>
  <si>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</si>
  <si>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</si>
  <si>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</si>
  <si>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</si>
  <si>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</si>
  <si>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</si>
  <si>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</si>
  <si>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</si>
  <si>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</si>
  <si>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</si>
  <si>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</si>
  <si>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</si>
  <si>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</si>
  <si>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</si>
  <si>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</si>
  <si>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</si>
  <si>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</si>
  <si>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</si>
  <si>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</si>
  <si>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</si>
  <si>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</si>
  <si>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</si>
  <si>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</si>
  <si>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</si>
  <si>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</si>
  <si>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</si>
  <si>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</si>
  <si>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</si>
  <si>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</si>
  <si>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</si>
  <si>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</si>
  <si>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</si>
  <si>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</si>
  <si>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</si>
  <si>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</si>
  <si>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</si>
  <si>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</si>
  <si>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</si>
  <si>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</si>
  <si>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</si>
  <si>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</si>
  <si>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</si>
  <si>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</si>
  <si>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</si>
  <si>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</si>
  <si>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</si>
  <si>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</si>
  <si>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</si>
  <si>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</si>
  <si>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</si>
  <si>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</si>
  <si>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</si>
  <si>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</si>
  <si>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</si>
  <si>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</si>
  <si>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</si>
  <si>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</si>
  <si>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</si>
  <si>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</si>
  <si>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</si>
  <si>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</si>
  <si>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</si>
  <si>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</si>
  <si>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</si>
  <si>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</si>
  <si>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</si>
  <si>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</si>
  <si>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</si>
  <si>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</si>
  <si>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</si>
  <si>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</si>
  <si>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</si>
  <si>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</si>
  <si>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</si>
  <si>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</si>
  <si>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</si>
  <si>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</si>
  <si>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</si>
  <si>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</si>
  <si>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</si>
  <si>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</si>
  <si>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</si>
  <si>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</si>
  <si>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</si>
  <si>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</si>
  <si>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</si>
  <si>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</si>
  <si>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</si>
  <si>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</si>
  <si>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</si>
  <si>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</si>
  <si>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</si>
  <si>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</si>
  <si>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</si>
  <si>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</si>
  <si>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</si>
  <si>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</si>
  <si>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</si>
  <si>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</si>
  <si>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</si>
  <si>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</si>
  <si>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</si>
  <si>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</si>
  <si>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</si>
  <si>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</si>
  <si>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</si>
  <si>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</si>
  <si>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</si>
  <si>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</si>
  <si>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</si>
  <si>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</si>
  <si>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</si>
  <si>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</si>
  <si>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</si>
  <si>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</si>
  <si>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</si>
  <si>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</si>
  <si>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</si>
  <si>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</si>
  <si>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</si>
  <si>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</si>
  <si>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</si>
  <si>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</si>
  <si>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</si>
  <si>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</si>
  <si>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</si>
  <si>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</si>
  <si>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</si>
  <si>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</si>
  <si>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</si>
  <si>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</si>
  <si>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</si>
  <si>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</si>
  <si>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</si>
  <si>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</si>
  <si>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</si>
  <si>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</si>
  <si>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</si>
  <si>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</si>
  <si>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</si>
  <si>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</si>
  <si>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</si>
  <si>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</si>
  <si>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</si>
  <si>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</si>
  <si>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</si>
  <si>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</si>
  <si>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</si>
  <si>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</si>
  <si>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</si>
  <si>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</si>
  <si>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</si>
  <si>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</si>
  <si>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</si>
  <si>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</si>
  <si>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</si>
  <si>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</si>
  <si>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</si>
  <si>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</si>
  <si>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</si>
  <si>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</si>
  <si>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</si>
  <si>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</si>
  <si>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</si>
  <si>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</si>
  <si>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</si>
  <si>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</si>
  <si>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</si>
  <si>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</si>
  <si>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</si>
  <si>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</si>
  <si>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</si>
  <si>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</si>
  <si>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</si>
  <si>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</si>
  <si>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</si>
  <si>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</si>
  <si>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</si>
  <si>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</si>
  <si>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</si>
  <si>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</si>
  <si>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</si>
  <si>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</si>
  <si>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</si>
  <si>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</si>
  <si>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</si>
  <si>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</si>
  <si>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</si>
  <si>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</si>
  <si>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</si>
  <si>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</si>
  <si>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</si>
  <si>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</si>
  <si>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</si>
  <si>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</si>
  <si>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</si>
  <si>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</si>
  <si>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</si>
  <si>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</si>
  <si>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</si>
  <si>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</si>
  <si>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</si>
  <si>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</si>
  <si>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</si>
  <si>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</si>
  <si>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</si>
  <si>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</si>
  <si>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</si>
  <si>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</si>
  <si>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</si>
  <si>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</si>
  <si>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</si>
  <si>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</si>
  <si>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</si>
  <si>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</si>
  <si>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</si>
  <si>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</si>
  <si>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</si>
  <si>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</si>
  <si>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</si>
  <si>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</si>
  <si>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</si>
  <si>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</si>
  <si>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</si>
  <si>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</si>
  <si>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</si>
  <si>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</si>
  <si>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</si>
  <si>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</si>
  <si>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</si>
  <si>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</si>
  <si>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</si>
  <si>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</si>
  <si>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</si>
  <si>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</si>
  <si>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</si>
  <si>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</si>
  <si>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</si>
  <si>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</si>
  <si>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</si>
  <si>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</si>
  <si>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</si>
  <si>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</si>
  <si>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</si>
  <si>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</si>
  <si>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</si>
  <si>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</si>
  <si>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</si>
  <si>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</si>
  <si>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</si>
  <si>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</si>
  <si>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</si>
  <si>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</si>
  <si>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</si>
  <si>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</si>
  <si>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</si>
  <si>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</si>
  <si>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</si>
  <si>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</si>
  <si>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</si>
  <si>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</si>
  <si>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</si>
  <si>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</si>
  <si>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</si>
  <si>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</si>
  <si>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</si>
  <si>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</si>
  <si>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</si>
  <si>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</si>
  <si>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</si>
  <si>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</si>
  <si>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</si>
  <si>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</si>
  <si>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</si>
  <si>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</si>
  <si>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</si>
  <si>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</si>
  <si>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</si>
  <si>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</si>
  <si>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</si>
  <si>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</si>
  <si>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</si>
  <si>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</si>
  <si>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</si>
  <si>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</si>
  <si>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</si>
  <si>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</si>
  <si>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</si>
  <si>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</si>
  <si>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</si>
  <si>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</si>
  <si>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</si>
  <si>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</si>
  <si>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</si>
  <si>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</si>
  <si>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</si>
  <si>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</si>
  <si>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</si>
  <si>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</si>
  <si>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</si>
  <si>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</si>
  <si>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</si>
  <si>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</si>
  <si>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</si>
  <si>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</si>
  <si>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</si>
  <si>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</si>
  <si>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</si>
  <si>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</si>
  <si>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</si>
  <si>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</si>
  <si>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</si>
  <si>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</si>
  <si>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</si>
  <si>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</si>
  <si>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</si>
  <si>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</si>
  <si>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</si>
  <si>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</si>
  <si>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</si>
  <si>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</si>
  <si>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</si>
  <si>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</si>
  <si>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</si>
  <si>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</si>
  <si>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</si>
  <si>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</si>
  <si>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</si>
  <si>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</si>
  <si>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</si>
  <si>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EASTERN CT HEALTH NETWORK , INC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</si>
  <si>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</si>
  <si>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</si>
  <si>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</si>
  <si>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</si>
  <si>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</si>
  <si>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</si>
  <si>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</si>
  <si>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</si>
  <si>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</si>
  <si>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</si>
  <si>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</si>
  <si>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</si>
  <si>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</si>
  <si>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</si>
  <si>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</si>
  <si>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</si>
  <si>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</si>
  <si>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</si>
  <si>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</si>
  <si>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</si>
  <si>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</si>
  <si>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</si>
  <si>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</si>
  <si>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</si>
  <si>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</si>
  <si>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</si>
  <si>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</si>
  <si>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</si>
  <si>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</si>
  <si>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</si>
  <si>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</si>
  <si>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</si>
  <si>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</si>
  <si>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</si>
  <si>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</si>
  <si>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</si>
  <si>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</si>
  <si>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</si>
  <si>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</si>
  <si>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</si>
  <si>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</si>
  <si>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</si>
  <si>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</si>
  <si>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</si>
  <si>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</si>
  <si>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</si>
  <si>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</si>
  <si>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</si>
  <si>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</si>
  <si>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</si>
  <si>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</si>
  <si>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</si>
  <si>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</si>
  <si>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</si>
  <si>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</si>
  <si>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</si>
  <si>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</si>
  <si>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</si>
  <si>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</si>
  <si>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</si>
  <si>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</si>
  <si>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</si>
  <si>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</si>
  <si>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</si>
  <si>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</si>
  <si>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</si>
  <si>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</si>
  <si>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</si>
  <si>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</si>
  <si>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</si>
  <si>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</si>
  <si>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</si>
  <si>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</si>
  <si>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</si>
  <si>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</si>
  <si>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</si>
  <si>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</si>
  <si>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</si>
  <si>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</si>
  <si>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</si>
  <si>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</si>
  <si>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</si>
  <si>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</si>
  <si>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</si>
  <si>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</si>
  <si>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</si>
  <si>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</si>
  <si>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</si>
  <si>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</si>
  <si>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</si>
  <si>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</si>
  <si>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</si>
  <si>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</si>
  <si>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</si>
  <si>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</si>
  <si>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</si>
  <si>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</si>
  <si>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</si>
  <si>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</si>
  <si>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</si>
  <si>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</si>
  <si>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</si>
  <si>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</si>
  <si>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</si>
  <si>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</si>
  <si>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</si>
  <si>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</si>
  <si>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</si>
  <si>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</si>
  <si>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</si>
  <si>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</si>
  <si>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</si>
  <si>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</si>
  <si>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</si>
  <si>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</si>
  <si>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</si>
  <si>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</si>
  <si>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</si>
  <si>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</si>
  <si>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</si>
  <si>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</si>
  <si>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>Total Outpatient Surgical Procedures(A)</t>
  </si>
  <si>
    <t>Total Outpatient Endoscopy Procedures(B)</t>
  </si>
  <si>
    <t>Outpatient Hospital Emergency Room Visits</t>
  </si>
  <si>
    <t>Hospital Emergency Room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</si>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</sst>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1059290</v>
      </c>
      <c r="D13" s="22">
        <v>1772696</v>
      </c>
      <c r="E13" s="22">
        <f t="shared" ref="E13:E22" si="0">D13-C13</f>
        <v>713406</v>
      </c>
      <c r="F13" s="23">
        <f t="shared" ref="F13:F22" si="1">IF(C13=0,0,E13/C13)</f>
        <v>0.67347562990304832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10269970</v>
      </c>
      <c r="D15" s="22">
        <v>10900702</v>
      </c>
      <c r="E15" s="22">
        <f t="shared" si="0"/>
        <v>630732</v>
      </c>
      <c r="F15" s="23">
        <f t="shared" si="1"/>
        <v>6.1415174533129113E-2</v>
      </c>
    </row>
    <row r="16" spans="1:8" ht="24" customHeight="1" x14ac:dyDescent="0.2">
      <c r="A16" s="20">
        <v>4</v>
      </c>
      <c r="B16" s="21" t="s">
        <v>19</v>
      </c>
      <c r="C16" s="22">
        <v>364771</v>
      </c>
      <c r="D16" s="22">
        <v>323965</v>
      </c>
      <c r="E16" s="22">
        <f t="shared" si="0"/>
        <v>-40806</v>
      </c>
      <c r="F16" s="23">
        <f t="shared" si="1"/>
        <v>-0.11186744560285769</v>
      </c>
    </row>
    <row r="17" spans="1:11" ht="24" customHeight="1" x14ac:dyDescent="0.2">
      <c r="A17" s="20">
        <v>5</v>
      </c>
      <c r="B17" s="21" t="s">
        <v>20</v>
      </c>
      <c r="C17" s="22">
        <v>58029</v>
      </c>
      <c r="D17" s="22">
        <v>65011</v>
      </c>
      <c r="E17" s="22">
        <f t="shared" si="0"/>
        <v>6982</v>
      </c>
      <c r="F17" s="23">
        <f t="shared" si="1"/>
        <v>0.12031915076944287</v>
      </c>
    </row>
    <row r="18" spans="1:11" ht="24" customHeight="1" x14ac:dyDescent="0.2">
      <c r="A18" s="20">
        <v>6</v>
      </c>
      <c r="B18" s="21" t="s">
        <v>21</v>
      </c>
      <c r="C18" s="22">
        <v>384274</v>
      </c>
      <c r="D18" s="22">
        <v>148435</v>
      </c>
      <c r="E18" s="22">
        <f t="shared" si="0"/>
        <v>-235839</v>
      </c>
      <c r="F18" s="23">
        <f t="shared" si="1"/>
        <v>-0.61372614332481512</v>
      </c>
    </row>
    <row r="19" spans="1:11" ht="24" customHeight="1" x14ac:dyDescent="0.2">
      <c r="A19" s="20">
        <v>7</v>
      </c>
      <c r="B19" s="21" t="s">
        <v>22</v>
      </c>
      <c r="C19" s="22">
        <v>1467009</v>
      </c>
      <c r="D19" s="22">
        <v>1325483</v>
      </c>
      <c r="E19" s="22">
        <f t="shared" si="0"/>
        <v>-141526</v>
      </c>
      <c r="F19" s="23">
        <f t="shared" si="1"/>
        <v>-9.6472482445574631E-2</v>
      </c>
    </row>
    <row r="20" spans="1:11" ht="24" customHeight="1" x14ac:dyDescent="0.2">
      <c r="A20" s="20">
        <v>8</v>
      </c>
      <c r="B20" s="21" t="s">
        <v>23</v>
      </c>
      <c r="C20" s="22">
        <v>276211</v>
      </c>
      <c r="D20" s="22">
        <v>201349</v>
      </c>
      <c r="E20" s="22">
        <f t="shared" si="0"/>
        <v>-74862</v>
      </c>
      <c r="F20" s="23">
        <f t="shared" si="1"/>
        <v>-0.2710319284894519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13879554</v>
      </c>
      <c r="D22" s="26">
        <f>SUM(D13:D21)</f>
        <v>14737641</v>
      </c>
      <c r="E22" s="26">
        <f t="shared" si="0"/>
        <v>858087</v>
      </c>
      <c r="F22" s="27">
        <f t="shared" si="1"/>
        <v>6.1823816528974923E-2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2988705</v>
      </c>
      <c r="D25" s="22">
        <v>3068974</v>
      </c>
      <c r="E25" s="22">
        <f>D25-C25</f>
        <v>80269</v>
      </c>
      <c r="F25" s="23">
        <f>IF(C25=0,0,E25/C25)</f>
        <v>2.6857451638753239E-2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14693132</v>
      </c>
      <c r="D28" s="22">
        <v>14606911</v>
      </c>
      <c r="E28" s="22">
        <f>D28-C28</f>
        <v>-86221</v>
      </c>
      <c r="F28" s="23">
        <f>IF(C28=0,0,E28/C28)</f>
        <v>-5.8681157972309784E-3</v>
      </c>
    </row>
    <row r="29" spans="1:11" ht="24" customHeight="1" x14ac:dyDescent="0.25">
      <c r="A29" s="24"/>
      <c r="B29" s="25" t="s">
        <v>32</v>
      </c>
      <c r="C29" s="26">
        <f>SUM(C25:C28)</f>
        <v>17681837</v>
      </c>
      <c r="D29" s="26">
        <f>SUM(D25:D28)</f>
        <v>17675885</v>
      </c>
      <c r="E29" s="26">
        <f>D29-C29</f>
        <v>-5952</v>
      </c>
      <c r="F29" s="27">
        <f>IF(C29=0,0,E29/C29)</f>
        <v>-3.3661660833091042E-4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3616191</v>
      </c>
      <c r="D31" s="22">
        <v>3599134</v>
      </c>
      <c r="E31" s="22">
        <f>D31-C31</f>
        <v>-17057</v>
      </c>
      <c r="F31" s="23">
        <f>IF(C31=0,0,E31/C31)</f>
        <v>-4.7168415606365921E-3</v>
      </c>
    </row>
    <row r="32" spans="1:11" ht="24" customHeight="1" x14ac:dyDescent="0.2">
      <c r="A32" s="20">
        <v>6</v>
      </c>
      <c r="B32" s="21" t="s">
        <v>34</v>
      </c>
      <c r="C32" s="22">
        <v>3208828</v>
      </c>
      <c r="D32" s="22">
        <v>3489604</v>
      </c>
      <c r="E32" s="22">
        <f>D32-C32</f>
        <v>280776</v>
      </c>
      <c r="F32" s="23">
        <f>IF(C32=0,0,E32/C32)</f>
        <v>8.7501106322931607E-2</v>
      </c>
    </row>
    <row r="33" spans="1:8" ht="24" customHeight="1" x14ac:dyDescent="0.2">
      <c r="A33" s="20">
        <v>7</v>
      </c>
      <c r="B33" s="21" t="s">
        <v>35</v>
      </c>
      <c r="C33" s="22">
        <v>10502780</v>
      </c>
      <c r="D33" s="22">
        <v>9583805</v>
      </c>
      <c r="E33" s="22">
        <f>D33-C33</f>
        <v>-918975</v>
      </c>
      <c r="F33" s="23">
        <f>IF(C33=0,0,E33/C33)</f>
        <v>-8.74982623648215E-2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85669395</v>
      </c>
      <c r="D36" s="22">
        <v>86739517</v>
      </c>
      <c r="E36" s="22">
        <f>D36-C36</f>
        <v>1070122</v>
      </c>
      <c r="F36" s="23">
        <f>IF(C36=0,0,E36/C36)</f>
        <v>1.2491298672063693E-2</v>
      </c>
    </row>
    <row r="37" spans="1:8" ht="24" customHeight="1" x14ac:dyDescent="0.2">
      <c r="A37" s="20">
        <v>2</v>
      </c>
      <c r="B37" s="21" t="s">
        <v>39</v>
      </c>
      <c r="C37" s="22">
        <v>58070717</v>
      </c>
      <c r="D37" s="22">
        <v>61358971</v>
      </c>
      <c r="E37" s="22">
        <f>D37-C37</f>
        <v>3288254</v>
      </c>
      <c r="F37" s="23">
        <f>IF(C37=0,0,E37/C37)</f>
        <v>5.6624993970713328E-2</v>
      </c>
    </row>
    <row r="38" spans="1:8" ht="24" customHeight="1" x14ac:dyDescent="0.25">
      <c r="A38" s="24"/>
      <c r="B38" s="25" t="s">
        <v>40</v>
      </c>
      <c r="C38" s="26">
        <f>C36-C37</f>
        <v>27598678</v>
      </c>
      <c r="D38" s="26">
        <f>D36-D37</f>
        <v>25380546</v>
      </c>
      <c r="E38" s="26">
        <f>D38-C38</f>
        <v>-2218132</v>
      </c>
      <c r="F38" s="27">
        <f>IF(C38=0,0,E38/C38)</f>
        <v>-8.0370951101353477E-2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55986</v>
      </c>
      <c r="D40" s="22">
        <v>320330</v>
      </c>
      <c r="E40" s="22">
        <f>D40-C40</f>
        <v>264344</v>
      </c>
      <c r="F40" s="23">
        <f>IF(C40=0,0,E40/C40)</f>
        <v>4.7216089736719891</v>
      </c>
    </row>
    <row r="41" spans="1:8" ht="24" customHeight="1" x14ac:dyDescent="0.25">
      <c r="A41" s="24"/>
      <c r="B41" s="25" t="s">
        <v>42</v>
      </c>
      <c r="C41" s="26">
        <f>+C38+C40</f>
        <v>27654664</v>
      </c>
      <c r="D41" s="26">
        <f>+D38+D40</f>
        <v>25700876</v>
      </c>
      <c r="E41" s="26">
        <f>D41-C41</f>
        <v>-1953788</v>
      </c>
      <c r="F41" s="27">
        <f>IF(C41=0,0,E41/C41)</f>
        <v>-7.0649493336820149E-2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76543854</v>
      </c>
      <c r="D43" s="26">
        <f>D22+D29+D31+D32+D33+D41</f>
        <v>74786945</v>
      </c>
      <c r="E43" s="26">
        <f>D43-C43</f>
        <v>-1756909</v>
      </c>
      <c r="F43" s="27">
        <f>IF(C43=0,0,E43/C43)</f>
        <v>-2.2952972814773608E-2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5405085</v>
      </c>
      <c r="D49" s="22">
        <v>5481077</v>
      </c>
      <c r="E49" s="22">
        <f t="shared" ref="E49:E56" si="2">D49-C49</f>
        <v>75992</v>
      </c>
      <c r="F49" s="23">
        <f t="shared" ref="F49:F56" si="3">IF(C49=0,0,E49/C49)</f>
        <v>1.4059353368170898E-2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691755</v>
      </c>
      <c r="D50" s="22">
        <v>700314</v>
      </c>
      <c r="E50" s="22">
        <f t="shared" si="2"/>
        <v>8559</v>
      </c>
      <c r="F50" s="23">
        <f t="shared" si="3"/>
        <v>1.2372877680681744E-2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1040198</v>
      </c>
      <c r="D51" s="22">
        <v>1132410</v>
      </c>
      <c r="E51" s="22">
        <f t="shared" si="2"/>
        <v>92212</v>
      </c>
      <c r="F51" s="23">
        <f t="shared" si="3"/>
        <v>8.8648507303417237E-2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398089</v>
      </c>
      <c r="D52" s="22">
        <v>0</v>
      </c>
      <c r="E52" s="22">
        <f t="shared" si="2"/>
        <v>-398089</v>
      </c>
      <c r="F52" s="23">
        <f t="shared" si="3"/>
        <v>-1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613500</v>
      </c>
      <c r="D53" s="22">
        <v>621550</v>
      </c>
      <c r="E53" s="22">
        <f t="shared" si="2"/>
        <v>8050</v>
      </c>
      <c r="F53" s="23">
        <f t="shared" si="3"/>
        <v>1.3121434392828035E-2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256581</v>
      </c>
      <c r="D54" s="22">
        <v>323609</v>
      </c>
      <c r="E54" s="22">
        <f t="shared" si="2"/>
        <v>67028</v>
      </c>
      <c r="F54" s="23">
        <f t="shared" si="3"/>
        <v>0.26123524345138571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2156152</v>
      </c>
      <c r="D55" s="22">
        <v>1020925</v>
      </c>
      <c r="E55" s="22">
        <f t="shared" si="2"/>
        <v>-1135227</v>
      </c>
      <c r="F55" s="23">
        <f t="shared" si="3"/>
        <v>-0.5265060162734353</v>
      </c>
    </row>
    <row r="56" spans="1:6" ht="24" customHeight="1" x14ac:dyDescent="0.25">
      <c r="A56" s="24"/>
      <c r="B56" s="25" t="s">
        <v>54</v>
      </c>
      <c r="C56" s="26">
        <f>SUM(C49:C55)</f>
        <v>10561360</v>
      </c>
      <c r="D56" s="26">
        <f>SUM(D49:D55)</f>
        <v>9279885</v>
      </c>
      <c r="E56" s="26">
        <f t="shared" si="2"/>
        <v>-1281475</v>
      </c>
      <c r="F56" s="27">
        <f t="shared" si="3"/>
        <v>-0.12133617261413303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22973519</v>
      </c>
      <c r="D59" s="22">
        <v>22347221</v>
      </c>
      <c r="E59" s="22">
        <f>D59-C59</f>
        <v>-626298</v>
      </c>
      <c r="F59" s="23">
        <f>IF(C59=0,0,E59/C59)</f>
        <v>-2.7261735566066304E-2</v>
      </c>
    </row>
    <row r="60" spans="1:6" ht="24" customHeight="1" x14ac:dyDescent="0.2">
      <c r="A60" s="20">
        <v>2</v>
      </c>
      <c r="B60" s="21" t="s">
        <v>57</v>
      </c>
      <c r="C60" s="22">
        <v>545735</v>
      </c>
      <c r="D60" s="22">
        <v>1045087</v>
      </c>
      <c r="E60" s="22">
        <f>D60-C60</f>
        <v>499352</v>
      </c>
      <c r="F60" s="23">
        <f>IF(C60=0,0,E60/C60)</f>
        <v>0.9150081999505254</v>
      </c>
    </row>
    <row r="61" spans="1:6" ht="24" customHeight="1" x14ac:dyDescent="0.25">
      <c r="A61" s="24"/>
      <c r="B61" s="25" t="s">
        <v>58</v>
      </c>
      <c r="C61" s="26">
        <f>SUM(C59:C60)</f>
        <v>23519254</v>
      </c>
      <c r="D61" s="26">
        <f>SUM(D59:D60)</f>
        <v>23392308</v>
      </c>
      <c r="E61" s="26">
        <f>D61-C61</f>
        <v>-126946</v>
      </c>
      <c r="F61" s="27">
        <f>IF(C61=0,0,E61/C61)</f>
        <v>-5.3975351429088698E-3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8855195</v>
      </c>
      <c r="D63" s="22">
        <v>10081347</v>
      </c>
      <c r="E63" s="22">
        <f>D63-C63</f>
        <v>1226152</v>
      </c>
      <c r="F63" s="23">
        <f>IF(C63=0,0,E63/C63)</f>
        <v>0.13846696769523426</v>
      </c>
    </row>
    <row r="64" spans="1:6" ht="24" customHeight="1" x14ac:dyDescent="0.2">
      <c r="A64" s="20">
        <v>4</v>
      </c>
      <c r="B64" s="21" t="s">
        <v>60</v>
      </c>
      <c r="C64" s="22">
        <v>2555582</v>
      </c>
      <c r="D64" s="22">
        <v>3699103</v>
      </c>
      <c r="E64" s="22">
        <f>D64-C64</f>
        <v>1143521</v>
      </c>
      <c r="F64" s="23">
        <f>IF(C64=0,0,E64/C64)</f>
        <v>0.44746010889104715</v>
      </c>
    </row>
    <row r="65" spans="1:6" ht="24" customHeight="1" x14ac:dyDescent="0.25">
      <c r="A65" s="24"/>
      <c r="B65" s="25" t="s">
        <v>61</v>
      </c>
      <c r="C65" s="26">
        <f>SUM(C61:C64)</f>
        <v>34930031</v>
      </c>
      <c r="D65" s="26">
        <f>SUM(D61:D64)</f>
        <v>37172758</v>
      </c>
      <c r="E65" s="26">
        <f>D65-C65</f>
        <v>2242727</v>
      </c>
      <c r="F65" s="27">
        <f>IF(C65=0,0,E65/C65)</f>
        <v>6.420626995721819E-2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26773989</v>
      </c>
      <c r="D70" s="22">
        <v>24211838</v>
      </c>
      <c r="E70" s="22">
        <f>D70-C70</f>
        <v>-2562151</v>
      </c>
      <c r="F70" s="23">
        <f>IF(C70=0,0,E70/C70)</f>
        <v>-9.5695527476312922E-2</v>
      </c>
    </row>
    <row r="71" spans="1:6" ht="24" customHeight="1" x14ac:dyDescent="0.2">
      <c r="A71" s="20">
        <v>2</v>
      </c>
      <c r="B71" s="21" t="s">
        <v>65</v>
      </c>
      <c r="C71" s="22">
        <v>561463</v>
      </c>
      <c r="D71" s="22">
        <v>549043</v>
      </c>
      <c r="E71" s="22">
        <f>D71-C71</f>
        <v>-12420</v>
      </c>
      <c r="F71" s="23">
        <f>IF(C71=0,0,E71/C71)</f>
        <v>-2.2120780888500221E-2</v>
      </c>
    </row>
    <row r="72" spans="1:6" ht="24" customHeight="1" x14ac:dyDescent="0.2">
      <c r="A72" s="20">
        <v>3</v>
      </c>
      <c r="B72" s="21" t="s">
        <v>66</v>
      </c>
      <c r="C72" s="22">
        <v>3717011</v>
      </c>
      <c r="D72" s="22">
        <v>3573421</v>
      </c>
      <c r="E72" s="22">
        <f>D72-C72</f>
        <v>-143590</v>
      </c>
      <c r="F72" s="23">
        <f>IF(C72=0,0,E72/C72)</f>
        <v>-3.8630501766069567E-2</v>
      </c>
    </row>
    <row r="73" spans="1:6" ht="24" customHeight="1" x14ac:dyDescent="0.25">
      <c r="A73" s="20"/>
      <c r="B73" s="25" t="s">
        <v>67</v>
      </c>
      <c r="C73" s="26">
        <f>SUM(C70:C72)</f>
        <v>31052463</v>
      </c>
      <c r="D73" s="26">
        <f>SUM(D70:D72)</f>
        <v>28334302</v>
      </c>
      <c r="E73" s="26">
        <f>D73-C73</f>
        <v>-2718161</v>
      </c>
      <c r="F73" s="27">
        <f>IF(C73=0,0,E73/C73)</f>
        <v>-8.753447351342146E-2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76543854</v>
      </c>
      <c r="D75" s="26">
        <f>D56+D65+D67+D73</f>
        <v>74786945</v>
      </c>
      <c r="E75" s="26">
        <f>D75-C75</f>
        <v>-1756909</v>
      </c>
      <c r="F75" s="27">
        <f>IF(C75=0,0,E75/C75)</f>
        <v>-2.2952972814773608E-2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277042997</v>
      </c>
      <c r="D11" s="76">
        <v>298979957</v>
      </c>
      <c r="E11" s="76">
        <v>299755216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28839184</v>
      </c>
      <c r="D12" s="185">
        <v>28987736</v>
      </c>
      <c r="E12" s="185">
        <v>29000109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305882181</v>
      </c>
      <c r="D13" s="76">
        <f>+D11+D12</f>
        <v>327967693</v>
      </c>
      <c r="E13" s="76">
        <f>+E11+E12</f>
        <v>328755325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300954489</v>
      </c>
      <c r="D14" s="185">
        <v>327855198</v>
      </c>
      <c r="E14" s="185">
        <v>326582604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4927692</v>
      </c>
      <c r="D15" s="76">
        <f>+D13-D14</f>
        <v>112495</v>
      </c>
      <c r="E15" s="76">
        <f>+E13-E14</f>
        <v>2172721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-1200536</v>
      </c>
      <c r="D16" s="185">
        <v>-2138589</v>
      </c>
      <c r="E16" s="185">
        <v>-2125751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3727156</v>
      </c>
      <c r="D17" s="76">
        <f>D15+D16</f>
        <v>-2026094</v>
      </c>
      <c r="E17" s="76">
        <f>E15+E16</f>
        <v>46970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1.6173248637934852E-2</v>
      </c>
      <c r="D20" s="189">
        <f>IF(+D27=0,0,+D24/+D27)</f>
        <v>3.4525767839327208E-4</v>
      </c>
      <c r="E20" s="189">
        <f>IF(+E27=0,0,+E24/+E27)</f>
        <v>6.6519420559266323E-3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-3.9402964363015698E-3</v>
      </c>
      <c r="D21" s="189">
        <f>IF(+D27=0,0,+D26/+D27)</f>
        <v>-6.5635296962299602E-3</v>
      </c>
      <c r="E21" s="189">
        <f>IF(+E27=0,0,+E26/+E27)</f>
        <v>-6.5081400130656874E-3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1.2232952201633281E-2</v>
      </c>
      <c r="D22" s="189">
        <f>IF(+D27=0,0,+D28/+D27)</f>
        <v>-6.2182720178366874E-3</v>
      </c>
      <c r="E22" s="189">
        <f>IF(+E27=0,0,+E28/+E27)</f>
        <v>1.4380204286094437E-4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4927692</v>
      </c>
      <c r="D24" s="76">
        <f>+D15</f>
        <v>112495</v>
      </c>
      <c r="E24" s="76">
        <f>+E15</f>
        <v>2172721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305882181</v>
      </c>
      <c r="D25" s="76">
        <f>+D13</f>
        <v>327967693</v>
      </c>
      <c r="E25" s="76">
        <f>+E13</f>
        <v>328755325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-1200536</v>
      </c>
      <c r="D26" s="76">
        <f>+D16</f>
        <v>-2138589</v>
      </c>
      <c r="E26" s="76">
        <f>+E16</f>
        <v>-2125751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304681645</v>
      </c>
      <c r="D27" s="76">
        <f>SUM(D25:D26)</f>
        <v>325829104</v>
      </c>
      <c r="E27" s="76">
        <f>SUM(E25:E26)</f>
        <v>326629574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3727156</v>
      </c>
      <c r="D28" s="76">
        <f>+D17</f>
        <v>-2026094</v>
      </c>
      <c r="E28" s="76">
        <f>+E17</f>
        <v>46970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36549384</v>
      </c>
      <c r="D31" s="76">
        <v>70965928</v>
      </c>
      <c r="E31" s="76">
        <v>59544873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51601261</v>
      </c>
      <c r="D32" s="76">
        <v>85849149</v>
      </c>
      <c r="E32" s="76">
        <v>77693789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-3560396</v>
      </c>
      <c r="D33" s="76">
        <f>+D32-C32</f>
        <v>34247888</v>
      </c>
      <c r="E33" s="76">
        <f>+E32-D32</f>
        <v>-8155360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0.93540000000000001</v>
      </c>
      <c r="D34" s="193">
        <f>IF(C32=0,0,+D33/C32)</f>
        <v>0.6637025401375366</v>
      </c>
      <c r="E34" s="193">
        <f>IF(D32=0,0,+E33/D32)</f>
        <v>-9.4996398857721931E-2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1.456033453204683</v>
      </c>
      <c r="D38" s="338">
        <f>IF(+D40=0,0,+D39/+D40)</f>
        <v>1.311508725619533</v>
      </c>
      <c r="E38" s="338">
        <f>IF(+E40=0,0,+E39/+E40)</f>
        <v>1.3327302292232019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85875895</v>
      </c>
      <c r="D39" s="341">
        <v>84389707</v>
      </c>
      <c r="E39" s="341">
        <v>81233895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58979342</v>
      </c>
      <c r="D40" s="341">
        <v>64345517</v>
      </c>
      <c r="E40" s="341">
        <v>60952992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25.31276254323226</v>
      </c>
      <c r="D42" s="343">
        <f>IF((D48/365)=0,0,+D45/(D48/365))</f>
        <v>25.954656364633504</v>
      </c>
      <c r="E42" s="343">
        <f>IF((E48/365)=0,0,+E45/(E48/365))</f>
        <v>24.071590136151443</v>
      </c>
    </row>
    <row r="43" spans="1:14" ht="24" customHeight="1" x14ac:dyDescent="0.2">
      <c r="A43" s="339">
        <v>5</v>
      </c>
      <c r="B43" s="344" t="s">
        <v>16</v>
      </c>
      <c r="C43" s="345">
        <v>20052067</v>
      </c>
      <c r="D43" s="345">
        <v>22439356</v>
      </c>
      <c r="E43" s="345">
        <v>20733601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20052067</v>
      </c>
      <c r="D45" s="341">
        <f>+D43+D44</f>
        <v>22439356</v>
      </c>
      <c r="E45" s="341">
        <f>+E43+E44</f>
        <v>20733601</v>
      </c>
    </row>
    <row r="46" spans="1:14" ht="24" customHeight="1" x14ac:dyDescent="0.2">
      <c r="A46" s="339">
        <v>8</v>
      </c>
      <c r="B46" s="340" t="s">
        <v>334</v>
      </c>
      <c r="C46" s="341">
        <f>+C14</f>
        <v>300954489</v>
      </c>
      <c r="D46" s="341">
        <f>+D14</f>
        <v>327855198</v>
      </c>
      <c r="E46" s="341">
        <f>+E14</f>
        <v>326582604</v>
      </c>
    </row>
    <row r="47" spans="1:14" ht="24" customHeight="1" x14ac:dyDescent="0.2">
      <c r="A47" s="339">
        <v>9</v>
      </c>
      <c r="B47" s="340" t="s">
        <v>356</v>
      </c>
      <c r="C47" s="341">
        <v>11811633</v>
      </c>
      <c r="D47" s="341">
        <v>12290822</v>
      </c>
      <c r="E47" s="341">
        <v>12196877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289142856</v>
      </c>
      <c r="D48" s="341">
        <f>+D46-D47</f>
        <v>315564376</v>
      </c>
      <c r="E48" s="341">
        <f>+E46-E47</f>
        <v>314385727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63.661404749386243</v>
      </c>
      <c r="D50" s="350">
        <f>IF((D55/365)=0,0,+D54/(D55/365))</f>
        <v>55.516532400865927</v>
      </c>
      <c r="E50" s="350">
        <f>IF((E55/365)=0,0,+E54/(E55/365))</f>
        <v>51.713660272053446</v>
      </c>
    </row>
    <row r="51" spans="1:5" ht="24" customHeight="1" x14ac:dyDescent="0.2">
      <c r="A51" s="339">
        <v>12</v>
      </c>
      <c r="B51" s="344" t="s">
        <v>359</v>
      </c>
      <c r="C51" s="351">
        <v>46711256</v>
      </c>
      <c r="D51" s="351">
        <v>46524143</v>
      </c>
      <c r="E51" s="351">
        <v>44610272</v>
      </c>
    </row>
    <row r="52" spans="1:5" ht="24" customHeight="1" x14ac:dyDescent="0.2">
      <c r="A52" s="339">
        <v>13</v>
      </c>
      <c r="B52" s="344" t="s">
        <v>21</v>
      </c>
      <c r="C52" s="341">
        <v>4402920</v>
      </c>
      <c r="D52" s="341">
        <v>3463096</v>
      </c>
      <c r="E52" s="341">
        <v>3602585</v>
      </c>
    </row>
    <row r="53" spans="1:5" ht="24" customHeight="1" x14ac:dyDescent="0.2">
      <c r="A53" s="339">
        <v>14</v>
      </c>
      <c r="B53" s="344" t="s">
        <v>49</v>
      </c>
      <c r="C53" s="341">
        <v>2793775</v>
      </c>
      <c r="D53" s="341">
        <v>4512361</v>
      </c>
      <c r="E53" s="341">
        <v>5743160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48320401</v>
      </c>
      <c r="D54" s="352">
        <f>+D51+D52-D53</f>
        <v>45474878</v>
      </c>
      <c r="E54" s="352">
        <f>+E51+E52-E53</f>
        <v>42469697</v>
      </c>
    </row>
    <row r="55" spans="1:5" ht="24" customHeight="1" x14ac:dyDescent="0.2">
      <c r="A55" s="339">
        <v>16</v>
      </c>
      <c r="B55" s="340" t="s">
        <v>75</v>
      </c>
      <c r="C55" s="341">
        <f>+C11</f>
        <v>277042997</v>
      </c>
      <c r="D55" s="341">
        <f>+D11</f>
        <v>298979957</v>
      </c>
      <c r="E55" s="341">
        <f>+E11</f>
        <v>299755216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74.452677571947333</v>
      </c>
      <c r="D57" s="355">
        <f>IF((D61/365)=0,0,+D58/(D61/365))</f>
        <v>74.425744764675215</v>
      </c>
      <c r="E57" s="355">
        <f>IF((E61/365)=0,0,+E58/(E61/365))</f>
        <v>70.766069097023603</v>
      </c>
    </row>
    <row r="58" spans="1:5" ht="24" customHeight="1" x14ac:dyDescent="0.2">
      <c r="A58" s="339">
        <v>18</v>
      </c>
      <c r="B58" s="340" t="s">
        <v>54</v>
      </c>
      <c r="C58" s="353">
        <f>+C40</f>
        <v>58979342</v>
      </c>
      <c r="D58" s="353">
        <f>+D40</f>
        <v>64345517</v>
      </c>
      <c r="E58" s="353">
        <f>+E40</f>
        <v>60952992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300954489</v>
      </c>
      <c r="D59" s="353">
        <f t="shared" si="0"/>
        <v>327855198</v>
      </c>
      <c r="E59" s="353">
        <f t="shared" si="0"/>
        <v>326582604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11811633</v>
      </c>
      <c r="D60" s="356">
        <f t="shared" si="0"/>
        <v>12290822</v>
      </c>
      <c r="E60" s="356">
        <f t="shared" si="0"/>
        <v>12196877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289142856</v>
      </c>
      <c r="D61" s="353">
        <f>+D59-D60</f>
        <v>315564376</v>
      </c>
      <c r="E61" s="353">
        <f>+E59-E60</f>
        <v>314385727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18.214987550307306</v>
      </c>
      <c r="D65" s="357">
        <f>IF(D67=0,0,(D66/D67)*100)</f>
        <v>30.392657987169152</v>
      </c>
      <c r="E65" s="357">
        <f>IF(E67=0,0,(E66/E67)*100)</f>
        <v>28.141033736990963</v>
      </c>
    </row>
    <row r="66" spans="1:5" ht="24" customHeight="1" x14ac:dyDescent="0.2">
      <c r="A66" s="339">
        <v>2</v>
      </c>
      <c r="B66" s="340" t="s">
        <v>67</v>
      </c>
      <c r="C66" s="353">
        <f>+C32</f>
        <v>51601261</v>
      </c>
      <c r="D66" s="353">
        <f>+D32</f>
        <v>85849149</v>
      </c>
      <c r="E66" s="353">
        <f>+E32</f>
        <v>77693789</v>
      </c>
    </row>
    <row r="67" spans="1:5" ht="24" customHeight="1" x14ac:dyDescent="0.2">
      <c r="A67" s="339">
        <v>3</v>
      </c>
      <c r="B67" s="340" t="s">
        <v>43</v>
      </c>
      <c r="C67" s="353">
        <v>283290125</v>
      </c>
      <c r="D67" s="353">
        <v>282466736</v>
      </c>
      <c r="E67" s="353">
        <v>276087189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10.605155130874639</v>
      </c>
      <c r="D69" s="357">
        <f>IF(D75=0,0,(D72/D75)*100)</f>
        <v>6.900122957197742</v>
      </c>
      <c r="E69" s="357">
        <f>IF(E75=0,0,(E72/E75)*100)</f>
        <v>8.5294203824179</v>
      </c>
    </row>
    <row r="70" spans="1:5" ht="24" customHeight="1" x14ac:dyDescent="0.2">
      <c r="A70" s="339">
        <v>5</v>
      </c>
      <c r="B70" s="340" t="s">
        <v>366</v>
      </c>
      <c r="C70" s="353">
        <f>+C28</f>
        <v>3727156</v>
      </c>
      <c r="D70" s="353">
        <f>+D28</f>
        <v>-2026094</v>
      </c>
      <c r="E70" s="353">
        <f>+E28</f>
        <v>46970</v>
      </c>
    </row>
    <row r="71" spans="1:5" ht="24" customHeight="1" x14ac:dyDescent="0.2">
      <c r="A71" s="339">
        <v>6</v>
      </c>
      <c r="B71" s="340" t="s">
        <v>356</v>
      </c>
      <c r="C71" s="356">
        <f>+C47</f>
        <v>11811633</v>
      </c>
      <c r="D71" s="356">
        <f>+D47</f>
        <v>12290822</v>
      </c>
      <c r="E71" s="356">
        <f>+E47</f>
        <v>12196877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15538789</v>
      </c>
      <c r="D72" s="353">
        <f>+D70+D71</f>
        <v>10264728</v>
      </c>
      <c r="E72" s="353">
        <f>+E70+E71</f>
        <v>12243847</v>
      </c>
    </row>
    <row r="73" spans="1:5" ht="24" customHeight="1" x14ac:dyDescent="0.2">
      <c r="A73" s="339">
        <v>8</v>
      </c>
      <c r="B73" s="340" t="s">
        <v>54</v>
      </c>
      <c r="C73" s="341">
        <f>+C40</f>
        <v>58979342</v>
      </c>
      <c r="D73" s="341">
        <f>+D40</f>
        <v>64345517</v>
      </c>
      <c r="E73" s="341">
        <f>+E40</f>
        <v>60952992</v>
      </c>
    </row>
    <row r="74" spans="1:5" ht="24" customHeight="1" x14ac:dyDescent="0.2">
      <c r="A74" s="339">
        <v>9</v>
      </c>
      <c r="B74" s="340" t="s">
        <v>58</v>
      </c>
      <c r="C74" s="353">
        <v>87541749</v>
      </c>
      <c r="D74" s="353">
        <v>84416006</v>
      </c>
      <c r="E74" s="353">
        <v>82595414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146521091</v>
      </c>
      <c r="D75" s="341">
        <f>+D73+D74</f>
        <v>148761523</v>
      </c>
      <c r="E75" s="341">
        <f>+E73+E74</f>
        <v>143548406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62.914945565716884</v>
      </c>
      <c r="D77" s="359">
        <f>IF(D80=0,0,(D78/D80)*100)</f>
        <v>49.579143777245555</v>
      </c>
      <c r="E77" s="359">
        <f>IF(E80=0,0,(E78/E80)*100)</f>
        <v>51.528994126946905</v>
      </c>
    </row>
    <row r="78" spans="1:5" ht="24" customHeight="1" x14ac:dyDescent="0.2">
      <c r="A78" s="339">
        <v>12</v>
      </c>
      <c r="B78" s="340" t="s">
        <v>58</v>
      </c>
      <c r="C78" s="341">
        <f>+C74</f>
        <v>87541749</v>
      </c>
      <c r="D78" s="341">
        <f>+D74</f>
        <v>84416006</v>
      </c>
      <c r="E78" s="341">
        <f>+E74</f>
        <v>82595414</v>
      </c>
    </row>
    <row r="79" spans="1:5" ht="24" customHeight="1" x14ac:dyDescent="0.2">
      <c r="A79" s="339">
        <v>13</v>
      </c>
      <c r="B79" s="340" t="s">
        <v>67</v>
      </c>
      <c r="C79" s="341">
        <f>+C32</f>
        <v>51601261</v>
      </c>
      <c r="D79" s="341">
        <f>+D32</f>
        <v>85849149</v>
      </c>
      <c r="E79" s="341">
        <f>+E32</f>
        <v>77693789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139143010</v>
      </c>
      <c r="D80" s="341">
        <f>+D78+D79</f>
        <v>170265155</v>
      </c>
      <c r="E80" s="341">
        <f>+E78+E79</f>
        <v>160289203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FILING&amp;R&amp;8EASTERN CT HEALTH NETWORK , INC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8892</v>
      </c>
      <c r="D11" s="376">
        <v>2341</v>
      </c>
      <c r="E11" s="376">
        <v>2266</v>
      </c>
      <c r="F11" s="377">
        <v>38</v>
      </c>
      <c r="G11" s="377">
        <v>81</v>
      </c>
      <c r="H11" s="378">
        <f>IF(F11=0,0,$C11/(F11*365))</f>
        <v>0.64109589041095894</v>
      </c>
      <c r="I11" s="378">
        <f>IF(G11=0,0,$C11/(G11*365))</f>
        <v>0.30076103500761037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2263</v>
      </c>
      <c r="D13" s="376">
        <v>239</v>
      </c>
      <c r="E13" s="376">
        <v>0</v>
      </c>
      <c r="F13" s="377">
        <v>9</v>
      </c>
      <c r="G13" s="377">
        <v>9</v>
      </c>
      <c r="H13" s="378">
        <f>IF(F13=0,0,$C13/(F13*365))</f>
        <v>0.68888888888888888</v>
      </c>
      <c r="I13" s="378">
        <f>IF(G13=0,0,$C13/(G13*365))</f>
        <v>0.68888888888888888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12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16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11155</v>
      </c>
      <c r="D31" s="384">
        <f>SUM(D10:D29)-D13-D17-D23</f>
        <v>2341</v>
      </c>
      <c r="E31" s="384">
        <f>SUM(E10:E29)-E17-E23</f>
        <v>2266</v>
      </c>
      <c r="F31" s="384">
        <f>SUM(F10:F29)-F17-F23</f>
        <v>47</v>
      </c>
      <c r="G31" s="384">
        <f>SUM(G10:G29)-G17-G23</f>
        <v>102</v>
      </c>
      <c r="H31" s="385">
        <f>IF(F31=0,0,$C31/(F31*365))</f>
        <v>0.65024774118332851</v>
      </c>
      <c r="I31" s="385">
        <f>IF(G31=0,0,$C31/(G31*365))</f>
        <v>0.29962395917271017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11155</v>
      </c>
      <c r="D33" s="384">
        <f>SUM(D10:D29)-D13-D17</f>
        <v>2341</v>
      </c>
      <c r="E33" s="384">
        <f>SUM(E10:E29)-E17</f>
        <v>2266</v>
      </c>
      <c r="F33" s="384">
        <f>SUM(F10:F29)-F17</f>
        <v>47</v>
      </c>
      <c r="G33" s="384">
        <f>SUM(G10:G29)-G17</f>
        <v>118</v>
      </c>
      <c r="H33" s="385">
        <f>IF(F33=0,0,$C33/(F33*365))</f>
        <v>0.65024774118332851</v>
      </c>
      <c r="I33" s="385">
        <f>IF(G33=0,0,$C33/(G33*365))</f>
        <v>0.25899698165776641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11155</v>
      </c>
      <c r="D36" s="384">
        <f t="shared" si="1"/>
        <v>2341</v>
      </c>
      <c r="E36" s="384">
        <f t="shared" si="1"/>
        <v>2266</v>
      </c>
      <c r="F36" s="384">
        <f t="shared" si="1"/>
        <v>47</v>
      </c>
      <c r="G36" s="384">
        <f t="shared" si="1"/>
        <v>118</v>
      </c>
      <c r="H36" s="387">
        <f t="shared" si="1"/>
        <v>0.65024774118332851</v>
      </c>
      <c r="I36" s="387">
        <f t="shared" si="1"/>
        <v>0.25899698165776641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12325</v>
      </c>
      <c r="D37" s="384">
        <v>2567</v>
      </c>
      <c r="E37" s="384">
        <v>2468</v>
      </c>
      <c r="F37" s="386">
        <v>47</v>
      </c>
      <c r="G37" s="386">
        <v>118</v>
      </c>
      <c r="H37" s="385">
        <f>IF(F37=0,0,$C37/(F37*365))</f>
        <v>0.71844943165257946</v>
      </c>
      <c r="I37" s="385">
        <f>IF(G37=0,0,$C37/(G37*365))</f>
        <v>0.2861620617599257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-1170</v>
      </c>
      <c r="D38" s="384">
        <f t="shared" si="2"/>
        <v>-226</v>
      </c>
      <c r="E38" s="384">
        <f t="shared" si="2"/>
        <v>-202</v>
      </c>
      <c r="F38" s="384">
        <f t="shared" si="2"/>
        <v>0</v>
      </c>
      <c r="G38" s="384">
        <f t="shared" si="2"/>
        <v>0</v>
      </c>
      <c r="H38" s="387">
        <f t="shared" si="2"/>
        <v>-6.8201690469250953E-2</v>
      </c>
      <c r="I38" s="387">
        <f t="shared" si="2"/>
        <v>-2.7165080102159289E-2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-9.4929006085192696E-2</v>
      </c>
      <c r="D40" s="389">
        <f t="shared" si="3"/>
        <v>-8.8040514218932608E-2</v>
      </c>
      <c r="E40" s="389">
        <f t="shared" si="3"/>
        <v>-8.184764991896272E-2</v>
      </c>
      <c r="F40" s="389">
        <f t="shared" si="3"/>
        <v>0</v>
      </c>
      <c r="G40" s="389">
        <f t="shared" si="3"/>
        <v>0</v>
      </c>
      <c r="H40" s="389">
        <f t="shared" si="3"/>
        <v>-9.4929006085192696E-2</v>
      </c>
      <c r="I40" s="389">
        <f t="shared" si="3"/>
        <v>-9.4929006085192752E-2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118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FILING&amp;RROCKVILLE GENERAL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1965</v>
      </c>
      <c r="D12" s="409">
        <v>1676</v>
      </c>
      <c r="E12" s="409">
        <f>+D12-C12</f>
        <v>-289</v>
      </c>
      <c r="F12" s="410">
        <f>IF(C12=0,0,+E12/C12)</f>
        <v>-0.14707379134860052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4746</v>
      </c>
      <c r="D13" s="409">
        <v>4357</v>
      </c>
      <c r="E13" s="409">
        <f>+D13-C13</f>
        <v>-389</v>
      </c>
      <c r="F13" s="410">
        <f>IF(C13=0,0,+E13/C13)</f>
        <v>-8.1963758954909399E-2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1845</v>
      </c>
      <c r="D14" s="409">
        <v>1695</v>
      </c>
      <c r="E14" s="409">
        <f>+D14-C14</f>
        <v>-150</v>
      </c>
      <c r="F14" s="410">
        <f>IF(C14=0,0,+E14/C14)</f>
        <v>-8.1300813008130079E-2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8556</v>
      </c>
      <c r="D16" s="401">
        <f>SUM(D12:D15)</f>
        <v>7728</v>
      </c>
      <c r="E16" s="401">
        <f>+D16-C16</f>
        <v>-828</v>
      </c>
      <c r="F16" s="402">
        <f>IF(C16=0,0,+E16/C16)</f>
        <v>-9.6774193548387094E-2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291</v>
      </c>
      <c r="D19" s="409">
        <v>194</v>
      </c>
      <c r="E19" s="409">
        <f>+D19-C19</f>
        <v>-97</v>
      </c>
      <c r="F19" s="410">
        <f>IF(C19=0,0,+E19/C19)</f>
        <v>-0.33333333333333331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1460</v>
      </c>
      <c r="D20" s="409">
        <v>1231</v>
      </c>
      <c r="E20" s="409">
        <f>+D20-C20</f>
        <v>-229</v>
      </c>
      <c r="F20" s="410">
        <f>IF(C20=0,0,+E20/C20)</f>
        <v>-0.15684931506849314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15</v>
      </c>
      <c r="D21" s="409">
        <v>12</v>
      </c>
      <c r="E21" s="409">
        <f>+D21-C21</f>
        <v>-3</v>
      </c>
      <c r="F21" s="410">
        <f>IF(C21=0,0,+E21/C21)</f>
        <v>-0.2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1766</v>
      </c>
      <c r="D23" s="401">
        <f>SUM(D19:D22)</f>
        <v>1437</v>
      </c>
      <c r="E23" s="401">
        <f>+D23-C23</f>
        <v>-329</v>
      </c>
      <c r="F23" s="402">
        <f>IF(C23=0,0,+E23/C23)</f>
        <v>-0.18629671574178935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662</v>
      </c>
      <c r="D63" s="409">
        <v>508</v>
      </c>
      <c r="E63" s="409">
        <f>+D63-C63</f>
        <v>-154</v>
      </c>
      <c r="F63" s="410">
        <f>IF(C63=0,0,+E63/C63)</f>
        <v>-0.23262839879154079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1566</v>
      </c>
      <c r="D64" s="409">
        <v>1380</v>
      </c>
      <c r="E64" s="409">
        <f>+D64-C64</f>
        <v>-186</v>
      </c>
      <c r="F64" s="410">
        <f>IF(C64=0,0,+E64/C64)</f>
        <v>-0.11877394636015326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2228</v>
      </c>
      <c r="D65" s="401">
        <f>SUM(D63:D64)</f>
        <v>1888</v>
      </c>
      <c r="E65" s="401">
        <f>+D65-C65</f>
        <v>-340</v>
      </c>
      <c r="F65" s="402">
        <f>IF(C65=0,0,+E65/C65)</f>
        <v>-0.15260323159784561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187</v>
      </c>
      <c r="D68" s="409">
        <v>198</v>
      </c>
      <c r="E68" s="409">
        <f>+D68-C68</f>
        <v>11</v>
      </c>
      <c r="F68" s="410">
        <f>IF(C68=0,0,+E68/C68)</f>
        <v>5.8823529411764705E-2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2761</v>
      </c>
      <c r="D69" s="409">
        <v>2421</v>
      </c>
      <c r="E69" s="409">
        <f>+D69-C69</f>
        <v>-340</v>
      </c>
      <c r="F69" s="412">
        <f>IF(C69=0,0,+E69/C69)</f>
        <v>-0.1231437884824339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2948</v>
      </c>
      <c r="D70" s="401">
        <f>SUM(D68:D69)</f>
        <v>2619</v>
      </c>
      <c r="E70" s="401">
        <f>+D70-C70</f>
        <v>-329</v>
      </c>
      <c r="F70" s="402">
        <f>IF(C70=0,0,+E70/C70)</f>
        <v>-0.1116010854816825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2465</v>
      </c>
      <c r="D73" s="376">
        <v>2089</v>
      </c>
      <c r="E73" s="409">
        <f>+D73-C73</f>
        <v>-376</v>
      </c>
      <c r="F73" s="410">
        <f>IF(C73=0,0,+E73/C73)</f>
        <v>-0.15253549695740365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22671</v>
      </c>
      <c r="D74" s="376">
        <v>19262</v>
      </c>
      <c r="E74" s="409">
        <f>+D74-C74</f>
        <v>-3409</v>
      </c>
      <c r="F74" s="410">
        <f>IF(C74=0,0,+E74/C74)</f>
        <v>-0.15036831194036435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25136</v>
      </c>
      <c r="D75" s="401">
        <f>SUM(D73:D74)</f>
        <v>21351</v>
      </c>
      <c r="E75" s="401">
        <f>SUM(E73:E74)</f>
        <v>-3785</v>
      </c>
      <c r="F75" s="402">
        <f>IF(C75=0,0,+E75/C75)</f>
        <v>-0.15058084022915341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6175</v>
      </c>
      <c r="D84" s="376">
        <v>6721</v>
      </c>
      <c r="E84" s="409">
        <f t="shared" si="0"/>
        <v>546</v>
      </c>
      <c r="F84" s="410">
        <f t="shared" si="1"/>
        <v>8.8421052631578942E-2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1526</v>
      </c>
      <c r="D90" s="376">
        <v>1167</v>
      </c>
      <c r="E90" s="409">
        <f t="shared" si="0"/>
        <v>-359</v>
      </c>
      <c r="F90" s="410">
        <f t="shared" si="1"/>
        <v>-0.23525557011795545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7701</v>
      </c>
      <c r="D92" s="381">
        <f>SUM(D79:D91)</f>
        <v>7888</v>
      </c>
      <c r="E92" s="401">
        <f t="shared" si="0"/>
        <v>187</v>
      </c>
      <c r="F92" s="402">
        <f t="shared" si="1"/>
        <v>2.4282560706401765E-2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41165</v>
      </c>
      <c r="D95" s="414">
        <v>38400</v>
      </c>
      <c r="E95" s="415">
        <f t="shared" ref="E95:E100" si="2">+D95-C95</f>
        <v>-2765</v>
      </c>
      <c r="F95" s="412">
        <f t="shared" ref="F95:F100" si="3">IF(C95=0,0,+E95/C95)</f>
        <v>-6.7168711283857652E-2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7807</v>
      </c>
      <c r="D96" s="414">
        <v>7730</v>
      </c>
      <c r="E96" s="409">
        <f t="shared" si="2"/>
        <v>-77</v>
      </c>
      <c r="F96" s="410">
        <f t="shared" si="3"/>
        <v>-9.8629435122326112E-3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0</v>
      </c>
      <c r="D97" s="414">
        <v>0</v>
      </c>
      <c r="E97" s="409">
        <f t="shared" si="2"/>
        <v>0</v>
      </c>
      <c r="F97" s="410">
        <f t="shared" si="3"/>
        <v>0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2761</v>
      </c>
      <c r="D98" s="414">
        <v>2421</v>
      </c>
      <c r="E98" s="409">
        <f t="shared" si="2"/>
        <v>-340</v>
      </c>
      <c r="F98" s="410">
        <f t="shared" si="3"/>
        <v>-0.1231437884824339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38378</v>
      </c>
      <c r="D99" s="414">
        <v>45944</v>
      </c>
      <c r="E99" s="409">
        <f t="shared" si="2"/>
        <v>7566</v>
      </c>
      <c r="F99" s="410">
        <f t="shared" si="3"/>
        <v>0.19714419719631038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90111</v>
      </c>
      <c r="D100" s="381">
        <f>SUM(D95:D99)</f>
        <v>94495</v>
      </c>
      <c r="E100" s="401">
        <f t="shared" si="2"/>
        <v>4384</v>
      </c>
      <c r="F100" s="402">
        <f t="shared" si="3"/>
        <v>4.8651108077815142E-2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116.6</v>
      </c>
      <c r="D104" s="416">
        <v>112.3</v>
      </c>
      <c r="E104" s="417">
        <f>+D104-C104</f>
        <v>-4.2999999999999972</v>
      </c>
      <c r="F104" s="410">
        <f>IF(C104=0,0,+E104/C104)</f>
        <v>-3.6878216123499119E-2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5.2</v>
      </c>
      <c r="D105" s="416">
        <v>6</v>
      </c>
      <c r="E105" s="417">
        <f>+D105-C105</f>
        <v>0.79999999999999982</v>
      </c>
      <c r="F105" s="410">
        <f>IF(C105=0,0,+E105/C105)</f>
        <v>0.1538461538461538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256.5</v>
      </c>
      <c r="D106" s="416">
        <v>304.39999999999998</v>
      </c>
      <c r="E106" s="417">
        <f>+D106-C106</f>
        <v>47.899999999999977</v>
      </c>
      <c r="F106" s="410">
        <f>IF(C106=0,0,+E106/C106)</f>
        <v>0.18674463937621824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378.3</v>
      </c>
      <c r="D107" s="418">
        <f>SUM(D104:D106)</f>
        <v>422.7</v>
      </c>
      <c r="E107" s="418">
        <f>+D107-C107</f>
        <v>44.399999999999977</v>
      </c>
      <c r="F107" s="402">
        <f>IF(C107=0,0,+E107/C107)</f>
        <v>0.1173671689135606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FILING&amp;RROCKVILLE GENERAL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1566</v>
      </c>
      <c r="D12" s="409">
        <v>1380</v>
      </c>
      <c r="E12" s="409">
        <f>+D12-C12</f>
        <v>-186</v>
      </c>
      <c r="F12" s="410">
        <f>IF(C12=0,0,+E12/C12)</f>
        <v>-0.11877394636015326</v>
      </c>
    </row>
    <row r="13" spans="1:6" ht="15.75" customHeight="1" x14ac:dyDescent="0.25">
      <c r="A13" s="374"/>
      <c r="B13" s="399" t="s">
        <v>622</v>
      </c>
      <c r="C13" s="401">
        <f>SUM(C11:C12)</f>
        <v>1566</v>
      </c>
      <c r="D13" s="401">
        <f>SUM(D11:D12)</f>
        <v>1380</v>
      </c>
      <c r="E13" s="401">
        <f>+D13-C13</f>
        <v>-186</v>
      </c>
      <c r="F13" s="402">
        <f>IF(C13=0,0,+E13/C13)</f>
        <v>-0.11877394636015326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2761</v>
      </c>
      <c r="D16" s="409">
        <v>2421</v>
      </c>
      <c r="E16" s="409">
        <f>+D16-C16</f>
        <v>-340</v>
      </c>
      <c r="F16" s="410">
        <f>IF(C16=0,0,+E16/C16)</f>
        <v>-0.1231437884824339</v>
      </c>
    </row>
    <row r="17" spans="1:6" ht="15.75" customHeight="1" x14ac:dyDescent="0.25">
      <c r="A17" s="374"/>
      <c r="B17" s="399" t="s">
        <v>623</v>
      </c>
      <c r="C17" s="401">
        <f>SUM(C15:C16)</f>
        <v>2761</v>
      </c>
      <c r="D17" s="401">
        <f>SUM(D15:D16)</f>
        <v>2421</v>
      </c>
      <c r="E17" s="401">
        <f>+D17-C17</f>
        <v>-340</v>
      </c>
      <c r="F17" s="402">
        <f>IF(C17=0,0,+E17/C17)</f>
        <v>-0.1231437884824339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22671</v>
      </c>
      <c r="D20" s="409">
        <v>19262</v>
      </c>
      <c r="E20" s="409">
        <f>+D20-C20</f>
        <v>-3409</v>
      </c>
      <c r="F20" s="410">
        <f>IF(C20=0,0,+E20/C20)</f>
        <v>-0.15036831194036435</v>
      </c>
    </row>
    <row r="21" spans="1:6" ht="15.75" customHeight="1" x14ac:dyDescent="0.25">
      <c r="A21" s="374"/>
      <c r="B21" s="399" t="s">
        <v>626</v>
      </c>
      <c r="C21" s="401">
        <f>SUM(C19:C20)</f>
        <v>22671</v>
      </c>
      <c r="D21" s="401">
        <f>SUM(D19:D20)</f>
        <v>19262</v>
      </c>
      <c r="E21" s="401">
        <f>+D21-C21</f>
        <v>-3409</v>
      </c>
      <c r="F21" s="402">
        <f>IF(C21=0,0,+E21/C21)</f>
        <v>-0.15036831194036435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627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FILING&amp;RROCKVILLE GENERAL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54539339</v>
      </c>
      <c r="D15" s="448">
        <v>50841937</v>
      </c>
      <c r="E15" s="448">
        <f t="shared" ref="E15:E24" si="0">D15-C15</f>
        <v>-3697402</v>
      </c>
      <c r="F15" s="449">
        <f t="shared" ref="F15:F24" si="1">IF(C15=0,0,E15/C15)</f>
        <v>-6.7793304205612026E-2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16580364</v>
      </c>
      <c r="D16" s="448">
        <v>15218316</v>
      </c>
      <c r="E16" s="448">
        <f t="shared" si="0"/>
        <v>-1362048</v>
      </c>
      <c r="F16" s="449">
        <f t="shared" si="1"/>
        <v>-8.2148256817522219E-2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0.30400742480579018</v>
      </c>
      <c r="D17" s="453">
        <f>IF(LN_IA1=0,0,LN_IA2/LN_IA1)</f>
        <v>0.29932604652729888</v>
      </c>
      <c r="E17" s="454">
        <f t="shared" si="0"/>
        <v>-4.6813782784912994E-3</v>
      </c>
      <c r="F17" s="449">
        <f t="shared" si="1"/>
        <v>-1.5398894554900809E-2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1707</v>
      </c>
      <c r="D18" s="456">
        <v>1524</v>
      </c>
      <c r="E18" s="456">
        <f t="shared" si="0"/>
        <v>-183</v>
      </c>
      <c r="F18" s="449">
        <f t="shared" si="1"/>
        <v>-0.10720562390158173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1.5663100000000001</v>
      </c>
      <c r="D19" s="459">
        <v>1.5733299999999999</v>
      </c>
      <c r="E19" s="460">
        <f t="shared" si="0"/>
        <v>7.0199999999998042E-3</v>
      </c>
      <c r="F19" s="449">
        <f t="shared" si="1"/>
        <v>4.4818714047664921E-3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2673.6911700000001</v>
      </c>
      <c r="D20" s="463">
        <f>LN_IA4*LN_IA5</f>
        <v>2397.7549199999999</v>
      </c>
      <c r="E20" s="463">
        <f t="shared" si="0"/>
        <v>-275.9362500000002</v>
      </c>
      <c r="F20" s="449">
        <f t="shared" si="1"/>
        <v>-0.10320423431700984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6201.3011024006937</v>
      </c>
      <c r="D21" s="465">
        <f>IF(LN_IA6=0,0,LN_IA2/LN_IA6)</f>
        <v>6346.9022096720382</v>
      </c>
      <c r="E21" s="465">
        <f t="shared" si="0"/>
        <v>145.60110727134452</v>
      </c>
      <c r="F21" s="449">
        <f t="shared" si="1"/>
        <v>2.3479122343370545E-2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8933</v>
      </c>
      <c r="D22" s="456">
        <v>7734</v>
      </c>
      <c r="E22" s="456">
        <f t="shared" si="0"/>
        <v>-1199</v>
      </c>
      <c r="F22" s="449">
        <f t="shared" si="1"/>
        <v>-0.13422142617261837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1856.0801522444867</v>
      </c>
      <c r="D23" s="465">
        <f>IF(LN_IA8=0,0,LN_IA2/LN_IA8)</f>
        <v>1967.7160589604343</v>
      </c>
      <c r="E23" s="465">
        <f t="shared" si="0"/>
        <v>111.63590671594761</v>
      </c>
      <c r="F23" s="449">
        <f t="shared" si="1"/>
        <v>6.0146059199518181E-2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5.2331575864089048</v>
      </c>
      <c r="D24" s="466">
        <f>IF(LN_IA4=0,0,LN_IA8/LN_IA4)</f>
        <v>5.0748031496062991</v>
      </c>
      <c r="E24" s="466">
        <f t="shared" si="0"/>
        <v>-0.15835443680260575</v>
      </c>
      <c r="F24" s="449">
        <f t="shared" si="1"/>
        <v>-3.025982577208642E-2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49578911</v>
      </c>
      <c r="D27" s="448">
        <v>49133767</v>
      </c>
      <c r="E27" s="448">
        <f t="shared" ref="E27:E32" si="2">D27-C27</f>
        <v>-445144</v>
      </c>
      <c r="F27" s="449">
        <f t="shared" ref="F27:F32" si="3">IF(C27=0,0,E27/C27)</f>
        <v>-8.9784949088534838E-3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10397051</v>
      </c>
      <c r="D28" s="448">
        <v>9712148</v>
      </c>
      <c r="E28" s="448">
        <f t="shared" si="2"/>
        <v>-684903</v>
      </c>
      <c r="F28" s="449">
        <f t="shared" si="3"/>
        <v>-6.5874736980707324E-2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0.20970712729047236</v>
      </c>
      <c r="D29" s="453">
        <f>IF(LN_IA11=0,0,LN_IA12/LN_IA11)</f>
        <v>0.1976674819172729</v>
      </c>
      <c r="E29" s="454">
        <f t="shared" si="2"/>
        <v>-1.2039645373199459E-2</v>
      </c>
      <c r="F29" s="449">
        <f t="shared" si="3"/>
        <v>-5.7411712843326225E-2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0.90904862268316089</v>
      </c>
      <c r="D30" s="453">
        <f>IF(LN_IA1=0,0,LN_IA11/LN_IA1)</f>
        <v>0.96640234222390076</v>
      </c>
      <c r="E30" s="454">
        <f t="shared" si="2"/>
        <v>5.7353719540739867E-2</v>
      </c>
      <c r="F30" s="449">
        <f t="shared" si="3"/>
        <v>6.3092026223475053E-2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1551.7459989201557</v>
      </c>
      <c r="D31" s="463">
        <f>LN_IA14*LN_IA4</f>
        <v>1472.7971695492247</v>
      </c>
      <c r="E31" s="463">
        <f t="shared" si="2"/>
        <v>-78.94882937093098</v>
      </c>
      <c r="F31" s="449">
        <f t="shared" si="3"/>
        <v>-5.0877417712609327E-2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6700.227361459416</v>
      </c>
      <c r="D32" s="465">
        <f>IF(LN_IA15=0,0,LN_IA12/LN_IA15)</f>
        <v>6594.3554216447692</v>
      </c>
      <c r="E32" s="465">
        <f t="shared" si="2"/>
        <v>-105.87193981464679</v>
      </c>
      <c r="F32" s="449">
        <f t="shared" si="3"/>
        <v>-1.580124585378043E-2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104118250</v>
      </c>
      <c r="D35" s="448">
        <f>LN_IA1+LN_IA11</f>
        <v>99975704</v>
      </c>
      <c r="E35" s="448">
        <f>D35-C35</f>
        <v>-4142546</v>
      </c>
      <c r="F35" s="449">
        <f>IF(C35=0,0,E35/C35)</f>
        <v>-3.9786934567186828E-2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26977415</v>
      </c>
      <c r="D36" s="448">
        <f>LN_IA2+LN_IA12</f>
        <v>24930464</v>
      </c>
      <c r="E36" s="448">
        <f>D36-C36</f>
        <v>-2046951</v>
      </c>
      <c r="F36" s="449">
        <f>IF(C36=0,0,E36/C36)</f>
        <v>-7.5876469261417376E-2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77140835</v>
      </c>
      <c r="D37" s="448">
        <f>LN_IA17-LN_IA18</f>
        <v>75045240</v>
      </c>
      <c r="E37" s="448">
        <f>D37-C37</f>
        <v>-2095595</v>
      </c>
      <c r="F37" s="449">
        <f>IF(C37=0,0,E37/C37)</f>
        <v>-2.7165832467330696E-2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15954883</v>
      </c>
      <c r="D42" s="448">
        <v>16037037</v>
      </c>
      <c r="E42" s="448">
        <f t="shared" ref="E42:E53" si="4">D42-C42</f>
        <v>82154</v>
      </c>
      <c r="F42" s="449">
        <f t="shared" ref="F42:F53" si="5">IF(C42=0,0,E42/C42)</f>
        <v>5.1491446223704681E-3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6814839</v>
      </c>
      <c r="D43" s="448">
        <v>6801498</v>
      </c>
      <c r="E43" s="448">
        <f t="shared" si="4"/>
        <v>-13341</v>
      </c>
      <c r="F43" s="449">
        <f t="shared" si="5"/>
        <v>-1.9576397916370438E-3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0.42713186928415581</v>
      </c>
      <c r="D44" s="453">
        <f>IF(LN_IB1=0,0,LN_IB2/LN_IB1)</f>
        <v>0.42411188550603207</v>
      </c>
      <c r="E44" s="454">
        <f t="shared" si="4"/>
        <v>-3.019983778123736E-3</v>
      </c>
      <c r="F44" s="449">
        <f t="shared" si="5"/>
        <v>-7.0703780150730144E-3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561</v>
      </c>
      <c r="D45" s="456">
        <v>489</v>
      </c>
      <c r="E45" s="456">
        <f t="shared" si="4"/>
        <v>-72</v>
      </c>
      <c r="F45" s="449">
        <f t="shared" si="5"/>
        <v>-0.12834224598930483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1.67222</v>
      </c>
      <c r="D46" s="459">
        <v>1.61446</v>
      </c>
      <c r="E46" s="460">
        <f t="shared" si="4"/>
        <v>-5.7760000000000034E-2</v>
      </c>
      <c r="F46" s="449">
        <f t="shared" si="5"/>
        <v>-3.454090968891655E-2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938.11541999999997</v>
      </c>
      <c r="D47" s="463">
        <f>LN_IB4*LN_IB5</f>
        <v>789.47094000000004</v>
      </c>
      <c r="E47" s="463">
        <f t="shared" si="4"/>
        <v>-148.64447999999993</v>
      </c>
      <c r="F47" s="449">
        <f t="shared" si="5"/>
        <v>-0.158450097750232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7264.3929038070819</v>
      </c>
      <c r="D48" s="465">
        <f>IF(LN_IB6=0,0,LN_IB2/LN_IB6)</f>
        <v>8615.2607466463542</v>
      </c>
      <c r="E48" s="465">
        <f t="shared" si="4"/>
        <v>1350.8678428392723</v>
      </c>
      <c r="F48" s="449">
        <f t="shared" si="5"/>
        <v>0.18595743109259924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-1063.0918014063882</v>
      </c>
      <c r="D49" s="465">
        <f>LN_IA7-LN_IB7</f>
        <v>-2268.3585369743159</v>
      </c>
      <c r="E49" s="465">
        <f t="shared" si="4"/>
        <v>-1205.2667355679278</v>
      </c>
      <c r="F49" s="449">
        <f t="shared" si="5"/>
        <v>1.1337372125092613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-997302.81177491043</v>
      </c>
      <c r="D50" s="479">
        <f>LN_IB8*LN_IB6</f>
        <v>-1790803.1464421381</v>
      </c>
      <c r="E50" s="479">
        <f t="shared" si="4"/>
        <v>-793500.3346672277</v>
      </c>
      <c r="F50" s="449">
        <f t="shared" si="5"/>
        <v>0.79564634261386136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1952</v>
      </c>
      <c r="D51" s="456">
        <v>2005</v>
      </c>
      <c r="E51" s="456">
        <f t="shared" si="4"/>
        <v>53</v>
      </c>
      <c r="F51" s="449">
        <f t="shared" si="5"/>
        <v>2.7151639344262294E-2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3491.2085040983607</v>
      </c>
      <c r="D52" s="465">
        <f>IF(LN_IB10=0,0,LN_IB2/LN_IB10)</f>
        <v>3392.2683291770572</v>
      </c>
      <c r="E52" s="465">
        <f t="shared" si="4"/>
        <v>-98.940174921303424</v>
      </c>
      <c r="F52" s="449">
        <f t="shared" si="5"/>
        <v>-2.8339806919339443E-2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3.4795008912655971</v>
      </c>
      <c r="D53" s="466">
        <f>IF(LN_IB4=0,0,LN_IB10/LN_IB4)</f>
        <v>4.1002044989775053</v>
      </c>
      <c r="E53" s="466">
        <f t="shared" si="4"/>
        <v>0.62070360771190813</v>
      </c>
      <c r="F53" s="449">
        <f t="shared" si="5"/>
        <v>0.17838869053605558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65672132</v>
      </c>
      <c r="D56" s="448">
        <v>68784346</v>
      </c>
      <c r="E56" s="448">
        <f t="shared" ref="E56:E63" si="6">D56-C56</f>
        <v>3112214</v>
      </c>
      <c r="F56" s="449">
        <f t="shared" ref="F56:F63" si="7">IF(C56=0,0,E56/C56)</f>
        <v>4.7390177617501437E-2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28599353</v>
      </c>
      <c r="D57" s="448">
        <v>30280369</v>
      </c>
      <c r="E57" s="448">
        <f t="shared" si="6"/>
        <v>1681016</v>
      </c>
      <c r="F57" s="449">
        <f t="shared" si="7"/>
        <v>5.8778112917449568E-2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0.43548689724280615</v>
      </c>
      <c r="D58" s="453">
        <f>IF(LN_IB13=0,0,LN_IB14/LN_IB13)</f>
        <v>0.44022180569980268</v>
      </c>
      <c r="E58" s="454">
        <f t="shared" si="6"/>
        <v>4.7349084569965338E-3</v>
      </c>
      <c r="F58" s="449">
        <f t="shared" si="7"/>
        <v>1.0872677196431426E-2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4.1161149223093645</v>
      </c>
      <c r="D59" s="453">
        <f>IF(LN_IB1=0,0,LN_IB13/LN_IB1)</f>
        <v>4.289093178496751</v>
      </c>
      <c r="E59" s="454">
        <f t="shared" si="6"/>
        <v>0.17297825618738649</v>
      </c>
      <c r="F59" s="449">
        <f t="shared" si="7"/>
        <v>4.2024642035586382E-2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2309.1404714155533</v>
      </c>
      <c r="D60" s="463">
        <f>LN_IB16*LN_IB4</f>
        <v>2097.3665642849114</v>
      </c>
      <c r="E60" s="463">
        <f t="shared" si="6"/>
        <v>-211.77390713064187</v>
      </c>
      <c r="F60" s="449">
        <f t="shared" si="7"/>
        <v>-9.1711140899461988E-2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12385.280737151506</v>
      </c>
      <c r="D61" s="465">
        <f>IF(LN_IB17=0,0,LN_IB14/LN_IB17)</f>
        <v>14437.327988168805</v>
      </c>
      <c r="E61" s="465">
        <f t="shared" si="6"/>
        <v>2052.0472510172985</v>
      </c>
      <c r="F61" s="449">
        <f t="shared" si="7"/>
        <v>0.16568435504751017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-5685.0533756920904</v>
      </c>
      <c r="D62" s="465">
        <f>LN_IA16-LN_IB18</f>
        <v>-7842.9725665240358</v>
      </c>
      <c r="E62" s="465">
        <f t="shared" si="6"/>
        <v>-2157.9191908319453</v>
      </c>
      <c r="F62" s="449">
        <f t="shared" si="7"/>
        <v>0.37957764830470803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-13127586.831968216</v>
      </c>
      <c r="D63" s="448">
        <f>LN_IB19*LN_IB17</f>
        <v>-16449588.425631331</v>
      </c>
      <c r="E63" s="448">
        <f t="shared" si="6"/>
        <v>-3322001.5936631151</v>
      </c>
      <c r="F63" s="449">
        <f t="shared" si="7"/>
        <v>0.25305500821928656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81627015</v>
      </c>
      <c r="D66" s="448">
        <f>LN_IB1+LN_IB13</f>
        <v>84821383</v>
      </c>
      <c r="E66" s="448">
        <f>D66-C66</f>
        <v>3194368</v>
      </c>
      <c r="F66" s="449">
        <f>IF(C66=0,0,E66/C66)</f>
        <v>3.9133710818654827E-2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35414192</v>
      </c>
      <c r="D67" s="448">
        <f>LN_IB2+LN_IB14</f>
        <v>37081867</v>
      </c>
      <c r="E67" s="448">
        <f>D67-C67</f>
        <v>1667675</v>
      </c>
      <c r="F67" s="449">
        <f>IF(C67=0,0,E67/C67)</f>
        <v>4.7090584475286065E-2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46212823</v>
      </c>
      <c r="D68" s="448">
        <f>LN_IB21-LN_IB22</f>
        <v>47739516</v>
      </c>
      <c r="E68" s="448">
        <f>D68-C68</f>
        <v>1526693</v>
      </c>
      <c r="F68" s="449">
        <f>IF(C68=0,0,E68/C68)</f>
        <v>3.3036133715527397E-2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-14124889.643743128</v>
      </c>
      <c r="D70" s="441">
        <f>LN_IB9+LN_IB20</f>
        <v>-18240391.572073471</v>
      </c>
      <c r="E70" s="448">
        <f>D70-C70</f>
        <v>-4115501.9283303432</v>
      </c>
      <c r="F70" s="449">
        <f>IF(C70=0,0,E70/C70)</f>
        <v>0.29136524476517794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81627015</v>
      </c>
      <c r="D73" s="488">
        <v>84821383</v>
      </c>
      <c r="E73" s="488">
        <f>D73-C73</f>
        <v>3194368</v>
      </c>
      <c r="F73" s="489">
        <f>IF(C73=0,0,E73/C73)</f>
        <v>3.9133710818654827E-2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35414192</v>
      </c>
      <c r="D74" s="488">
        <v>37081867</v>
      </c>
      <c r="E74" s="488">
        <f>D74-C74</f>
        <v>1667675</v>
      </c>
      <c r="F74" s="489">
        <f>IF(C74=0,0,E74/C74)</f>
        <v>4.7090584475286065E-2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46212823</v>
      </c>
      <c r="D76" s="441">
        <f>LN_IB32-LN_IB33</f>
        <v>47739516</v>
      </c>
      <c r="E76" s="488">
        <f>D76-C76</f>
        <v>1526693</v>
      </c>
      <c r="F76" s="489">
        <f>IF(E76=0,0,E76/C76)</f>
        <v>3.3036133715527397E-2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0.56614618334383537</v>
      </c>
      <c r="D77" s="453">
        <f>IF(LN_IB32=0,0,LN_IB34/LN_IB32)</f>
        <v>0.56282406996358458</v>
      </c>
      <c r="E77" s="493">
        <f>D77-C77</f>
        <v>-3.3221133802507907E-3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1046641</v>
      </c>
      <c r="D83" s="448">
        <v>802034</v>
      </c>
      <c r="E83" s="448">
        <f t="shared" ref="E83:E95" si="8">D83-C83</f>
        <v>-244607</v>
      </c>
      <c r="F83" s="449">
        <f t="shared" ref="F83:F95" si="9">IF(C83=0,0,E83/C83)</f>
        <v>-0.23370668643785214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2144</v>
      </c>
      <c r="D84" s="448">
        <v>20</v>
      </c>
      <c r="E84" s="448">
        <f t="shared" si="8"/>
        <v>-2124</v>
      </c>
      <c r="F84" s="449">
        <f t="shared" si="9"/>
        <v>-0.99067164179104472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2.0484578761963269E-3</v>
      </c>
      <c r="D85" s="453">
        <f>IF(LN_IC1=0,0,LN_IC2/LN_IC1)</f>
        <v>2.4936598697810816E-5</v>
      </c>
      <c r="E85" s="454">
        <f t="shared" si="8"/>
        <v>-2.0235212774985163E-3</v>
      </c>
      <c r="F85" s="449">
        <f t="shared" si="9"/>
        <v>-0.98782664804212905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48</v>
      </c>
      <c r="D86" s="456">
        <v>26</v>
      </c>
      <c r="E86" s="456">
        <f t="shared" si="8"/>
        <v>-22</v>
      </c>
      <c r="F86" s="449">
        <f t="shared" si="9"/>
        <v>-0.45833333333333331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1.1844399999999999</v>
      </c>
      <c r="D87" s="459">
        <v>1.0972500000000001</v>
      </c>
      <c r="E87" s="460">
        <f t="shared" si="8"/>
        <v>-8.7189999999999879E-2</v>
      </c>
      <c r="F87" s="449">
        <f t="shared" si="9"/>
        <v>-7.3612846577285368E-2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56.853119999999997</v>
      </c>
      <c r="D88" s="463">
        <f>LN_IC4*LN_IC5</f>
        <v>28.528500000000001</v>
      </c>
      <c r="E88" s="463">
        <f t="shared" si="8"/>
        <v>-28.324619999999996</v>
      </c>
      <c r="F88" s="449">
        <f t="shared" si="9"/>
        <v>-0.49820695856269626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37.711210923868386</v>
      </c>
      <c r="D89" s="465">
        <f>IF(LN_IC6=0,0,LN_IC2/LN_IC6)</f>
        <v>0.70105333263227998</v>
      </c>
      <c r="E89" s="465">
        <f t="shared" si="8"/>
        <v>-37.010157591236108</v>
      </c>
      <c r="F89" s="449">
        <f t="shared" si="9"/>
        <v>-0.98140994904545575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7226.6816928832131</v>
      </c>
      <c r="D90" s="465">
        <f>LN_IB7-LN_IC7</f>
        <v>8614.5596933137222</v>
      </c>
      <c r="E90" s="465">
        <f t="shared" si="8"/>
        <v>1387.878000430509</v>
      </c>
      <c r="F90" s="449">
        <f t="shared" si="9"/>
        <v>0.1920491394822719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6163.589891476825</v>
      </c>
      <c r="D91" s="465">
        <f>LN_IA7-LN_IC7</f>
        <v>6346.2011563394062</v>
      </c>
      <c r="E91" s="465">
        <f t="shared" si="8"/>
        <v>182.61126486258127</v>
      </c>
      <c r="F91" s="449">
        <f t="shared" si="9"/>
        <v>2.9627419746907715E-2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350419.3157309189</v>
      </c>
      <c r="D92" s="441">
        <f>LN_IC9*LN_IC6</f>
        <v>181047.59968862875</v>
      </c>
      <c r="E92" s="441">
        <f t="shared" si="8"/>
        <v>-169371.71604229015</v>
      </c>
      <c r="F92" s="449">
        <f t="shared" si="9"/>
        <v>-0.48334012549795585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247</v>
      </c>
      <c r="D93" s="456">
        <v>99</v>
      </c>
      <c r="E93" s="456">
        <f t="shared" si="8"/>
        <v>-148</v>
      </c>
      <c r="F93" s="449">
        <f t="shared" si="9"/>
        <v>-0.59919028340080971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8.6801619433198383</v>
      </c>
      <c r="D94" s="499">
        <f>IF(LN_IC11=0,0,LN_IC2/LN_IC11)</f>
        <v>0.20202020202020202</v>
      </c>
      <c r="E94" s="499">
        <f t="shared" si="8"/>
        <v>-8.4781417412996358</v>
      </c>
      <c r="F94" s="449">
        <f t="shared" si="9"/>
        <v>-0.97672621739785914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5.145833333333333</v>
      </c>
      <c r="D95" s="466">
        <f>IF(LN_IC4=0,0,LN_IC11/LN_IC4)</f>
        <v>3.8076923076923075</v>
      </c>
      <c r="E95" s="466">
        <f t="shared" si="8"/>
        <v>-1.3381410256410255</v>
      </c>
      <c r="F95" s="449">
        <f t="shared" si="9"/>
        <v>-0.26004360012457178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4527588</v>
      </c>
      <c r="D98" s="448">
        <v>3420569</v>
      </c>
      <c r="E98" s="448">
        <f t="shared" ref="E98:E106" si="10">D98-C98</f>
        <v>-1107019</v>
      </c>
      <c r="F98" s="449">
        <f t="shared" ref="F98:F106" si="11">IF(C98=0,0,E98/C98)</f>
        <v>-0.244505242084748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175163</v>
      </c>
      <c r="D99" s="448">
        <v>247084</v>
      </c>
      <c r="E99" s="448">
        <f t="shared" si="10"/>
        <v>71921</v>
      </c>
      <c r="F99" s="449">
        <f t="shared" si="11"/>
        <v>0.4105947032192872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3.8687928318566087E-2</v>
      </c>
      <c r="D100" s="453">
        <f>IF(LN_IC14=0,0,LN_IC15/LN_IC14)</f>
        <v>7.2234765619404256E-2</v>
      </c>
      <c r="E100" s="454">
        <f t="shared" si="10"/>
        <v>3.354683730083817E-2</v>
      </c>
      <c r="F100" s="449">
        <f t="shared" si="11"/>
        <v>0.86711381970637236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4.3258270983078244</v>
      </c>
      <c r="D101" s="453">
        <f>IF(LN_IC1=0,0,LN_IC14/LN_IC1)</f>
        <v>4.2648678235586024</v>
      </c>
      <c r="E101" s="454">
        <f t="shared" si="10"/>
        <v>-6.0959274749222025E-2</v>
      </c>
      <c r="F101" s="449">
        <f t="shared" si="11"/>
        <v>-1.409193510602124E-2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207.63970071877557</v>
      </c>
      <c r="D102" s="463">
        <f>LN_IC17*LN_IC4</f>
        <v>110.88656341252366</v>
      </c>
      <c r="E102" s="463">
        <f t="shared" si="10"/>
        <v>-96.753137306251915</v>
      </c>
      <c r="F102" s="449">
        <f t="shared" si="11"/>
        <v>-0.46596646484909487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843.59108298484023</v>
      </c>
      <c r="D103" s="465">
        <f>IF(LN_IC18=0,0,LN_IC15/LN_IC18)</f>
        <v>2228.2591541843567</v>
      </c>
      <c r="E103" s="465">
        <f t="shared" si="10"/>
        <v>1384.6680711995164</v>
      </c>
      <c r="F103" s="449">
        <f t="shared" si="11"/>
        <v>1.6413972351393378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11541.689654166667</v>
      </c>
      <c r="D104" s="465">
        <f>LN_IB18-LN_IC19</f>
        <v>12209.068833984449</v>
      </c>
      <c r="E104" s="465">
        <f t="shared" si="10"/>
        <v>667.37917981778264</v>
      </c>
      <c r="F104" s="449">
        <f t="shared" si="11"/>
        <v>5.7823351676836332E-2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5856.6362784745761</v>
      </c>
      <c r="D105" s="465">
        <f>LN_IA16-LN_IC19</f>
        <v>4366.0962674604125</v>
      </c>
      <c r="E105" s="465">
        <f t="shared" si="10"/>
        <v>-1490.5400110141636</v>
      </c>
      <c r="F105" s="449">
        <f t="shared" si="11"/>
        <v>-0.25450445275088701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1216070.2040811845</v>
      </c>
      <c r="D106" s="448">
        <f>LN_IC21*LN_IC18</f>
        <v>484141.41062693187</v>
      </c>
      <c r="E106" s="448">
        <f t="shared" si="10"/>
        <v>-731928.79345425265</v>
      </c>
      <c r="F106" s="449">
        <f t="shared" si="11"/>
        <v>-0.60188037746329759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5574229</v>
      </c>
      <c r="D109" s="448">
        <f>LN_IC1+LN_IC14</f>
        <v>4222603</v>
      </c>
      <c r="E109" s="448">
        <f>D109-C109</f>
        <v>-1351626</v>
      </c>
      <c r="F109" s="449">
        <f>IF(C109=0,0,E109/C109)</f>
        <v>-0.24247765924220194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177307</v>
      </c>
      <c r="D110" s="448">
        <f>LN_IC2+LN_IC15</f>
        <v>247104</v>
      </c>
      <c r="E110" s="448">
        <f>D110-C110</f>
        <v>69797</v>
      </c>
      <c r="F110" s="449">
        <f>IF(C110=0,0,E110/C110)</f>
        <v>0.39365056089156097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5396922</v>
      </c>
      <c r="D111" s="448">
        <f>LN_IC23-LN_IC24</f>
        <v>3975499</v>
      </c>
      <c r="E111" s="448">
        <f>D111-C111</f>
        <v>-1421423</v>
      </c>
      <c r="F111" s="449">
        <f>IF(C111=0,0,E111/C111)</f>
        <v>-0.26337660614698527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1566489.5198121034</v>
      </c>
      <c r="D113" s="448">
        <f>LN_IC10+LN_IC22</f>
        <v>665189.01031556062</v>
      </c>
      <c r="E113" s="448">
        <f>D113-C113</f>
        <v>-901300.50949654274</v>
      </c>
      <c r="F113" s="449">
        <f>IF(C113=0,0,E113/C113)</f>
        <v>-0.57536325528986088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8608391</v>
      </c>
      <c r="D118" s="448">
        <v>9643810</v>
      </c>
      <c r="E118" s="448">
        <f t="shared" ref="E118:E130" si="12">D118-C118</f>
        <v>1035419</v>
      </c>
      <c r="F118" s="449">
        <f t="shared" ref="F118:F130" si="13">IF(C118=0,0,E118/C118)</f>
        <v>0.12028020102711412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2156151</v>
      </c>
      <c r="D119" s="448">
        <v>1676207</v>
      </c>
      <c r="E119" s="448">
        <f t="shared" si="12"/>
        <v>-479944</v>
      </c>
      <c r="F119" s="449">
        <f t="shared" si="13"/>
        <v>-0.22259294455722256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0.2504708487335206</v>
      </c>
      <c r="D120" s="453">
        <f>IF(LN_ID1=0,0,LN_1D2/LN_ID1)</f>
        <v>0.17381169890323431</v>
      </c>
      <c r="E120" s="454">
        <f t="shared" si="12"/>
        <v>-7.6659149830286294E-2</v>
      </c>
      <c r="F120" s="449">
        <f t="shared" si="13"/>
        <v>-0.30606016715280515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292</v>
      </c>
      <c r="D121" s="456">
        <v>317</v>
      </c>
      <c r="E121" s="456">
        <f t="shared" si="12"/>
        <v>25</v>
      </c>
      <c r="F121" s="449">
        <f t="shared" si="13"/>
        <v>8.5616438356164379E-2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1.42516</v>
      </c>
      <c r="D122" s="459">
        <v>1.3605</v>
      </c>
      <c r="E122" s="460">
        <f t="shared" si="12"/>
        <v>-6.465999999999994E-2</v>
      </c>
      <c r="F122" s="449">
        <f t="shared" si="13"/>
        <v>-4.5370344382385096E-2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416.14672000000002</v>
      </c>
      <c r="D123" s="463">
        <f>LN_ID4*LN_ID5</f>
        <v>431.27850000000001</v>
      </c>
      <c r="E123" s="463">
        <f t="shared" si="12"/>
        <v>15.131779999999992</v>
      </c>
      <c r="F123" s="449">
        <f t="shared" si="13"/>
        <v>3.6361646680766802E-2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5181.2279092335511</v>
      </c>
      <c r="D124" s="465">
        <f>IF(LN_ID6=0,0,LN_1D2/LN_ID6)</f>
        <v>3886.5999580317589</v>
      </c>
      <c r="E124" s="465">
        <f t="shared" si="12"/>
        <v>-1294.6279512017923</v>
      </c>
      <c r="F124" s="449">
        <f t="shared" si="13"/>
        <v>-0.24986894494538922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2083.1649945735307</v>
      </c>
      <c r="D125" s="465">
        <f>LN_IB7-LN_ID7</f>
        <v>4728.6607886145957</v>
      </c>
      <c r="E125" s="465">
        <f t="shared" si="12"/>
        <v>2645.495794041065</v>
      </c>
      <c r="F125" s="449">
        <f t="shared" si="13"/>
        <v>1.2699405956476604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1020.0731931671426</v>
      </c>
      <c r="D126" s="465">
        <f>LN_IA7-LN_ID7</f>
        <v>2460.3022516402793</v>
      </c>
      <c r="E126" s="465">
        <f t="shared" si="12"/>
        <v>1440.2290584731368</v>
      </c>
      <c r="F126" s="449">
        <f t="shared" si="13"/>
        <v>1.4118879587468487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424500.11349643278</v>
      </c>
      <c r="D127" s="479">
        <f>LN_ID9*LN_ID6</f>
        <v>1061075.4646340422</v>
      </c>
      <c r="E127" s="479">
        <f t="shared" si="12"/>
        <v>636575.35113760945</v>
      </c>
      <c r="F127" s="449">
        <f t="shared" si="13"/>
        <v>1.4995881765363976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1422</v>
      </c>
      <c r="D128" s="456">
        <v>1373</v>
      </c>
      <c r="E128" s="456">
        <f t="shared" si="12"/>
        <v>-49</v>
      </c>
      <c r="F128" s="449">
        <f t="shared" si="13"/>
        <v>-3.4458509142053444E-2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1516.2805907172997</v>
      </c>
      <c r="D129" s="465">
        <f>IF(LN_ID11=0,0,LN_1D2/LN_ID11)</f>
        <v>1220.835396941005</v>
      </c>
      <c r="E129" s="465">
        <f t="shared" si="12"/>
        <v>-295.44519377629467</v>
      </c>
      <c r="F129" s="449">
        <f t="shared" si="13"/>
        <v>-0.19484862866742217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4.8698630136986303</v>
      </c>
      <c r="D130" s="466">
        <f>IF(LN_ID4=0,0,LN_ID11/LN_ID4)</f>
        <v>4.3312302839116716</v>
      </c>
      <c r="E130" s="466">
        <f t="shared" si="12"/>
        <v>-0.53863272978695864</v>
      </c>
      <c r="F130" s="449">
        <f t="shared" si="13"/>
        <v>-0.11060531441476225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27463602</v>
      </c>
      <c r="D133" s="448">
        <v>31469205</v>
      </c>
      <c r="E133" s="448">
        <f t="shared" ref="E133:E141" si="14">D133-C133</f>
        <v>4005603</v>
      </c>
      <c r="F133" s="449">
        <f t="shared" ref="F133:F141" si="15">IF(C133=0,0,E133/C133)</f>
        <v>0.14585133443165976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5234566</v>
      </c>
      <c r="D134" s="448">
        <v>5770160</v>
      </c>
      <c r="E134" s="448">
        <f t="shared" si="14"/>
        <v>535594</v>
      </c>
      <c r="F134" s="449">
        <f t="shared" si="15"/>
        <v>0.1023187022572645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0.19060012594123671</v>
      </c>
      <c r="D135" s="453">
        <f>IF(LN_ID14=0,0,LN_ID15/LN_ID14)</f>
        <v>0.18335893772975834</v>
      </c>
      <c r="E135" s="454">
        <f t="shared" si="14"/>
        <v>-7.2411882114783721E-3</v>
      </c>
      <c r="F135" s="449">
        <f t="shared" si="15"/>
        <v>-3.7991518503565309E-2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3.1903292961483745</v>
      </c>
      <c r="D136" s="453">
        <f>IF(LN_ID1=0,0,LN_ID14/LN_ID1)</f>
        <v>3.2631506634825862</v>
      </c>
      <c r="E136" s="454">
        <f t="shared" si="14"/>
        <v>7.282136733421174E-2</v>
      </c>
      <c r="F136" s="449">
        <f t="shared" si="15"/>
        <v>2.2825658599608393E-2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931.57615447532532</v>
      </c>
      <c r="D137" s="463">
        <f>LN_ID17*LN_ID4</f>
        <v>1034.4187603239798</v>
      </c>
      <c r="E137" s="463">
        <f t="shared" si="14"/>
        <v>102.84260584865444</v>
      </c>
      <c r="F137" s="449">
        <f t="shared" si="15"/>
        <v>0.11039634854820496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5619.0424957240011</v>
      </c>
      <c r="D138" s="465">
        <f>IF(LN_ID18=0,0,LN_ID15/LN_ID18)</f>
        <v>5578.1664267117376</v>
      </c>
      <c r="E138" s="465">
        <f t="shared" si="14"/>
        <v>-40.876069012263542</v>
      </c>
      <c r="F138" s="449">
        <f t="shared" si="15"/>
        <v>-7.2745612875093147E-3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6766.2382414275053</v>
      </c>
      <c r="D139" s="465">
        <f>LN_IB18-LN_ID19</f>
        <v>8859.1615614570674</v>
      </c>
      <c r="E139" s="465">
        <f t="shared" si="14"/>
        <v>2092.9233200295621</v>
      </c>
      <c r="F139" s="449">
        <f t="shared" si="15"/>
        <v>0.30931859703302556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1081.1848657354149</v>
      </c>
      <c r="D140" s="465">
        <f>LN_IA16-LN_ID19</f>
        <v>1016.1889949330316</v>
      </c>
      <c r="E140" s="465">
        <f t="shared" si="14"/>
        <v>-64.995870802383251</v>
      </c>
      <c r="F140" s="449">
        <f t="shared" si="15"/>
        <v>-6.0115409364497059E-2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1007206.0394987187</v>
      </c>
      <c r="D141" s="441">
        <f>LN_ID21*LN_ID18</f>
        <v>1051164.9603934975</v>
      </c>
      <c r="E141" s="441">
        <f t="shared" si="14"/>
        <v>43958.920894778799</v>
      </c>
      <c r="F141" s="449">
        <f t="shared" si="15"/>
        <v>4.3644417498386857E-2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36071993</v>
      </c>
      <c r="D144" s="448">
        <f>LN_ID1+LN_ID14</f>
        <v>41113015</v>
      </c>
      <c r="E144" s="448">
        <f>D144-C144</f>
        <v>5041022</v>
      </c>
      <c r="F144" s="449">
        <f>IF(C144=0,0,E144/C144)</f>
        <v>0.13974891822583799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7390717</v>
      </c>
      <c r="D145" s="448">
        <f>LN_1D2+LN_ID15</f>
        <v>7446367</v>
      </c>
      <c r="E145" s="448">
        <f>D145-C145</f>
        <v>55650</v>
      </c>
      <c r="F145" s="449">
        <f>IF(C145=0,0,E145/C145)</f>
        <v>7.5297159937256428E-3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28681276</v>
      </c>
      <c r="D146" s="448">
        <f>LN_ID23-LN_ID24</f>
        <v>33666648</v>
      </c>
      <c r="E146" s="448">
        <f>D146-C146</f>
        <v>4985372</v>
      </c>
      <c r="F146" s="449">
        <f>IF(C146=0,0,E146/C146)</f>
        <v>0.17381974218999183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1431706.1529951515</v>
      </c>
      <c r="D148" s="448">
        <f>LN_ID10+LN_ID22</f>
        <v>2112240.42502754</v>
      </c>
      <c r="E148" s="448">
        <f>D148-C148</f>
        <v>680534.27203238849</v>
      </c>
      <c r="F148" s="503">
        <f>IF(C148=0,0,E148/C148)</f>
        <v>0.47533096830568217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7264.3929038070819</v>
      </c>
      <c r="D160" s="465">
        <f>LN_IB7-LN_IE7</f>
        <v>8615.2607466463542</v>
      </c>
      <c r="E160" s="465">
        <f t="shared" si="16"/>
        <v>1350.8678428392723</v>
      </c>
      <c r="F160" s="449">
        <f t="shared" si="17"/>
        <v>0.18595743109259924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6201.3011024006937</v>
      </c>
      <c r="D161" s="465">
        <f>LN_IA7-LN_IE7</f>
        <v>6346.9022096720382</v>
      </c>
      <c r="E161" s="465">
        <f t="shared" si="16"/>
        <v>145.60110727134452</v>
      </c>
      <c r="F161" s="449">
        <f t="shared" si="17"/>
        <v>2.3479122343370545E-2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12385.280737151506</v>
      </c>
      <c r="D174" s="465">
        <f>LN_IB18-LN_IE19</f>
        <v>14437.327988168805</v>
      </c>
      <c r="E174" s="465">
        <f t="shared" si="18"/>
        <v>2052.0472510172985</v>
      </c>
      <c r="F174" s="449">
        <f t="shared" si="19"/>
        <v>0.16568435504751017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6700.227361459416</v>
      </c>
      <c r="D175" s="465">
        <f>LN_IA16-LN_IE19</f>
        <v>6594.3554216447692</v>
      </c>
      <c r="E175" s="465">
        <f t="shared" si="18"/>
        <v>-105.87193981464679</v>
      </c>
      <c r="F175" s="449">
        <f t="shared" si="19"/>
        <v>-1.580124585378043E-2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8608391</v>
      </c>
      <c r="D188" s="448">
        <f>LN_ID1+LN_IE1</f>
        <v>9643810</v>
      </c>
      <c r="E188" s="448">
        <f t="shared" ref="E188:E200" si="20">D188-C188</f>
        <v>1035419</v>
      </c>
      <c r="F188" s="449">
        <f t="shared" ref="F188:F200" si="21">IF(C188=0,0,E188/C188)</f>
        <v>0.12028020102711412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2156151</v>
      </c>
      <c r="D189" s="448">
        <f>LN_1D2+LN_IE2</f>
        <v>1676207</v>
      </c>
      <c r="E189" s="448">
        <f t="shared" si="20"/>
        <v>-479944</v>
      </c>
      <c r="F189" s="449">
        <f t="shared" si="21"/>
        <v>-0.22259294455722256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0.2504708487335206</v>
      </c>
      <c r="D190" s="453">
        <f>IF(LN_IF1=0,0,LN_IF2/LN_IF1)</f>
        <v>0.17381169890323431</v>
      </c>
      <c r="E190" s="454">
        <f t="shared" si="20"/>
        <v>-7.6659149830286294E-2</v>
      </c>
      <c r="F190" s="449">
        <f t="shared" si="21"/>
        <v>-0.30606016715280515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292</v>
      </c>
      <c r="D191" s="456">
        <f>LN_ID4+LN_IE4</f>
        <v>317</v>
      </c>
      <c r="E191" s="456">
        <f t="shared" si="20"/>
        <v>25</v>
      </c>
      <c r="F191" s="449">
        <f t="shared" si="21"/>
        <v>8.5616438356164379E-2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1.42516</v>
      </c>
      <c r="D192" s="459">
        <f>IF((LN_ID4+LN_IE4)=0,0,(LN_ID6+LN_IE6)/(LN_ID4+LN_IE4))</f>
        <v>1.3605</v>
      </c>
      <c r="E192" s="460">
        <f t="shared" si="20"/>
        <v>-6.465999999999994E-2</v>
      </c>
      <c r="F192" s="449">
        <f t="shared" si="21"/>
        <v>-4.5370344382385096E-2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416.14672000000002</v>
      </c>
      <c r="D193" s="463">
        <f>LN_IF4*LN_IF5</f>
        <v>431.27850000000001</v>
      </c>
      <c r="E193" s="463">
        <f t="shared" si="20"/>
        <v>15.131779999999992</v>
      </c>
      <c r="F193" s="449">
        <f t="shared" si="21"/>
        <v>3.6361646680766802E-2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5181.2279092335511</v>
      </c>
      <c r="D194" s="465">
        <f>IF(LN_IF6=0,0,LN_IF2/LN_IF6)</f>
        <v>3886.5999580317589</v>
      </c>
      <c r="E194" s="465">
        <f t="shared" si="20"/>
        <v>-1294.6279512017923</v>
      </c>
      <c r="F194" s="449">
        <f t="shared" si="21"/>
        <v>-0.24986894494538922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2083.1649945735307</v>
      </c>
      <c r="D195" s="465">
        <f>LN_IB7-LN_IF7</f>
        <v>4728.6607886145957</v>
      </c>
      <c r="E195" s="465">
        <f t="shared" si="20"/>
        <v>2645.495794041065</v>
      </c>
      <c r="F195" s="449">
        <f t="shared" si="21"/>
        <v>1.2699405956476604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1020.0731931671426</v>
      </c>
      <c r="D196" s="465">
        <f>LN_IA7-LN_IF7</f>
        <v>2460.3022516402793</v>
      </c>
      <c r="E196" s="465">
        <f t="shared" si="20"/>
        <v>1440.2290584731368</v>
      </c>
      <c r="F196" s="449">
        <f t="shared" si="21"/>
        <v>1.4118879587468487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424500.11349643278</v>
      </c>
      <c r="D197" s="479">
        <f>LN_IF9*LN_IF6</f>
        <v>1061075.4646340422</v>
      </c>
      <c r="E197" s="479">
        <f t="shared" si="20"/>
        <v>636575.35113760945</v>
      </c>
      <c r="F197" s="449">
        <f t="shared" si="21"/>
        <v>1.4995881765363976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1422</v>
      </c>
      <c r="D198" s="456">
        <f>LN_ID11+LN_IE11</f>
        <v>1373</v>
      </c>
      <c r="E198" s="456">
        <f t="shared" si="20"/>
        <v>-49</v>
      </c>
      <c r="F198" s="449">
        <f t="shared" si="21"/>
        <v>-3.4458509142053444E-2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1516.2805907172997</v>
      </c>
      <c r="D199" s="519">
        <f>IF(LN_IF11=0,0,LN_IF2/LN_IF11)</f>
        <v>1220.835396941005</v>
      </c>
      <c r="E199" s="519">
        <f t="shared" si="20"/>
        <v>-295.44519377629467</v>
      </c>
      <c r="F199" s="449">
        <f t="shared" si="21"/>
        <v>-0.19484862866742217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4.8698630136986303</v>
      </c>
      <c r="D200" s="466">
        <f>IF(LN_IF4=0,0,LN_IF11/LN_IF4)</f>
        <v>4.3312302839116716</v>
      </c>
      <c r="E200" s="466">
        <f t="shared" si="20"/>
        <v>-0.53863272978695864</v>
      </c>
      <c r="F200" s="449">
        <f t="shared" si="21"/>
        <v>-0.11060531441476225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27463602</v>
      </c>
      <c r="D203" s="448">
        <f>LN_ID14+LN_IE14</f>
        <v>31469205</v>
      </c>
      <c r="E203" s="448">
        <f t="shared" ref="E203:E211" si="22">D203-C203</f>
        <v>4005603</v>
      </c>
      <c r="F203" s="449">
        <f t="shared" ref="F203:F211" si="23">IF(C203=0,0,E203/C203)</f>
        <v>0.14585133443165976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5234566</v>
      </c>
      <c r="D204" s="448">
        <f>LN_ID15+LN_IE15</f>
        <v>5770160</v>
      </c>
      <c r="E204" s="448">
        <f t="shared" si="22"/>
        <v>535594</v>
      </c>
      <c r="F204" s="449">
        <f t="shared" si="23"/>
        <v>0.1023187022572645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0.19060012594123671</v>
      </c>
      <c r="D205" s="453">
        <f>IF(LN_IF14=0,0,LN_IF15/LN_IF14)</f>
        <v>0.18335893772975834</v>
      </c>
      <c r="E205" s="454">
        <f t="shared" si="22"/>
        <v>-7.2411882114783721E-3</v>
      </c>
      <c r="F205" s="449">
        <f t="shared" si="23"/>
        <v>-3.7991518503565309E-2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3.1903292961483745</v>
      </c>
      <c r="D206" s="453">
        <f>IF(LN_IF1=0,0,LN_IF14/LN_IF1)</f>
        <v>3.2631506634825862</v>
      </c>
      <c r="E206" s="454">
        <f t="shared" si="22"/>
        <v>7.282136733421174E-2</v>
      </c>
      <c r="F206" s="449">
        <f t="shared" si="23"/>
        <v>2.2825658599608393E-2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931.57615447532532</v>
      </c>
      <c r="D207" s="463">
        <f>LN_ID18+LN_IE18</f>
        <v>1034.4187603239798</v>
      </c>
      <c r="E207" s="463">
        <f t="shared" si="22"/>
        <v>102.84260584865444</v>
      </c>
      <c r="F207" s="449">
        <f t="shared" si="23"/>
        <v>0.11039634854820496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5619.0424957240011</v>
      </c>
      <c r="D208" s="465">
        <f>IF(LN_IF18=0,0,LN_IF15/LN_IF18)</f>
        <v>5578.1664267117376</v>
      </c>
      <c r="E208" s="465">
        <f t="shared" si="22"/>
        <v>-40.876069012263542</v>
      </c>
      <c r="F208" s="449">
        <f t="shared" si="23"/>
        <v>-7.2745612875093147E-3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6766.2382414275053</v>
      </c>
      <c r="D209" s="465">
        <f>LN_IB18-LN_IF19</f>
        <v>8859.1615614570674</v>
      </c>
      <c r="E209" s="465">
        <f t="shared" si="22"/>
        <v>2092.9233200295621</v>
      </c>
      <c r="F209" s="449">
        <f t="shared" si="23"/>
        <v>0.30931859703302556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1081.1848657354149</v>
      </c>
      <c r="D210" s="465">
        <f>LN_IA16-LN_IF19</f>
        <v>1016.1889949330316</v>
      </c>
      <c r="E210" s="465">
        <f t="shared" si="22"/>
        <v>-64.995870802383251</v>
      </c>
      <c r="F210" s="449">
        <f t="shared" si="23"/>
        <v>-6.0115409364497059E-2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1007206.0394987187</v>
      </c>
      <c r="D211" s="441">
        <f>LN_IF21*LN_IF18</f>
        <v>1051164.9603934975</v>
      </c>
      <c r="E211" s="441">
        <f t="shared" si="22"/>
        <v>43958.920894778799</v>
      </c>
      <c r="F211" s="449">
        <f t="shared" si="23"/>
        <v>4.3644417498386857E-2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36071993</v>
      </c>
      <c r="D214" s="448">
        <f>LN_IF1+LN_IF14</f>
        <v>41113015</v>
      </c>
      <c r="E214" s="448">
        <f>D214-C214</f>
        <v>5041022</v>
      </c>
      <c r="F214" s="449">
        <f>IF(C214=0,0,E214/C214)</f>
        <v>0.13974891822583799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7390717</v>
      </c>
      <c r="D215" s="448">
        <f>LN_IF2+LN_IF15</f>
        <v>7446367</v>
      </c>
      <c r="E215" s="448">
        <f>D215-C215</f>
        <v>55650</v>
      </c>
      <c r="F215" s="449">
        <f>IF(C215=0,0,E215/C215)</f>
        <v>7.5297159937256428E-3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28681276</v>
      </c>
      <c r="D216" s="448">
        <f>LN_IF23-LN_IF24</f>
        <v>33666648</v>
      </c>
      <c r="E216" s="448">
        <f>D216-C216</f>
        <v>4985372</v>
      </c>
      <c r="F216" s="449">
        <f>IF(C216=0,0,E216/C216)</f>
        <v>0.17381974218999183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147747</v>
      </c>
      <c r="D221" s="448">
        <v>366000</v>
      </c>
      <c r="E221" s="448">
        <f t="shared" ref="E221:E230" si="24">D221-C221</f>
        <v>218253</v>
      </c>
      <c r="F221" s="449">
        <f t="shared" ref="F221:F230" si="25">IF(C221=0,0,E221/C221)</f>
        <v>1.4772076590387622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77114</v>
      </c>
      <c r="D222" s="448">
        <v>89721</v>
      </c>
      <c r="E222" s="448">
        <f t="shared" si="24"/>
        <v>12607</v>
      </c>
      <c r="F222" s="449">
        <f t="shared" si="25"/>
        <v>0.16348522965998391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0.52193276344020523</v>
      </c>
      <c r="D223" s="453">
        <f>IF(LN_IG1=0,0,LN_IG2/LN_IG1)</f>
        <v>0.24513934426229508</v>
      </c>
      <c r="E223" s="454">
        <f t="shared" si="24"/>
        <v>-0.27679341917791012</v>
      </c>
      <c r="F223" s="449">
        <f t="shared" si="25"/>
        <v>-0.53032390102029059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7</v>
      </c>
      <c r="D224" s="456">
        <v>11</v>
      </c>
      <c r="E224" s="456">
        <f t="shared" si="24"/>
        <v>4</v>
      </c>
      <c r="F224" s="449">
        <f t="shared" si="25"/>
        <v>0.5714285714285714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1.70347</v>
      </c>
      <c r="D225" s="459">
        <v>1.3385899999999999</v>
      </c>
      <c r="E225" s="460">
        <f t="shared" si="24"/>
        <v>-0.36488000000000009</v>
      </c>
      <c r="F225" s="449">
        <f t="shared" si="25"/>
        <v>-0.2141980780407052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11.924290000000001</v>
      </c>
      <c r="D226" s="463">
        <f>LN_IG3*LN_IG4</f>
        <v>14.724489999999999</v>
      </c>
      <c r="E226" s="463">
        <f t="shared" si="24"/>
        <v>2.8001999999999985</v>
      </c>
      <c r="F226" s="449">
        <f t="shared" si="25"/>
        <v>0.23483159165032033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6466.9678446263879</v>
      </c>
      <c r="D227" s="465">
        <f>IF(LN_IG5=0,0,LN_IG2/LN_IG5)</f>
        <v>6093.3180028646157</v>
      </c>
      <c r="E227" s="465">
        <f t="shared" si="24"/>
        <v>-373.64984176177222</v>
      </c>
      <c r="F227" s="449">
        <f t="shared" si="25"/>
        <v>-5.7778212407882917E-2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18</v>
      </c>
      <c r="D228" s="456">
        <v>43</v>
      </c>
      <c r="E228" s="456">
        <f t="shared" si="24"/>
        <v>25</v>
      </c>
      <c r="F228" s="449">
        <f t="shared" si="25"/>
        <v>1.3888888888888888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4284.1111111111113</v>
      </c>
      <c r="D229" s="465">
        <f>IF(LN_IG6=0,0,LN_IG2/LN_IG6)</f>
        <v>2086.5348837209303</v>
      </c>
      <c r="E229" s="465">
        <f t="shared" si="24"/>
        <v>-2197.576227390181</v>
      </c>
      <c r="F229" s="449">
        <f t="shared" si="25"/>
        <v>-0.51295967130512299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2.5714285714285716</v>
      </c>
      <c r="D230" s="466">
        <f>IF(LN_IG3=0,0,LN_IG6/LN_IG3)</f>
        <v>3.9090909090909092</v>
      </c>
      <c r="E230" s="466">
        <f t="shared" si="24"/>
        <v>1.3376623376623376</v>
      </c>
      <c r="F230" s="449">
        <f t="shared" si="25"/>
        <v>0.52020202020202011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699623</v>
      </c>
      <c r="D233" s="448">
        <v>1023970</v>
      </c>
      <c r="E233" s="448">
        <f>D233-C233</f>
        <v>324347</v>
      </c>
      <c r="F233" s="449">
        <f>IF(C233=0,0,E233/C233)</f>
        <v>0.46360254022523562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176483</v>
      </c>
      <c r="D234" s="448">
        <v>203932</v>
      </c>
      <c r="E234" s="448">
        <f>D234-C234</f>
        <v>27449</v>
      </c>
      <c r="F234" s="449">
        <f>IF(C234=0,0,E234/C234)</f>
        <v>0.15553339415127804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847370</v>
      </c>
      <c r="D237" s="448">
        <f>LN_IG1+LN_IG9</f>
        <v>1389970</v>
      </c>
      <c r="E237" s="448">
        <f>D237-C237</f>
        <v>542600</v>
      </c>
      <c r="F237" s="449">
        <f>IF(C237=0,0,E237/C237)</f>
        <v>0.64033421055737161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253597</v>
      </c>
      <c r="D238" s="448">
        <f>LN_IG2+LN_IG10</f>
        <v>293653</v>
      </c>
      <c r="E238" s="448">
        <f>D238-C238</f>
        <v>40056</v>
      </c>
      <c r="F238" s="449">
        <f>IF(C238=0,0,E238/C238)</f>
        <v>0.15795139532407718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593773</v>
      </c>
      <c r="D239" s="448">
        <f>LN_IG13-LN_IG14</f>
        <v>1096317</v>
      </c>
      <c r="E239" s="448">
        <f>D239-C239</f>
        <v>502544</v>
      </c>
      <c r="F239" s="449">
        <f>IF(C239=0,0,E239/C239)</f>
        <v>0.84635710953512533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6078316</v>
      </c>
      <c r="D243" s="448">
        <v>6391666</v>
      </c>
      <c r="E243" s="441">
        <f>D243-C243</f>
        <v>313350</v>
      </c>
      <c r="F243" s="503">
        <f>IF(C243=0,0,E243/C243)</f>
        <v>5.1552107524518304E-2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71670098</v>
      </c>
      <c r="D244" s="448">
        <v>72159655</v>
      </c>
      <c r="E244" s="441">
        <f>D244-C244</f>
        <v>489557</v>
      </c>
      <c r="F244" s="503">
        <f>IF(C244=0,0,E244/C244)</f>
        <v>6.8307008593737374E-3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1271767</v>
      </c>
      <c r="D248" s="441">
        <v>1188543</v>
      </c>
      <c r="E248" s="441">
        <f>D248-C248</f>
        <v>-83224</v>
      </c>
      <c r="F248" s="449">
        <f>IF(C248=0,0,E248/C248)</f>
        <v>-6.5439659937708713E-2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4127214</v>
      </c>
      <c r="D249" s="441">
        <v>2801283</v>
      </c>
      <c r="E249" s="441">
        <f>D249-C249</f>
        <v>-1325931</v>
      </c>
      <c r="F249" s="449">
        <f>IF(C249=0,0,E249/C249)</f>
        <v>-0.32126538628721457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5398981</v>
      </c>
      <c r="D250" s="441">
        <f>LN_IH4+LN_IH5</f>
        <v>3989826</v>
      </c>
      <c r="E250" s="441">
        <f>D250-C250</f>
        <v>-1409155</v>
      </c>
      <c r="F250" s="449">
        <f>IF(C250=0,0,E250/C250)</f>
        <v>-0.2610038820288495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1567261.1051546992</v>
      </c>
      <c r="D251" s="441">
        <f>LN_IH6*LN_III10</f>
        <v>1154337.6548981031</v>
      </c>
      <c r="E251" s="441">
        <f>D251-C251</f>
        <v>-412923.45025659609</v>
      </c>
      <c r="F251" s="449">
        <f>IF(C251=0,0,E251/C251)</f>
        <v>-0.26346819231237018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36071993</v>
      </c>
      <c r="D254" s="441">
        <f>LN_IF23</f>
        <v>41113015</v>
      </c>
      <c r="E254" s="441">
        <f>D254-C254</f>
        <v>5041022</v>
      </c>
      <c r="F254" s="449">
        <f>IF(C254=0,0,E254/C254)</f>
        <v>0.13974891822583799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7390717</v>
      </c>
      <c r="D255" s="441">
        <f>LN_IF24</f>
        <v>7446367</v>
      </c>
      <c r="E255" s="441">
        <f>D255-C255</f>
        <v>55650</v>
      </c>
      <c r="F255" s="449">
        <f>IF(C255=0,0,E255/C255)</f>
        <v>7.5297159937256428E-3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10471278.119762335</v>
      </c>
      <c r="D256" s="441">
        <f>LN_IH8*LN_III10</f>
        <v>11894829.829894971</v>
      </c>
      <c r="E256" s="441">
        <f>D256-C256</f>
        <v>1423551.7101326361</v>
      </c>
      <c r="F256" s="449">
        <f>IF(C256=0,0,E256/C256)</f>
        <v>0.13594822846372323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3080561.119762335</v>
      </c>
      <c r="D257" s="441">
        <f>LN_IH10-LN_IH9</f>
        <v>4448462.8298949711</v>
      </c>
      <c r="E257" s="441">
        <f>D257-C257</f>
        <v>1367901.7101326361</v>
      </c>
      <c r="F257" s="449">
        <f>IF(C257=0,0,E257/C257)</f>
        <v>0.44404303532798262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79250360</v>
      </c>
      <c r="D261" s="448">
        <f>LN_IA1+LN_IB1+LN_IF1+LN_IG1</f>
        <v>76888784</v>
      </c>
      <c r="E261" s="448">
        <f t="shared" ref="E261:E274" si="26">D261-C261</f>
        <v>-2361576</v>
      </c>
      <c r="F261" s="503">
        <f t="shared" ref="F261:F274" si="27">IF(C261=0,0,E261/C261)</f>
        <v>-2.9798930881828171E-2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25628468</v>
      </c>
      <c r="D262" s="448">
        <f>+LN_IA2+LN_IB2+LN_IF2+LN_IG2</f>
        <v>23785742</v>
      </c>
      <c r="E262" s="448">
        <f t="shared" si="26"/>
        <v>-1842726</v>
      </c>
      <c r="F262" s="503">
        <f t="shared" si="27"/>
        <v>-7.1901527629353423E-2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0.3233861398232134</v>
      </c>
      <c r="D263" s="453">
        <f>IF(LN_IIA1=0,0,LN_IIA2/LN_IIA1)</f>
        <v>0.30935255784510779</v>
      </c>
      <c r="E263" s="454">
        <f t="shared" si="26"/>
        <v>-1.4033581978105614E-2</v>
      </c>
      <c r="F263" s="458">
        <f t="shared" si="27"/>
        <v>-4.3395743508912905E-2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2567</v>
      </c>
      <c r="D264" s="456">
        <f>LN_IA4+LN_IB4+LN_IF4+LN_IG3</f>
        <v>2341</v>
      </c>
      <c r="E264" s="456">
        <f t="shared" si="26"/>
        <v>-226</v>
      </c>
      <c r="F264" s="503">
        <f t="shared" si="27"/>
        <v>-8.8040514218932608E-2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1.5737738994935724</v>
      </c>
      <c r="D265" s="525">
        <f>IF(LN_IIA4=0,0,LN_IIA6/LN_IIA4)</f>
        <v>1.5519986544211875</v>
      </c>
      <c r="E265" s="525">
        <f t="shared" si="26"/>
        <v>-2.177524507238493E-2</v>
      </c>
      <c r="F265" s="503">
        <f t="shared" si="27"/>
        <v>-1.3836323679908547E-2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4039.8776000000003</v>
      </c>
      <c r="D266" s="463">
        <f>LN_IA6+LN_IB6+LN_IF6+LN_IG5</f>
        <v>3633.22885</v>
      </c>
      <c r="E266" s="463">
        <f t="shared" si="26"/>
        <v>-406.64875000000029</v>
      </c>
      <c r="F266" s="503">
        <f t="shared" si="27"/>
        <v>-0.10065868084716237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143414268</v>
      </c>
      <c r="D267" s="448">
        <f>LN_IA11+LN_IB13+LN_IF14+LN_IG9</f>
        <v>150411288</v>
      </c>
      <c r="E267" s="448">
        <f t="shared" si="26"/>
        <v>6997020</v>
      </c>
      <c r="F267" s="503">
        <f t="shared" si="27"/>
        <v>4.8788869458929983E-2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1.8096355398259389</v>
      </c>
      <c r="D268" s="453">
        <f>IF(LN_IIA1=0,0,LN_IIA7/LN_IIA1)</f>
        <v>1.9562188420095186</v>
      </c>
      <c r="E268" s="454">
        <f t="shared" si="26"/>
        <v>0.14658330218357962</v>
      </c>
      <c r="F268" s="458">
        <f t="shared" si="27"/>
        <v>8.1001560235537173E-2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44407453</v>
      </c>
      <c r="D269" s="448">
        <f>LN_IA12+LN_IB14+LN_IF15+LN_IG10</f>
        <v>45966609</v>
      </c>
      <c r="E269" s="448">
        <f t="shared" si="26"/>
        <v>1559156</v>
      </c>
      <c r="F269" s="503">
        <f t="shared" si="27"/>
        <v>3.5110232509844685E-2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0.30964459547358286</v>
      </c>
      <c r="D270" s="453">
        <f>IF(LN_IIA7=0,0,LN_IIA9/LN_IIA7)</f>
        <v>0.30560611248804675</v>
      </c>
      <c r="E270" s="454">
        <f t="shared" si="26"/>
        <v>-4.0384829855361071E-3</v>
      </c>
      <c r="F270" s="458">
        <f t="shared" si="27"/>
        <v>-1.3042317045319293E-2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222664628</v>
      </c>
      <c r="D271" s="441">
        <f>LN_IIA1+LN_IIA7</f>
        <v>227300072</v>
      </c>
      <c r="E271" s="441">
        <f t="shared" si="26"/>
        <v>4635444</v>
      </c>
      <c r="F271" s="503">
        <f t="shared" si="27"/>
        <v>2.0818052879058996E-2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70035921</v>
      </c>
      <c r="D272" s="441">
        <f>LN_IIA2+LN_IIA9</f>
        <v>69752351</v>
      </c>
      <c r="E272" s="441">
        <f t="shared" si="26"/>
        <v>-283570</v>
      </c>
      <c r="F272" s="503">
        <f t="shared" si="27"/>
        <v>-4.0489222666180115E-3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0.31453545913004199</v>
      </c>
      <c r="D273" s="453">
        <f>IF(LN_IIA11=0,0,LN_IIA12/LN_IIA11)</f>
        <v>0.3068734223718152</v>
      </c>
      <c r="E273" s="454">
        <f t="shared" si="26"/>
        <v>-7.6620367582267979E-3</v>
      </c>
      <c r="F273" s="458">
        <f t="shared" si="27"/>
        <v>-2.4359850490049181E-2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12325</v>
      </c>
      <c r="D274" s="508">
        <f>LN_IA8+LN_IB10+LN_IF11+LN_IG6</f>
        <v>11155</v>
      </c>
      <c r="E274" s="528">
        <f t="shared" si="26"/>
        <v>-1170</v>
      </c>
      <c r="F274" s="458">
        <f t="shared" si="27"/>
        <v>-9.4929006085192696E-2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63295477</v>
      </c>
      <c r="D277" s="448">
        <f>LN_IA1+LN_IF1+LN_IG1</f>
        <v>60851747</v>
      </c>
      <c r="E277" s="448">
        <f t="shared" ref="E277:E291" si="28">D277-C277</f>
        <v>-2443730</v>
      </c>
      <c r="F277" s="503">
        <f t="shared" ref="F277:F291" si="29">IF(C277=0,0,E277/C277)</f>
        <v>-3.8608287919214196E-2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18813629</v>
      </c>
      <c r="D278" s="448">
        <f>LN_IA2+LN_IF2+LN_IG2</f>
        <v>16984244</v>
      </c>
      <c r="E278" s="448">
        <f t="shared" si="28"/>
        <v>-1829385</v>
      </c>
      <c r="F278" s="503">
        <f t="shared" si="29"/>
        <v>-9.7237220952959155E-2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0.29723496672597949</v>
      </c>
      <c r="D279" s="453">
        <f>IF(D277=0,0,LN_IIB2/D277)</f>
        <v>0.27910856856747268</v>
      </c>
      <c r="E279" s="454">
        <f t="shared" si="28"/>
        <v>-1.8126398158506807E-2</v>
      </c>
      <c r="F279" s="458">
        <f t="shared" si="29"/>
        <v>-6.0983397606841822E-2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2006</v>
      </c>
      <c r="D280" s="456">
        <f>LN_IA4+LN_IF4+LN_IG3</f>
        <v>1852</v>
      </c>
      <c r="E280" s="456">
        <f t="shared" si="28"/>
        <v>-154</v>
      </c>
      <c r="F280" s="503">
        <f t="shared" si="29"/>
        <v>-7.6769690927218345E-2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1.5462423629112663</v>
      </c>
      <c r="D281" s="525">
        <f>IF(LN_IIB4=0,0,LN_IIB6/LN_IIB4)</f>
        <v>1.5355064308855291</v>
      </c>
      <c r="E281" s="525">
        <f t="shared" si="28"/>
        <v>-1.0735932025737194E-2</v>
      </c>
      <c r="F281" s="503">
        <f t="shared" si="29"/>
        <v>-6.9432401305598518E-3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3101.7621800000002</v>
      </c>
      <c r="D282" s="463">
        <f>LN_IA6+LN_IF6+LN_IG5</f>
        <v>2843.7579099999998</v>
      </c>
      <c r="E282" s="463">
        <f t="shared" si="28"/>
        <v>-258.00427000000036</v>
      </c>
      <c r="F282" s="503">
        <f t="shared" si="29"/>
        <v>-8.3179900658921682E-2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77742136</v>
      </c>
      <c r="D283" s="448">
        <f>LN_IA11+LN_IF14+LN_IG9</f>
        <v>81626942</v>
      </c>
      <c r="E283" s="448">
        <f t="shared" si="28"/>
        <v>3884806</v>
      </c>
      <c r="F283" s="503">
        <f t="shared" si="29"/>
        <v>4.9970404723636612E-2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1.2282415692988615</v>
      </c>
      <c r="D284" s="453">
        <f>IF(D277=0,0,LN_IIB7/D277)</f>
        <v>1.3414067142558783</v>
      </c>
      <c r="E284" s="454">
        <f t="shared" si="28"/>
        <v>0.11316514495701679</v>
      </c>
      <c r="F284" s="458">
        <f t="shared" si="29"/>
        <v>9.2135902077973814E-2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15808100</v>
      </c>
      <c r="D285" s="448">
        <f>LN_IA12+LN_IF15+LN_IG10</f>
        <v>15686240</v>
      </c>
      <c r="E285" s="448">
        <f t="shared" si="28"/>
        <v>-121860</v>
      </c>
      <c r="F285" s="503">
        <f t="shared" si="29"/>
        <v>-7.7087062961393206E-3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0.2033401809283964</v>
      </c>
      <c r="D286" s="453">
        <f>IF(LN_IIB7=0,0,LN_IIB9/LN_IIB7)</f>
        <v>0.19216988430119064</v>
      </c>
      <c r="E286" s="454">
        <f t="shared" si="28"/>
        <v>-1.1170296627205756E-2</v>
      </c>
      <c r="F286" s="458">
        <f t="shared" si="29"/>
        <v>-5.4934035054976321E-2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141037613</v>
      </c>
      <c r="D287" s="441">
        <f>D277+LN_IIB7</f>
        <v>142478689</v>
      </c>
      <c r="E287" s="441">
        <f t="shared" si="28"/>
        <v>1441076</v>
      </c>
      <c r="F287" s="503">
        <f t="shared" si="29"/>
        <v>1.0217671508663437E-2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34621729</v>
      </c>
      <c r="D288" s="441">
        <f>LN_IIB2+LN_IIB9</f>
        <v>32670484</v>
      </c>
      <c r="E288" s="441">
        <f t="shared" si="28"/>
        <v>-1951245</v>
      </c>
      <c r="F288" s="503">
        <f t="shared" si="29"/>
        <v>-5.6358970402662446E-2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0.24547869368719394</v>
      </c>
      <c r="D289" s="453">
        <f>IF(LN_IIB11=0,0,LN_IIB12/LN_IIB11)</f>
        <v>0.22930084652870436</v>
      </c>
      <c r="E289" s="454">
        <f t="shared" si="28"/>
        <v>-1.6177847158489578E-2</v>
      </c>
      <c r="F289" s="458">
        <f t="shared" si="29"/>
        <v>-6.590326400834004E-2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10373</v>
      </c>
      <c r="D290" s="508">
        <f>LN_IA8+LN_IF11+LN_IG6</f>
        <v>9150</v>
      </c>
      <c r="E290" s="528">
        <f t="shared" si="28"/>
        <v>-1223</v>
      </c>
      <c r="F290" s="458">
        <f t="shared" si="29"/>
        <v>-0.11790224621613805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106415884</v>
      </c>
      <c r="D291" s="516">
        <f>LN_IIB11-LN_IIB12</f>
        <v>109808205</v>
      </c>
      <c r="E291" s="441">
        <f t="shared" si="28"/>
        <v>3392321</v>
      </c>
      <c r="F291" s="503">
        <f t="shared" si="29"/>
        <v>3.187795724179672E-2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5.2331575864089048</v>
      </c>
      <c r="D294" s="466">
        <f>IF(LN_IA4=0,0,LN_IA8/LN_IA4)</f>
        <v>5.0748031496062991</v>
      </c>
      <c r="E294" s="466">
        <f t="shared" ref="E294:E300" si="30">D294-C294</f>
        <v>-0.15835443680260575</v>
      </c>
      <c r="F294" s="503">
        <f t="shared" ref="F294:F300" si="31">IF(C294=0,0,E294/C294)</f>
        <v>-3.025982577208642E-2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3.4795008912655971</v>
      </c>
      <c r="D295" s="466">
        <f>IF(LN_IB4=0,0,(LN_IB10)/(LN_IB4))</f>
        <v>4.1002044989775053</v>
      </c>
      <c r="E295" s="466">
        <f t="shared" si="30"/>
        <v>0.62070360771190813</v>
      </c>
      <c r="F295" s="503">
        <f t="shared" si="31"/>
        <v>0.17838869053605558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5.145833333333333</v>
      </c>
      <c r="D296" s="466">
        <f>IF(LN_IC4=0,0,LN_IC11/LN_IC4)</f>
        <v>3.8076923076923075</v>
      </c>
      <c r="E296" s="466">
        <f t="shared" si="30"/>
        <v>-1.3381410256410255</v>
      </c>
      <c r="F296" s="503">
        <f t="shared" si="31"/>
        <v>-0.26004360012457178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4.8698630136986303</v>
      </c>
      <c r="D297" s="466">
        <f>IF(LN_ID4=0,0,LN_ID11/LN_ID4)</f>
        <v>4.3312302839116716</v>
      </c>
      <c r="E297" s="466">
        <f t="shared" si="30"/>
        <v>-0.53863272978695864</v>
      </c>
      <c r="F297" s="503">
        <f t="shared" si="31"/>
        <v>-0.11060531441476225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2.5714285714285716</v>
      </c>
      <c r="D299" s="466">
        <f>IF(LN_IG3=0,0,LN_IG6/LN_IG3)</f>
        <v>3.9090909090909092</v>
      </c>
      <c r="E299" s="466">
        <f t="shared" si="30"/>
        <v>1.3376623376623376</v>
      </c>
      <c r="F299" s="503">
        <f t="shared" si="31"/>
        <v>0.52020202020202011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4.8013245033112586</v>
      </c>
      <c r="D300" s="466">
        <f>IF(LN_IIA4=0,0,LN_IIA14/LN_IIA4)</f>
        <v>4.7650576676633918</v>
      </c>
      <c r="E300" s="466">
        <f t="shared" si="30"/>
        <v>-3.6266835647866813E-2</v>
      </c>
      <c r="F300" s="503">
        <f t="shared" si="31"/>
        <v>-7.5535064590729496E-3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222664628</v>
      </c>
      <c r="D304" s="441">
        <f>LN_IIA11</f>
        <v>227300072</v>
      </c>
      <c r="E304" s="441">
        <f t="shared" ref="E304:E316" si="32">D304-C304</f>
        <v>4635444</v>
      </c>
      <c r="F304" s="449">
        <f>IF(C304=0,0,E304/C304)</f>
        <v>2.0818052879058996E-2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106415884</v>
      </c>
      <c r="D305" s="441">
        <f>LN_IIB14</f>
        <v>109808205</v>
      </c>
      <c r="E305" s="441">
        <f t="shared" si="32"/>
        <v>3392321</v>
      </c>
      <c r="F305" s="449">
        <f>IF(C305=0,0,E305/C305)</f>
        <v>3.187795724179672E-2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5398981</v>
      </c>
      <c r="D306" s="441">
        <f>LN_IH6</f>
        <v>3989826</v>
      </c>
      <c r="E306" s="441">
        <f t="shared" si="32"/>
        <v>-1409155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46212823</v>
      </c>
      <c r="D307" s="441">
        <f>LN_IB32-LN_IB33</f>
        <v>47739516</v>
      </c>
      <c r="E307" s="441">
        <f t="shared" si="32"/>
        <v>1526693</v>
      </c>
      <c r="F307" s="449">
        <f t="shared" ref="F307:F316" si="33">IF(C307=0,0,E307/C307)</f>
        <v>3.3036133715527397E-2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158027688</v>
      </c>
      <c r="D309" s="441">
        <f>LN_III2+LN_III3+LN_III4+LN_III5</f>
        <v>161537547</v>
      </c>
      <c r="E309" s="441">
        <f t="shared" si="32"/>
        <v>3509859</v>
      </c>
      <c r="F309" s="449">
        <f t="shared" si="33"/>
        <v>2.2210405305682888E-2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64636940</v>
      </c>
      <c r="D310" s="441">
        <f>LN_III1-LN_III6</f>
        <v>65762525</v>
      </c>
      <c r="E310" s="441">
        <f t="shared" si="32"/>
        <v>1125585</v>
      </c>
      <c r="F310" s="449">
        <f t="shared" si="33"/>
        <v>1.7413958643463009E-2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64636940</v>
      </c>
      <c r="D312" s="441">
        <f>LN_III7+LN_III8</f>
        <v>65762525</v>
      </c>
      <c r="E312" s="441">
        <f t="shared" si="32"/>
        <v>1125585</v>
      </c>
      <c r="F312" s="449">
        <f t="shared" si="33"/>
        <v>1.7413958643463009E-2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0.29028831647207115</v>
      </c>
      <c r="D313" s="532">
        <f>IF(LN_III1=0,0,LN_III9/LN_III1)</f>
        <v>0.28932029990734009</v>
      </c>
      <c r="E313" s="532">
        <f t="shared" si="32"/>
        <v>-9.6801656473105568E-4</v>
      </c>
      <c r="F313" s="449">
        <f t="shared" si="33"/>
        <v>-3.3346728400768734E-3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1567261.1051546992</v>
      </c>
      <c r="D314" s="441">
        <f>D313*LN_III5</f>
        <v>1154337.6548981031</v>
      </c>
      <c r="E314" s="441">
        <f t="shared" si="32"/>
        <v>-412923.45025659609</v>
      </c>
      <c r="F314" s="449">
        <f t="shared" si="33"/>
        <v>-0.26346819231237018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3080561.119762335</v>
      </c>
      <c r="D315" s="441">
        <f>D313*LN_IH8-LN_IH9</f>
        <v>4448462.8298949711</v>
      </c>
      <c r="E315" s="441">
        <f t="shared" si="32"/>
        <v>1367901.7101326361</v>
      </c>
      <c r="F315" s="449">
        <f t="shared" si="33"/>
        <v>0.44404303532798262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4647822.2249170337</v>
      </c>
      <c r="D318" s="441">
        <f>D314+D315+D316</f>
        <v>5602800.4847930744</v>
      </c>
      <c r="E318" s="441">
        <f>D318-C318</f>
        <v>954978.25987604074</v>
      </c>
      <c r="F318" s="449">
        <f>IF(C318=0,0,E318/C318)</f>
        <v>0.20546789736414406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1007206.0394987187</v>
      </c>
      <c r="D322" s="441">
        <f>LN_ID22</f>
        <v>1051164.9603934975</v>
      </c>
      <c r="E322" s="441">
        <f>LN_IV2-C322</f>
        <v>43958.920894778799</v>
      </c>
      <c r="F322" s="449">
        <f>IF(C322=0,0,E322/C322)</f>
        <v>4.3644417498386857E-2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1566489.5198121034</v>
      </c>
      <c r="D324" s="441">
        <f>LN_IC10+LN_IC22</f>
        <v>665189.01031556062</v>
      </c>
      <c r="E324" s="441">
        <f>LN_IV1-C324</f>
        <v>-901300.50949654274</v>
      </c>
      <c r="F324" s="449">
        <f>IF(C324=0,0,E324/C324)</f>
        <v>-0.57536325528986088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2573695.5593108218</v>
      </c>
      <c r="D325" s="516">
        <f>LN_IV1+LN_IV2+LN_IV3</f>
        <v>1716353.970709058</v>
      </c>
      <c r="E325" s="441">
        <f>LN_IV4-C325</f>
        <v>-857341.58860176383</v>
      </c>
      <c r="F325" s="449">
        <f>IF(C325=0,0,E325/C325)</f>
        <v>-0.33311693976397921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-1125279</v>
      </c>
      <c r="D330" s="516">
        <v>-1223668</v>
      </c>
      <c r="E330" s="518">
        <f t="shared" si="34"/>
        <v>-98389</v>
      </c>
      <c r="F330" s="543">
        <f t="shared" si="35"/>
        <v>8.7435204958059287E-2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68910644</v>
      </c>
      <c r="D331" s="516">
        <v>68528682</v>
      </c>
      <c r="E331" s="518">
        <f t="shared" si="34"/>
        <v>-381962</v>
      </c>
      <c r="F331" s="542">
        <f t="shared" si="35"/>
        <v>-5.5428592424705825E-3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222664629</v>
      </c>
      <c r="D333" s="516">
        <v>227300072</v>
      </c>
      <c r="E333" s="518">
        <f t="shared" si="34"/>
        <v>4635443</v>
      </c>
      <c r="F333" s="542">
        <f t="shared" si="35"/>
        <v>2.0818048294504825E-2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5398981</v>
      </c>
      <c r="D335" s="516">
        <v>3989826</v>
      </c>
      <c r="E335" s="516">
        <f t="shared" si="34"/>
        <v>-1409155</v>
      </c>
      <c r="F335" s="542">
        <f t="shared" si="35"/>
        <v>-0.2610038820288495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FILING&amp;RROCKVILLE GENERAL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15954883</v>
      </c>
      <c r="D14" s="589">
        <v>16037037</v>
      </c>
      <c r="E14" s="590">
        <f t="shared" ref="E14:E22" si="0">D14-C14</f>
        <v>82154</v>
      </c>
    </row>
    <row r="15" spans="1:5" s="421" customFormat="1" x14ac:dyDescent="0.2">
      <c r="A15" s="588">
        <v>2</v>
      </c>
      <c r="B15" s="587" t="s">
        <v>636</v>
      </c>
      <c r="C15" s="589">
        <v>54539339</v>
      </c>
      <c r="D15" s="591">
        <v>50841937</v>
      </c>
      <c r="E15" s="590">
        <f t="shared" si="0"/>
        <v>-3697402</v>
      </c>
    </row>
    <row r="16" spans="1:5" s="421" customFormat="1" x14ac:dyDescent="0.2">
      <c r="A16" s="588">
        <v>3</v>
      </c>
      <c r="B16" s="587" t="s">
        <v>778</v>
      </c>
      <c r="C16" s="589">
        <v>8608391</v>
      </c>
      <c r="D16" s="591">
        <v>9643810</v>
      </c>
      <c r="E16" s="590">
        <f t="shared" si="0"/>
        <v>1035419</v>
      </c>
    </row>
    <row r="17" spans="1:5" s="421" customFormat="1" x14ac:dyDescent="0.2">
      <c r="A17" s="588">
        <v>4</v>
      </c>
      <c r="B17" s="587" t="s">
        <v>115</v>
      </c>
      <c r="C17" s="589">
        <v>8608391</v>
      </c>
      <c r="D17" s="591">
        <v>9643810</v>
      </c>
      <c r="E17" s="590">
        <f t="shared" si="0"/>
        <v>1035419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147747</v>
      </c>
      <c r="D19" s="591">
        <v>366000</v>
      </c>
      <c r="E19" s="590">
        <f t="shared" si="0"/>
        <v>218253</v>
      </c>
    </row>
    <row r="20" spans="1:5" s="421" customFormat="1" x14ac:dyDescent="0.2">
      <c r="A20" s="588">
        <v>7</v>
      </c>
      <c r="B20" s="587" t="s">
        <v>759</v>
      </c>
      <c r="C20" s="589">
        <v>1046641</v>
      </c>
      <c r="D20" s="591">
        <v>802034</v>
      </c>
      <c r="E20" s="590">
        <f t="shared" si="0"/>
        <v>-244607</v>
      </c>
    </row>
    <row r="21" spans="1:5" s="421" customFormat="1" x14ac:dyDescent="0.2">
      <c r="A21" s="588"/>
      <c r="B21" s="592" t="s">
        <v>779</v>
      </c>
      <c r="C21" s="593">
        <f>SUM(C15+C16+C19)</f>
        <v>63295477</v>
      </c>
      <c r="D21" s="593">
        <f>SUM(D15+D16+D19)</f>
        <v>60851747</v>
      </c>
      <c r="E21" s="593">
        <f t="shared" si="0"/>
        <v>-2443730</v>
      </c>
    </row>
    <row r="22" spans="1:5" s="421" customFormat="1" x14ac:dyDescent="0.2">
      <c r="A22" s="588"/>
      <c r="B22" s="592" t="s">
        <v>465</v>
      </c>
      <c r="C22" s="593">
        <f>SUM(C14+C21)</f>
        <v>79250360</v>
      </c>
      <c r="D22" s="593">
        <f>SUM(D14+D21)</f>
        <v>76888784</v>
      </c>
      <c r="E22" s="593">
        <f t="shared" si="0"/>
        <v>-2361576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65672132</v>
      </c>
      <c r="D25" s="589">
        <v>68784346</v>
      </c>
      <c r="E25" s="590">
        <f t="shared" ref="E25:E33" si="1">D25-C25</f>
        <v>3112214</v>
      </c>
    </row>
    <row r="26" spans="1:5" s="421" customFormat="1" x14ac:dyDescent="0.2">
      <c r="A26" s="588">
        <v>2</v>
      </c>
      <c r="B26" s="587" t="s">
        <v>636</v>
      </c>
      <c r="C26" s="589">
        <v>49578911</v>
      </c>
      <c r="D26" s="591">
        <v>49133767</v>
      </c>
      <c r="E26" s="590">
        <f t="shared" si="1"/>
        <v>-445144</v>
      </c>
    </row>
    <row r="27" spans="1:5" s="421" customFormat="1" x14ac:dyDescent="0.2">
      <c r="A27" s="588">
        <v>3</v>
      </c>
      <c r="B27" s="587" t="s">
        <v>778</v>
      </c>
      <c r="C27" s="589">
        <v>27463602</v>
      </c>
      <c r="D27" s="591">
        <v>31469205</v>
      </c>
      <c r="E27" s="590">
        <f t="shared" si="1"/>
        <v>4005603</v>
      </c>
    </row>
    <row r="28" spans="1:5" s="421" customFormat="1" x14ac:dyDescent="0.2">
      <c r="A28" s="588">
        <v>4</v>
      </c>
      <c r="B28" s="587" t="s">
        <v>115</v>
      </c>
      <c r="C28" s="589">
        <v>27463602</v>
      </c>
      <c r="D28" s="591">
        <v>31469205</v>
      </c>
      <c r="E28" s="590">
        <f t="shared" si="1"/>
        <v>4005603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699623</v>
      </c>
      <c r="D30" s="591">
        <v>1023970</v>
      </c>
      <c r="E30" s="590">
        <f t="shared" si="1"/>
        <v>324347</v>
      </c>
    </row>
    <row r="31" spans="1:5" s="421" customFormat="1" x14ac:dyDescent="0.2">
      <c r="A31" s="588">
        <v>7</v>
      </c>
      <c r="B31" s="587" t="s">
        <v>759</v>
      </c>
      <c r="C31" s="590">
        <v>4527588</v>
      </c>
      <c r="D31" s="594">
        <v>3420569</v>
      </c>
      <c r="E31" s="590">
        <f t="shared" si="1"/>
        <v>-1107019</v>
      </c>
    </row>
    <row r="32" spans="1:5" s="421" customFormat="1" x14ac:dyDescent="0.2">
      <c r="A32" s="588"/>
      <c r="B32" s="592" t="s">
        <v>781</v>
      </c>
      <c r="C32" s="593">
        <f>SUM(C26+C27+C30)</f>
        <v>77742136</v>
      </c>
      <c r="D32" s="593">
        <f>SUM(D26+D27+D30)</f>
        <v>81626942</v>
      </c>
      <c r="E32" s="593">
        <f t="shared" si="1"/>
        <v>3884806</v>
      </c>
    </row>
    <row r="33" spans="1:5" s="421" customFormat="1" x14ac:dyDescent="0.2">
      <c r="A33" s="588"/>
      <c r="B33" s="592" t="s">
        <v>467</v>
      </c>
      <c r="C33" s="593">
        <f>SUM(C25+C32)</f>
        <v>143414268</v>
      </c>
      <c r="D33" s="593">
        <f>SUM(D25+D32)</f>
        <v>150411288</v>
      </c>
      <c r="E33" s="593">
        <f t="shared" si="1"/>
        <v>6997020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81627015</v>
      </c>
      <c r="D36" s="590">
        <f t="shared" si="2"/>
        <v>84821383</v>
      </c>
      <c r="E36" s="590">
        <f t="shared" ref="E36:E44" si="3">D36-C36</f>
        <v>3194368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104118250</v>
      </c>
      <c r="D37" s="590">
        <f t="shared" si="2"/>
        <v>99975704</v>
      </c>
      <c r="E37" s="590">
        <f t="shared" si="3"/>
        <v>-4142546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36071993</v>
      </c>
      <c r="D38" s="590">
        <f t="shared" si="2"/>
        <v>41113015</v>
      </c>
      <c r="E38" s="590">
        <f t="shared" si="3"/>
        <v>5041022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36071993</v>
      </c>
      <c r="D39" s="590">
        <f t="shared" si="2"/>
        <v>41113015</v>
      </c>
      <c r="E39" s="590">
        <f t="shared" si="3"/>
        <v>5041022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847370</v>
      </c>
      <c r="D41" s="590">
        <f t="shared" si="2"/>
        <v>1389970</v>
      </c>
      <c r="E41" s="590">
        <f t="shared" si="3"/>
        <v>542600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5574229</v>
      </c>
      <c r="D42" s="590">
        <f t="shared" si="2"/>
        <v>4222603</v>
      </c>
      <c r="E42" s="590">
        <f t="shared" si="3"/>
        <v>-1351626</v>
      </c>
    </row>
    <row r="43" spans="1:5" s="421" customFormat="1" x14ac:dyDescent="0.2">
      <c r="A43" s="588"/>
      <c r="B43" s="592" t="s">
        <v>789</v>
      </c>
      <c r="C43" s="593">
        <f>SUM(C37+C38+C41)</f>
        <v>141037613</v>
      </c>
      <c r="D43" s="593">
        <f>SUM(D37+D38+D41)</f>
        <v>142478689</v>
      </c>
      <c r="E43" s="593">
        <f t="shared" si="3"/>
        <v>1441076</v>
      </c>
    </row>
    <row r="44" spans="1:5" s="421" customFormat="1" x14ac:dyDescent="0.2">
      <c r="A44" s="588"/>
      <c r="B44" s="592" t="s">
        <v>726</v>
      </c>
      <c r="C44" s="593">
        <f>SUM(C36+C43)</f>
        <v>222664628</v>
      </c>
      <c r="D44" s="593">
        <f>SUM(D36+D43)</f>
        <v>227300072</v>
      </c>
      <c r="E44" s="593">
        <f t="shared" si="3"/>
        <v>4635444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6814839</v>
      </c>
      <c r="D47" s="589">
        <v>6801498</v>
      </c>
      <c r="E47" s="590">
        <f t="shared" ref="E47:E55" si="4">D47-C47</f>
        <v>-13341</v>
      </c>
    </row>
    <row r="48" spans="1:5" s="421" customFormat="1" x14ac:dyDescent="0.2">
      <c r="A48" s="588">
        <v>2</v>
      </c>
      <c r="B48" s="587" t="s">
        <v>636</v>
      </c>
      <c r="C48" s="589">
        <v>16580364</v>
      </c>
      <c r="D48" s="591">
        <v>15218316</v>
      </c>
      <c r="E48" s="590">
        <f t="shared" si="4"/>
        <v>-1362048</v>
      </c>
    </row>
    <row r="49" spans="1:5" s="421" customFormat="1" x14ac:dyDescent="0.2">
      <c r="A49" s="588">
        <v>3</v>
      </c>
      <c r="B49" s="587" t="s">
        <v>778</v>
      </c>
      <c r="C49" s="589">
        <v>2156151</v>
      </c>
      <c r="D49" s="591">
        <v>1676207</v>
      </c>
      <c r="E49" s="590">
        <f t="shared" si="4"/>
        <v>-479944</v>
      </c>
    </row>
    <row r="50" spans="1:5" s="421" customFormat="1" x14ac:dyDescent="0.2">
      <c r="A50" s="588">
        <v>4</v>
      </c>
      <c r="B50" s="587" t="s">
        <v>115</v>
      </c>
      <c r="C50" s="589">
        <v>2156151</v>
      </c>
      <c r="D50" s="591">
        <v>1676207</v>
      </c>
      <c r="E50" s="590">
        <f t="shared" si="4"/>
        <v>-479944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77114</v>
      </c>
      <c r="D52" s="591">
        <v>89721</v>
      </c>
      <c r="E52" s="590">
        <f t="shared" si="4"/>
        <v>12607</v>
      </c>
    </row>
    <row r="53" spans="1:5" s="421" customFormat="1" x14ac:dyDescent="0.2">
      <c r="A53" s="588">
        <v>7</v>
      </c>
      <c r="B53" s="587" t="s">
        <v>759</v>
      </c>
      <c r="C53" s="589">
        <v>2144</v>
      </c>
      <c r="D53" s="591">
        <v>20</v>
      </c>
      <c r="E53" s="590">
        <f t="shared" si="4"/>
        <v>-2124</v>
      </c>
    </row>
    <row r="54" spans="1:5" s="421" customFormat="1" x14ac:dyDescent="0.2">
      <c r="A54" s="588"/>
      <c r="B54" s="592" t="s">
        <v>791</v>
      </c>
      <c r="C54" s="593">
        <f>SUM(C48+C49+C52)</f>
        <v>18813629</v>
      </c>
      <c r="D54" s="593">
        <f>SUM(D48+D49+D52)</f>
        <v>16984244</v>
      </c>
      <c r="E54" s="593">
        <f t="shared" si="4"/>
        <v>-1829385</v>
      </c>
    </row>
    <row r="55" spans="1:5" s="421" customFormat="1" x14ac:dyDescent="0.2">
      <c r="A55" s="588"/>
      <c r="B55" s="592" t="s">
        <v>466</v>
      </c>
      <c r="C55" s="593">
        <f>SUM(C47+C54)</f>
        <v>25628468</v>
      </c>
      <c r="D55" s="593">
        <f>SUM(D47+D54)</f>
        <v>23785742</v>
      </c>
      <c r="E55" s="593">
        <f t="shared" si="4"/>
        <v>-1842726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28599353</v>
      </c>
      <c r="D58" s="589">
        <v>30280369</v>
      </c>
      <c r="E58" s="590">
        <f t="shared" ref="E58:E66" si="5">D58-C58</f>
        <v>1681016</v>
      </c>
    </row>
    <row r="59" spans="1:5" s="421" customFormat="1" x14ac:dyDescent="0.2">
      <c r="A59" s="588">
        <v>2</v>
      </c>
      <c r="B59" s="587" t="s">
        <v>636</v>
      </c>
      <c r="C59" s="589">
        <v>10397051</v>
      </c>
      <c r="D59" s="591">
        <v>9712148</v>
      </c>
      <c r="E59" s="590">
        <f t="shared" si="5"/>
        <v>-684903</v>
      </c>
    </row>
    <row r="60" spans="1:5" s="421" customFormat="1" x14ac:dyDescent="0.2">
      <c r="A60" s="588">
        <v>3</v>
      </c>
      <c r="B60" s="587" t="s">
        <v>778</v>
      </c>
      <c r="C60" s="589">
        <f>C61+C62</f>
        <v>5234566</v>
      </c>
      <c r="D60" s="591">
        <f>D61+D62</f>
        <v>5770160</v>
      </c>
      <c r="E60" s="590">
        <f t="shared" si="5"/>
        <v>535594</v>
      </c>
    </row>
    <row r="61" spans="1:5" s="421" customFormat="1" x14ac:dyDescent="0.2">
      <c r="A61" s="588">
        <v>4</v>
      </c>
      <c r="B61" s="587" t="s">
        <v>115</v>
      </c>
      <c r="C61" s="589">
        <v>5234566</v>
      </c>
      <c r="D61" s="591">
        <v>5770160</v>
      </c>
      <c r="E61" s="590">
        <f t="shared" si="5"/>
        <v>535594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176483</v>
      </c>
      <c r="D63" s="591">
        <v>203932</v>
      </c>
      <c r="E63" s="590">
        <f t="shared" si="5"/>
        <v>27449</v>
      </c>
    </row>
    <row r="64" spans="1:5" s="421" customFormat="1" x14ac:dyDescent="0.2">
      <c r="A64" s="588">
        <v>7</v>
      </c>
      <c r="B64" s="587" t="s">
        <v>759</v>
      </c>
      <c r="C64" s="589">
        <v>175163</v>
      </c>
      <c r="D64" s="591">
        <v>247084</v>
      </c>
      <c r="E64" s="590">
        <f t="shared" si="5"/>
        <v>71921</v>
      </c>
    </row>
    <row r="65" spans="1:5" s="421" customFormat="1" x14ac:dyDescent="0.2">
      <c r="A65" s="588"/>
      <c r="B65" s="592" t="s">
        <v>793</v>
      </c>
      <c r="C65" s="593">
        <f>SUM(C59+C60+C63)</f>
        <v>15808100</v>
      </c>
      <c r="D65" s="593">
        <f>SUM(D59+D60+D63)</f>
        <v>15686240</v>
      </c>
      <c r="E65" s="593">
        <f t="shared" si="5"/>
        <v>-121860</v>
      </c>
    </row>
    <row r="66" spans="1:5" s="421" customFormat="1" x14ac:dyDescent="0.2">
      <c r="A66" s="588"/>
      <c r="B66" s="592" t="s">
        <v>468</v>
      </c>
      <c r="C66" s="593">
        <f>SUM(C58+C65)</f>
        <v>44407453</v>
      </c>
      <c r="D66" s="593">
        <f>SUM(D58+D65)</f>
        <v>45966609</v>
      </c>
      <c r="E66" s="593">
        <f t="shared" si="5"/>
        <v>1559156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35414192</v>
      </c>
      <c r="D69" s="590">
        <f t="shared" si="6"/>
        <v>37081867</v>
      </c>
      <c r="E69" s="590">
        <f t="shared" ref="E69:E77" si="7">D69-C69</f>
        <v>1667675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26977415</v>
      </c>
      <c r="D70" s="590">
        <f t="shared" si="6"/>
        <v>24930464</v>
      </c>
      <c r="E70" s="590">
        <f t="shared" si="7"/>
        <v>-2046951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7390717</v>
      </c>
      <c r="D71" s="590">
        <f t="shared" si="6"/>
        <v>7446367</v>
      </c>
      <c r="E71" s="590">
        <f t="shared" si="7"/>
        <v>55650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7390717</v>
      </c>
      <c r="D72" s="590">
        <f t="shared" si="6"/>
        <v>7446367</v>
      </c>
      <c r="E72" s="590">
        <f t="shared" si="7"/>
        <v>55650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253597</v>
      </c>
      <c r="D74" s="590">
        <f t="shared" si="6"/>
        <v>293653</v>
      </c>
      <c r="E74" s="590">
        <f t="shared" si="7"/>
        <v>40056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177307</v>
      </c>
      <c r="D75" s="590">
        <f t="shared" si="6"/>
        <v>247104</v>
      </c>
      <c r="E75" s="590">
        <f t="shared" si="7"/>
        <v>69797</v>
      </c>
    </row>
    <row r="76" spans="1:5" s="421" customFormat="1" x14ac:dyDescent="0.2">
      <c r="A76" s="588"/>
      <c r="B76" s="592" t="s">
        <v>794</v>
      </c>
      <c r="C76" s="593">
        <f>SUM(C70+C71+C74)</f>
        <v>34621729</v>
      </c>
      <c r="D76" s="593">
        <f>SUM(D70+D71+D74)</f>
        <v>32670484</v>
      </c>
      <c r="E76" s="593">
        <f t="shared" si="7"/>
        <v>-1951245</v>
      </c>
    </row>
    <row r="77" spans="1:5" s="421" customFormat="1" x14ac:dyDescent="0.2">
      <c r="A77" s="588"/>
      <c r="B77" s="592" t="s">
        <v>727</v>
      </c>
      <c r="C77" s="593">
        <f>SUM(C69+C76)</f>
        <v>70035921</v>
      </c>
      <c r="D77" s="593">
        <f>SUM(D69+D76)</f>
        <v>69752351</v>
      </c>
      <c r="E77" s="593">
        <f t="shared" si="7"/>
        <v>-283570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7.1654322212327315E-2</v>
      </c>
      <c r="D83" s="599">
        <f t="shared" si="8"/>
        <v>7.0554473911473292E-2</v>
      </c>
      <c r="E83" s="599">
        <f t="shared" ref="E83:E91" si="9">D83-C83</f>
        <v>-1.0998483008540227E-3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0.24493939378642574</v>
      </c>
      <c r="D84" s="599">
        <f t="shared" si="8"/>
        <v>0.22367761062565789</v>
      </c>
      <c r="E84" s="599">
        <f t="shared" si="9"/>
        <v>-2.126178316076785E-2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3.8660792588933346E-2</v>
      </c>
      <c r="D85" s="599">
        <f t="shared" si="8"/>
        <v>4.2427659239808777E-2</v>
      </c>
      <c r="E85" s="599">
        <f t="shared" si="9"/>
        <v>3.7668666508754306E-3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3.8660792588933346E-2</v>
      </c>
      <c r="D86" s="599">
        <f t="shared" si="8"/>
        <v>4.2427659239808777E-2</v>
      </c>
      <c r="E86" s="599">
        <f t="shared" si="9"/>
        <v>3.7668666508754306E-3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6.6354050630798892E-4</v>
      </c>
      <c r="D88" s="599">
        <f t="shared" si="8"/>
        <v>1.6102062651348391E-3</v>
      </c>
      <c r="E88" s="599">
        <f t="shared" si="9"/>
        <v>9.4666575882685017E-4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4.7005265694917654E-3</v>
      </c>
      <c r="D89" s="599">
        <f t="shared" si="8"/>
        <v>3.5285250591561624E-3</v>
      </c>
      <c r="E89" s="599">
        <f t="shared" si="9"/>
        <v>-1.172001510335603E-3</v>
      </c>
    </row>
    <row r="90" spans="1:5" s="421" customFormat="1" x14ac:dyDescent="0.2">
      <c r="A90" s="588"/>
      <c r="B90" s="592" t="s">
        <v>797</v>
      </c>
      <c r="C90" s="600">
        <f>SUM(C84+C85+C88)</f>
        <v>0.28426372688166712</v>
      </c>
      <c r="D90" s="600">
        <f>SUM(D84+D85+D88)</f>
        <v>0.26771547613060154</v>
      </c>
      <c r="E90" s="601">
        <f t="shared" si="9"/>
        <v>-1.6548250751065585E-2</v>
      </c>
    </row>
    <row r="91" spans="1:5" s="421" customFormat="1" x14ac:dyDescent="0.2">
      <c r="A91" s="588"/>
      <c r="B91" s="592" t="s">
        <v>798</v>
      </c>
      <c r="C91" s="600">
        <f>SUM(C83+C90)</f>
        <v>0.35591804909399444</v>
      </c>
      <c r="D91" s="600">
        <f>SUM(D83+D90)</f>
        <v>0.33826995004207483</v>
      </c>
      <c r="E91" s="601">
        <f t="shared" si="9"/>
        <v>-1.7648099051919608E-2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0.29493742490612385</v>
      </c>
      <c r="D95" s="599">
        <f t="shared" si="10"/>
        <v>0.30261471276612706</v>
      </c>
      <c r="E95" s="599">
        <f t="shared" ref="E95:E103" si="11">D95-C95</f>
        <v>7.6772878600032124E-3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0.22266181856239869</v>
      </c>
      <c r="D96" s="599">
        <f t="shared" si="10"/>
        <v>0.21616256681168144</v>
      </c>
      <c r="E96" s="599">
        <f t="shared" si="11"/>
        <v>-6.4992517507172498E-3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0.12334065920879</v>
      </c>
      <c r="D97" s="599">
        <f t="shared" si="10"/>
        <v>0.13844784439839508</v>
      </c>
      <c r="E97" s="599">
        <f t="shared" si="11"/>
        <v>1.5107185189605077E-2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0.12334065920879</v>
      </c>
      <c r="D98" s="599">
        <f t="shared" si="10"/>
        <v>0.13844784439839508</v>
      </c>
      <c r="E98" s="599">
        <f t="shared" si="11"/>
        <v>1.5107185189605077E-2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3.1420482286930638E-3</v>
      </c>
      <c r="D100" s="599">
        <f t="shared" si="10"/>
        <v>4.5049259817216422E-3</v>
      </c>
      <c r="E100" s="599">
        <f t="shared" si="11"/>
        <v>1.3628777530285785E-3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2.0333665210623394E-2</v>
      </c>
      <c r="D101" s="599">
        <f t="shared" si="10"/>
        <v>1.5048692989415332E-2</v>
      </c>
      <c r="E101" s="599">
        <f t="shared" si="11"/>
        <v>-5.2849722212080629E-3</v>
      </c>
    </row>
    <row r="102" spans="1:5" s="421" customFormat="1" x14ac:dyDescent="0.2">
      <c r="A102" s="588"/>
      <c r="B102" s="592" t="s">
        <v>800</v>
      </c>
      <c r="C102" s="600">
        <f>SUM(C96+C97+C100)</f>
        <v>0.34914452599988177</v>
      </c>
      <c r="D102" s="600">
        <f>SUM(D96+D97+D100)</f>
        <v>0.35911533719179817</v>
      </c>
      <c r="E102" s="601">
        <f t="shared" si="11"/>
        <v>9.9708111919163955E-3</v>
      </c>
    </row>
    <row r="103" spans="1:5" s="421" customFormat="1" x14ac:dyDescent="0.2">
      <c r="A103" s="588"/>
      <c r="B103" s="592" t="s">
        <v>801</v>
      </c>
      <c r="C103" s="600">
        <f>SUM(C95+C102)</f>
        <v>0.64408195090600562</v>
      </c>
      <c r="D103" s="600">
        <f>SUM(D95+D102)</f>
        <v>0.66173004995792528</v>
      </c>
      <c r="E103" s="601">
        <f t="shared" si="11"/>
        <v>1.7648099051919663E-2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9.7304910147465618E-2</v>
      </c>
      <c r="D109" s="599">
        <f t="shared" si="12"/>
        <v>9.7509229473856734E-2</v>
      </c>
      <c r="E109" s="599">
        <f t="shared" ref="E109:E117" si="13">D109-C109</f>
        <v>2.0431932639111694E-4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0.23674085759506183</v>
      </c>
      <c r="D110" s="599">
        <f t="shared" si="12"/>
        <v>0.21817638806181602</v>
      </c>
      <c r="E110" s="599">
        <f t="shared" si="13"/>
        <v>-1.8564469533245809E-2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3.0786358902883563E-2</v>
      </c>
      <c r="D111" s="599">
        <f t="shared" si="12"/>
        <v>2.4030831591611873E-2</v>
      </c>
      <c r="E111" s="599">
        <f t="shared" si="13"/>
        <v>-6.7555273112716897E-3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3.0786358902883563E-2</v>
      </c>
      <c r="D112" s="599">
        <f t="shared" si="12"/>
        <v>2.4030831591611873E-2</v>
      </c>
      <c r="E112" s="599">
        <f t="shared" si="13"/>
        <v>-6.7555273112716897E-3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1.1010635528017115E-3</v>
      </c>
      <c r="D114" s="599">
        <f t="shared" si="12"/>
        <v>1.2862792251977285E-3</v>
      </c>
      <c r="E114" s="599">
        <f t="shared" si="13"/>
        <v>1.8521567239601698E-4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3.0612862219660108E-5</v>
      </c>
      <c r="D115" s="599">
        <f t="shared" si="12"/>
        <v>2.8672868675064443E-7</v>
      </c>
      <c r="E115" s="599">
        <f t="shared" si="13"/>
        <v>-3.0326133532909462E-5</v>
      </c>
    </row>
    <row r="116" spans="1:5" s="421" customFormat="1" x14ac:dyDescent="0.2">
      <c r="A116" s="588"/>
      <c r="B116" s="592" t="s">
        <v>797</v>
      </c>
      <c r="C116" s="600">
        <f>SUM(C110+C111+C114)</f>
        <v>0.26862828005074713</v>
      </c>
      <c r="D116" s="600">
        <f>SUM(D110+D111+D114)</f>
        <v>0.24349349887862562</v>
      </c>
      <c r="E116" s="601">
        <f t="shared" si="13"/>
        <v>-2.5134781172121506E-2</v>
      </c>
    </row>
    <row r="117" spans="1:5" s="421" customFormat="1" x14ac:dyDescent="0.2">
      <c r="A117" s="588"/>
      <c r="B117" s="592" t="s">
        <v>798</v>
      </c>
      <c r="C117" s="600">
        <f>SUM(C109+C116)</f>
        <v>0.36593319019821274</v>
      </c>
      <c r="D117" s="600">
        <f>SUM(D109+D116)</f>
        <v>0.34100272835248235</v>
      </c>
      <c r="E117" s="601">
        <f t="shared" si="13"/>
        <v>-2.4930461845730389E-2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0.40835263664198834</v>
      </c>
      <c r="D121" s="599">
        <f t="shared" si="14"/>
        <v>0.43411252188474619</v>
      </c>
      <c r="E121" s="599">
        <f t="shared" ref="E121:E129" si="15">D121-C121</f>
        <v>2.5759885242757852E-2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0.14845312022097917</v>
      </c>
      <c r="D122" s="599">
        <f t="shared" si="14"/>
        <v>0.13923757207839488</v>
      </c>
      <c r="E122" s="599">
        <f t="shared" si="15"/>
        <v>-9.2155481425842956E-3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7.4741160325427866E-2</v>
      </c>
      <c r="D123" s="599">
        <f t="shared" si="14"/>
        <v>8.2723519957054931E-2</v>
      </c>
      <c r="E123" s="599">
        <f t="shared" si="15"/>
        <v>7.9823596316270645E-3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7.4741160325427866E-2</v>
      </c>
      <c r="D124" s="599">
        <f t="shared" si="14"/>
        <v>8.2723519957054931E-2</v>
      </c>
      <c r="E124" s="599">
        <f t="shared" si="15"/>
        <v>7.9823596316270645E-3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2.5198926133919194E-3</v>
      </c>
      <c r="D126" s="599">
        <f t="shared" si="14"/>
        <v>2.923657727321621E-3</v>
      </c>
      <c r="E126" s="599">
        <f t="shared" si="15"/>
        <v>4.0376511392970155E-4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2.501045142249218E-3</v>
      </c>
      <c r="D127" s="599">
        <f t="shared" si="14"/>
        <v>3.5423035418548116E-3</v>
      </c>
      <c r="E127" s="599">
        <f t="shared" si="15"/>
        <v>1.0412583996055936E-3</v>
      </c>
    </row>
    <row r="128" spans="1:5" s="421" customFormat="1" x14ac:dyDescent="0.2">
      <c r="A128" s="588"/>
      <c r="B128" s="592" t="s">
        <v>800</v>
      </c>
      <c r="C128" s="600">
        <f>SUM(C122+C123+C126)</f>
        <v>0.22571417315979897</v>
      </c>
      <c r="D128" s="600">
        <f>SUM(D122+D123+D126)</f>
        <v>0.22488474976277142</v>
      </c>
      <c r="E128" s="601">
        <f t="shared" si="15"/>
        <v>-8.2942339702754553E-4</v>
      </c>
    </row>
    <row r="129" spans="1:5" s="421" customFormat="1" x14ac:dyDescent="0.2">
      <c r="A129" s="588"/>
      <c r="B129" s="592" t="s">
        <v>801</v>
      </c>
      <c r="C129" s="600">
        <f>SUM(C121+C128)</f>
        <v>0.63406680980178731</v>
      </c>
      <c r="D129" s="600">
        <f>SUM(D121+D128)</f>
        <v>0.65899727164751765</v>
      </c>
      <c r="E129" s="601">
        <f t="shared" si="15"/>
        <v>2.4930461845730334E-2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561</v>
      </c>
      <c r="D137" s="606">
        <v>489</v>
      </c>
      <c r="E137" s="607">
        <f t="shared" ref="E137:E145" si="16">D137-C137</f>
        <v>-72</v>
      </c>
    </row>
    <row r="138" spans="1:5" s="421" customFormat="1" x14ac:dyDescent="0.2">
      <c r="A138" s="588">
        <v>2</v>
      </c>
      <c r="B138" s="587" t="s">
        <v>636</v>
      </c>
      <c r="C138" s="606">
        <v>1707</v>
      </c>
      <c r="D138" s="606">
        <v>1524</v>
      </c>
      <c r="E138" s="607">
        <f t="shared" si="16"/>
        <v>-183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292</v>
      </c>
      <c r="D139" s="606">
        <f>D140+D141</f>
        <v>317</v>
      </c>
      <c r="E139" s="607">
        <f t="shared" si="16"/>
        <v>25</v>
      </c>
    </row>
    <row r="140" spans="1:5" s="421" customFormat="1" x14ac:dyDescent="0.2">
      <c r="A140" s="588">
        <v>4</v>
      </c>
      <c r="B140" s="587" t="s">
        <v>115</v>
      </c>
      <c r="C140" s="606">
        <v>292</v>
      </c>
      <c r="D140" s="606">
        <v>317</v>
      </c>
      <c r="E140" s="607">
        <f t="shared" si="16"/>
        <v>25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7</v>
      </c>
      <c r="D142" s="606">
        <v>11</v>
      </c>
      <c r="E142" s="607">
        <f t="shared" si="16"/>
        <v>4</v>
      </c>
    </row>
    <row r="143" spans="1:5" s="421" customFormat="1" x14ac:dyDescent="0.2">
      <c r="A143" s="588">
        <v>7</v>
      </c>
      <c r="B143" s="587" t="s">
        <v>759</v>
      </c>
      <c r="C143" s="606">
        <v>48</v>
      </c>
      <c r="D143" s="606">
        <v>26</v>
      </c>
      <c r="E143" s="607">
        <f t="shared" si="16"/>
        <v>-22</v>
      </c>
    </row>
    <row r="144" spans="1:5" s="421" customFormat="1" x14ac:dyDescent="0.2">
      <c r="A144" s="588"/>
      <c r="B144" s="592" t="s">
        <v>808</v>
      </c>
      <c r="C144" s="608">
        <f>SUM(C138+C139+C142)</f>
        <v>2006</v>
      </c>
      <c r="D144" s="608">
        <f>SUM(D138+D139+D142)</f>
        <v>1852</v>
      </c>
      <c r="E144" s="609">
        <f t="shared" si="16"/>
        <v>-154</v>
      </c>
    </row>
    <row r="145" spans="1:5" s="421" customFormat="1" x14ac:dyDescent="0.2">
      <c r="A145" s="588"/>
      <c r="B145" s="592" t="s">
        <v>138</v>
      </c>
      <c r="C145" s="608">
        <f>SUM(C137+C144)</f>
        <v>2567</v>
      </c>
      <c r="D145" s="608">
        <f>SUM(D137+D144)</f>
        <v>2341</v>
      </c>
      <c r="E145" s="609">
        <f t="shared" si="16"/>
        <v>-226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1952</v>
      </c>
      <c r="D149" s="610">
        <v>2005</v>
      </c>
      <c r="E149" s="607">
        <f t="shared" ref="E149:E157" si="17">D149-C149</f>
        <v>53</v>
      </c>
    </row>
    <row r="150" spans="1:5" s="421" customFormat="1" x14ac:dyDescent="0.2">
      <c r="A150" s="588">
        <v>2</v>
      </c>
      <c r="B150" s="587" t="s">
        <v>636</v>
      </c>
      <c r="C150" s="610">
        <v>8933</v>
      </c>
      <c r="D150" s="610">
        <v>7734</v>
      </c>
      <c r="E150" s="607">
        <f t="shared" si="17"/>
        <v>-1199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1422</v>
      </c>
      <c r="D151" s="610">
        <f>D152+D153</f>
        <v>1373</v>
      </c>
      <c r="E151" s="607">
        <f t="shared" si="17"/>
        <v>-49</v>
      </c>
    </row>
    <row r="152" spans="1:5" s="421" customFormat="1" x14ac:dyDescent="0.2">
      <c r="A152" s="588">
        <v>4</v>
      </c>
      <c r="B152" s="587" t="s">
        <v>115</v>
      </c>
      <c r="C152" s="610">
        <v>1422</v>
      </c>
      <c r="D152" s="610">
        <v>1373</v>
      </c>
      <c r="E152" s="607">
        <f t="shared" si="17"/>
        <v>-49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18</v>
      </c>
      <c r="D154" s="610">
        <v>43</v>
      </c>
      <c r="E154" s="607">
        <f t="shared" si="17"/>
        <v>25</v>
      </c>
    </row>
    <row r="155" spans="1:5" s="421" customFormat="1" x14ac:dyDescent="0.2">
      <c r="A155" s="588">
        <v>7</v>
      </c>
      <c r="B155" s="587" t="s">
        <v>759</v>
      </c>
      <c r="C155" s="610">
        <v>247</v>
      </c>
      <c r="D155" s="610">
        <v>99</v>
      </c>
      <c r="E155" s="607">
        <f t="shared" si="17"/>
        <v>-148</v>
      </c>
    </row>
    <row r="156" spans="1:5" s="421" customFormat="1" x14ac:dyDescent="0.2">
      <c r="A156" s="588"/>
      <c r="B156" s="592" t="s">
        <v>809</v>
      </c>
      <c r="C156" s="608">
        <f>SUM(C150+C151+C154)</f>
        <v>10373</v>
      </c>
      <c r="D156" s="608">
        <f>SUM(D150+D151+D154)</f>
        <v>9150</v>
      </c>
      <c r="E156" s="609">
        <f t="shared" si="17"/>
        <v>-1223</v>
      </c>
    </row>
    <row r="157" spans="1:5" s="421" customFormat="1" x14ac:dyDescent="0.2">
      <c r="A157" s="588"/>
      <c r="B157" s="592" t="s">
        <v>140</v>
      </c>
      <c r="C157" s="608">
        <f>SUM(C149+C156)</f>
        <v>12325</v>
      </c>
      <c r="D157" s="608">
        <f>SUM(D149+D156)</f>
        <v>11155</v>
      </c>
      <c r="E157" s="609">
        <f t="shared" si="17"/>
        <v>-1170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3.4795008912655971</v>
      </c>
      <c r="D161" s="612">
        <f t="shared" si="18"/>
        <v>4.1002044989775053</v>
      </c>
      <c r="E161" s="613">
        <f t="shared" ref="E161:E169" si="19">D161-C161</f>
        <v>0.62070360771190813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5.2331575864089048</v>
      </c>
      <c r="D162" s="612">
        <f t="shared" si="18"/>
        <v>5.0748031496062991</v>
      </c>
      <c r="E162" s="613">
        <f t="shared" si="19"/>
        <v>-0.15835443680260575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4.8698630136986303</v>
      </c>
      <c r="D163" s="612">
        <f t="shared" si="18"/>
        <v>4.3312302839116716</v>
      </c>
      <c r="E163" s="613">
        <f t="shared" si="19"/>
        <v>-0.53863272978695864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4.8698630136986303</v>
      </c>
      <c r="D164" s="612">
        <f t="shared" si="18"/>
        <v>4.3312302839116716</v>
      </c>
      <c r="E164" s="613">
        <f t="shared" si="19"/>
        <v>-0.53863272978695864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2.5714285714285716</v>
      </c>
      <c r="D166" s="612">
        <f t="shared" si="18"/>
        <v>3.9090909090909092</v>
      </c>
      <c r="E166" s="613">
        <f t="shared" si="19"/>
        <v>1.3376623376623376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5.145833333333333</v>
      </c>
      <c r="D167" s="612">
        <f t="shared" si="18"/>
        <v>3.8076923076923075</v>
      </c>
      <c r="E167" s="613">
        <f t="shared" si="19"/>
        <v>-1.3381410256410255</v>
      </c>
    </row>
    <row r="168" spans="1:5" s="421" customFormat="1" x14ac:dyDescent="0.2">
      <c r="A168" s="588"/>
      <c r="B168" s="592" t="s">
        <v>811</v>
      </c>
      <c r="C168" s="614">
        <f t="shared" si="18"/>
        <v>5.1709870388833501</v>
      </c>
      <c r="D168" s="614">
        <f t="shared" si="18"/>
        <v>4.9406047516198708</v>
      </c>
      <c r="E168" s="615">
        <f t="shared" si="19"/>
        <v>-0.23038228726347931</v>
      </c>
    </row>
    <row r="169" spans="1:5" s="421" customFormat="1" x14ac:dyDescent="0.2">
      <c r="A169" s="588"/>
      <c r="B169" s="592" t="s">
        <v>745</v>
      </c>
      <c r="C169" s="614">
        <f t="shared" si="18"/>
        <v>4.8013245033112586</v>
      </c>
      <c r="D169" s="614">
        <f t="shared" si="18"/>
        <v>4.7650576676633918</v>
      </c>
      <c r="E169" s="615">
        <f t="shared" si="19"/>
        <v>-3.6266835647866813E-2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1.67222</v>
      </c>
      <c r="D173" s="617">
        <f t="shared" si="20"/>
        <v>1.61446</v>
      </c>
      <c r="E173" s="618">
        <f t="shared" ref="E173:E181" si="21">D173-C173</f>
        <v>-5.7760000000000034E-2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1.5663100000000001</v>
      </c>
      <c r="D174" s="617">
        <f t="shared" si="20"/>
        <v>1.5733299999999999</v>
      </c>
      <c r="E174" s="618">
        <f t="shared" si="21"/>
        <v>7.0199999999998042E-3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1.42516</v>
      </c>
      <c r="D175" s="617">
        <f t="shared" si="20"/>
        <v>1.3605</v>
      </c>
      <c r="E175" s="618">
        <f t="shared" si="21"/>
        <v>-6.465999999999994E-2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1.42516</v>
      </c>
      <c r="D176" s="617">
        <f t="shared" si="20"/>
        <v>1.3605</v>
      </c>
      <c r="E176" s="618">
        <f t="shared" si="21"/>
        <v>-6.465999999999994E-2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1.70347</v>
      </c>
      <c r="D178" s="617">
        <f t="shared" si="20"/>
        <v>1.3385899999999999</v>
      </c>
      <c r="E178" s="618">
        <f t="shared" si="21"/>
        <v>-0.36488000000000009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1.1844399999999999</v>
      </c>
      <c r="D179" s="617">
        <f t="shared" si="20"/>
        <v>1.0972500000000001</v>
      </c>
      <c r="E179" s="618">
        <f t="shared" si="21"/>
        <v>-8.7189999999999879E-2</v>
      </c>
    </row>
    <row r="180" spans="1:5" s="421" customFormat="1" x14ac:dyDescent="0.2">
      <c r="A180" s="588"/>
      <c r="B180" s="592" t="s">
        <v>813</v>
      </c>
      <c r="C180" s="619">
        <f t="shared" si="20"/>
        <v>1.5462423629112663</v>
      </c>
      <c r="D180" s="619">
        <f t="shared" si="20"/>
        <v>1.5355064308855291</v>
      </c>
      <c r="E180" s="620">
        <f t="shared" si="21"/>
        <v>-1.0735932025737194E-2</v>
      </c>
    </row>
    <row r="181" spans="1:5" s="421" customFormat="1" x14ac:dyDescent="0.2">
      <c r="A181" s="588"/>
      <c r="B181" s="592" t="s">
        <v>724</v>
      </c>
      <c r="C181" s="619">
        <f t="shared" si="20"/>
        <v>1.5737738994935724</v>
      </c>
      <c r="D181" s="619">
        <f t="shared" si="20"/>
        <v>1.5519986544211875</v>
      </c>
      <c r="E181" s="620">
        <f t="shared" si="21"/>
        <v>-2.177524507238493E-2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81627015</v>
      </c>
      <c r="D185" s="589">
        <v>84821383</v>
      </c>
      <c r="E185" s="590">
        <f>D185-C185</f>
        <v>3194368</v>
      </c>
    </row>
    <row r="186" spans="1:5" s="421" customFormat="1" ht="25.5" x14ac:dyDescent="0.2">
      <c r="A186" s="588">
        <v>2</v>
      </c>
      <c r="B186" s="587" t="s">
        <v>816</v>
      </c>
      <c r="C186" s="589">
        <v>35414192</v>
      </c>
      <c r="D186" s="589">
        <v>37081867</v>
      </c>
      <c r="E186" s="590">
        <f>D186-C186</f>
        <v>1667675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46212823</v>
      </c>
      <c r="D188" s="622">
        <f>+D185-D186</f>
        <v>47739516</v>
      </c>
      <c r="E188" s="590">
        <f t="shared" ref="E188:E197" si="22">D188-C188</f>
        <v>1526693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0.56614618334383537</v>
      </c>
      <c r="D189" s="623">
        <f>IF(D185=0,0,+D188/D185)</f>
        <v>0.56282406996358458</v>
      </c>
      <c r="E189" s="599">
        <f t="shared" si="22"/>
        <v>-3.3221133802507907E-3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1271767</v>
      </c>
      <c r="D193" s="589">
        <v>1188543</v>
      </c>
      <c r="E193" s="622">
        <f t="shared" si="22"/>
        <v>-83224</v>
      </c>
    </row>
    <row r="194" spans="1:5" s="421" customFormat="1" x14ac:dyDescent="0.2">
      <c r="A194" s="588">
        <v>9</v>
      </c>
      <c r="B194" s="587" t="s">
        <v>819</v>
      </c>
      <c r="C194" s="589">
        <v>4127214</v>
      </c>
      <c r="D194" s="589">
        <v>2801283</v>
      </c>
      <c r="E194" s="622">
        <f t="shared" si="22"/>
        <v>-1325931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5398981</v>
      </c>
      <c r="D195" s="589">
        <f>+D193+D194</f>
        <v>3989826</v>
      </c>
      <c r="E195" s="625">
        <f t="shared" si="22"/>
        <v>-1409155</v>
      </c>
    </row>
    <row r="196" spans="1:5" s="421" customFormat="1" x14ac:dyDescent="0.2">
      <c r="A196" s="588">
        <v>11</v>
      </c>
      <c r="B196" s="587" t="s">
        <v>821</v>
      </c>
      <c r="C196" s="589">
        <v>6078316</v>
      </c>
      <c r="D196" s="589">
        <v>6391666</v>
      </c>
      <c r="E196" s="622">
        <f t="shared" si="22"/>
        <v>313350</v>
      </c>
    </row>
    <row r="197" spans="1:5" s="421" customFormat="1" x14ac:dyDescent="0.2">
      <c r="A197" s="588">
        <v>12</v>
      </c>
      <c r="B197" s="587" t="s">
        <v>711</v>
      </c>
      <c r="C197" s="589">
        <v>71670098</v>
      </c>
      <c r="D197" s="589">
        <v>72159655</v>
      </c>
      <c r="E197" s="622">
        <f t="shared" si="22"/>
        <v>489557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938.11541999999997</v>
      </c>
      <c r="D203" s="629">
        <v>789.47094000000004</v>
      </c>
      <c r="E203" s="630">
        <f t="shared" ref="E203:E211" si="23">D203-C203</f>
        <v>-148.64447999999993</v>
      </c>
    </row>
    <row r="204" spans="1:5" s="421" customFormat="1" x14ac:dyDescent="0.2">
      <c r="A204" s="588">
        <v>2</v>
      </c>
      <c r="B204" s="587" t="s">
        <v>636</v>
      </c>
      <c r="C204" s="629">
        <v>2673.6911700000001</v>
      </c>
      <c r="D204" s="629">
        <v>2397.7549199999999</v>
      </c>
      <c r="E204" s="630">
        <f t="shared" si="23"/>
        <v>-275.9362500000002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416.14672000000002</v>
      </c>
      <c r="D205" s="629">
        <f>D206+D207</f>
        <v>431.27850000000001</v>
      </c>
      <c r="E205" s="630">
        <f t="shared" si="23"/>
        <v>15.131779999999992</v>
      </c>
    </row>
    <row r="206" spans="1:5" s="421" customFormat="1" x14ac:dyDescent="0.2">
      <c r="A206" s="588">
        <v>4</v>
      </c>
      <c r="B206" s="587" t="s">
        <v>115</v>
      </c>
      <c r="C206" s="629">
        <v>416.14672000000002</v>
      </c>
      <c r="D206" s="629">
        <v>431.27850000000001</v>
      </c>
      <c r="E206" s="630">
        <f t="shared" si="23"/>
        <v>15.131779999999992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11.924290000000001</v>
      </c>
      <c r="D208" s="629">
        <v>14.724489999999999</v>
      </c>
      <c r="E208" s="630">
        <f t="shared" si="23"/>
        <v>2.8001999999999985</v>
      </c>
    </row>
    <row r="209" spans="1:5" s="421" customFormat="1" x14ac:dyDescent="0.2">
      <c r="A209" s="588">
        <v>7</v>
      </c>
      <c r="B209" s="587" t="s">
        <v>759</v>
      </c>
      <c r="C209" s="629">
        <v>56.853119999999997</v>
      </c>
      <c r="D209" s="629">
        <v>28.528500000000001</v>
      </c>
      <c r="E209" s="630">
        <f t="shared" si="23"/>
        <v>-28.324619999999996</v>
      </c>
    </row>
    <row r="210" spans="1:5" s="421" customFormat="1" x14ac:dyDescent="0.2">
      <c r="A210" s="588"/>
      <c r="B210" s="592" t="s">
        <v>824</v>
      </c>
      <c r="C210" s="631">
        <f>C204+C205+C208</f>
        <v>3101.7621800000002</v>
      </c>
      <c r="D210" s="631">
        <f>D204+D205+D208</f>
        <v>2843.7579099999998</v>
      </c>
      <c r="E210" s="632">
        <f t="shared" si="23"/>
        <v>-258.00427000000036</v>
      </c>
    </row>
    <row r="211" spans="1:5" s="421" customFormat="1" x14ac:dyDescent="0.2">
      <c r="A211" s="588"/>
      <c r="B211" s="592" t="s">
        <v>725</v>
      </c>
      <c r="C211" s="631">
        <f>C210+C203</f>
        <v>4039.8776000000003</v>
      </c>
      <c r="D211" s="631">
        <f>D210+D203</f>
        <v>3633.22885</v>
      </c>
      <c r="E211" s="632">
        <f t="shared" si="23"/>
        <v>-406.64875000000029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2309.1404714155533</v>
      </c>
      <c r="D215" s="633">
        <f>IF(D14*D137=0,0,D25/D14*D137)</f>
        <v>2097.3665642849114</v>
      </c>
      <c r="E215" s="633">
        <f t="shared" ref="E215:E223" si="24">D215-C215</f>
        <v>-211.77390713064187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1551.7459989201557</v>
      </c>
      <c r="D216" s="633">
        <f>IF(D15*D138=0,0,D26/D15*D138)</f>
        <v>1472.7971695492247</v>
      </c>
      <c r="E216" s="633">
        <f t="shared" si="24"/>
        <v>-78.94882937093098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931.57615447532532</v>
      </c>
      <c r="D217" s="633">
        <f>D218+D219</f>
        <v>1034.4187603239798</v>
      </c>
      <c r="E217" s="633">
        <f t="shared" si="24"/>
        <v>102.84260584865444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931.57615447532532</v>
      </c>
      <c r="D218" s="633">
        <f t="shared" si="25"/>
        <v>1034.4187603239798</v>
      </c>
      <c r="E218" s="633">
        <f t="shared" si="24"/>
        <v>102.84260584865444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33.146940377808015</v>
      </c>
      <c r="D220" s="633">
        <f t="shared" si="25"/>
        <v>30.775054644808744</v>
      </c>
      <c r="E220" s="633">
        <f t="shared" si="24"/>
        <v>-2.3718857329992709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207.63970071877557</v>
      </c>
      <c r="D221" s="633">
        <f t="shared" si="25"/>
        <v>110.88656341252366</v>
      </c>
      <c r="E221" s="633">
        <f t="shared" si="24"/>
        <v>-96.753137306251915</v>
      </c>
    </row>
    <row r="222" spans="1:5" s="421" customFormat="1" x14ac:dyDescent="0.2">
      <c r="A222" s="588"/>
      <c r="B222" s="592" t="s">
        <v>826</v>
      </c>
      <c r="C222" s="634">
        <f>C216+C218+C219+C220</f>
        <v>2516.4690937732889</v>
      </c>
      <c r="D222" s="634">
        <f>D216+D218+D219+D220</f>
        <v>2537.9909845180132</v>
      </c>
      <c r="E222" s="634">
        <f t="shared" si="24"/>
        <v>21.52189074472426</v>
      </c>
    </row>
    <row r="223" spans="1:5" s="421" customFormat="1" x14ac:dyDescent="0.2">
      <c r="A223" s="588"/>
      <c r="B223" s="592" t="s">
        <v>827</v>
      </c>
      <c r="C223" s="634">
        <f>C215+C222</f>
        <v>4825.6095651888427</v>
      </c>
      <c r="D223" s="634">
        <f>D215+D222</f>
        <v>4635.3575488029246</v>
      </c>
      <c r="E223" s="634">
        <f t="shared" si="24"/>
        <v>-190.25201638591807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7264.3929038070819</v>
      </c>
      <c r="D227" s="636">
        <f t="shared" si="26"/>
        <v>8615.2607466463542</v>
      </c>
      <c r="E227" s="636">
        <f t="shared" ref="E227:E235" si="27">D227-C227</f>
        <v>1350.8678428392723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6201.3011024006937</v>
      </c>
      <c r="D228" s="636">
        <f t="shared" si="26"/>
        <v>6346.9022096720382</v>
      </c>
      <c r="E228" s="636">
        <f t="shared" si="27"/>
        <v>145.60110727134452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5181.2279092335511</v>
      </c>
      <c r="D229" s="636">
        <f t="shared" si="26"/>
        <v>3886.5999580317589</v>
      </c>
      <c r="E229" s="636">
        <f t="shared" si="27"/>
        <v>-1294.6279512017923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5181.2279092335511</v>
      </c>
      <c r="D230" s="636">
        <f t="shared" si="26"/>
        <v>3886.5999580317589</v>
      </c>
      <c r="E230" s="636">
        <f t="shared" si="27"/>
        <v>-1294.6279512017923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6466.9678446263879</v>
      </c>
      <c r="D232" s="636">
        <f t="shared" si="26"/>
        <v>6093.3180028646157</v>
      </c>
      <c r="E232" s="636">
        <f t="shared" si="27"/>
        <v>-373.64984176177222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37.711210923868386</v>
      </c>
      <c r="D233" s="636">
        <f t="shared" si="26"/>
        <v>0.70105333263227998</v>
      </c>
      <c r="E233" s="636">
        <f t="shared" si="27"/>
        <v>-37.010157591236108</v>
      </c>
    </row>
    <row r="234" spans="1:5" x14ac:dyDescent="0.2">
      <c r="A234" s="588"/>
      <c r="B234" s="592" t="s">
        <v>829</v>
      </c>
      <c r="C234" s="637">
        <f t="shared" si="26"/>
        <v>6065.464696587409</v>
      </c>
      <c r="D234" s="637">
        <f t="shared" si="26"/>
        <v>5972.4647939528722</v>
      </c>
      <c r="E234" s="637">
        <f t="shared" si="27"/>
        <v>-92.999902634536738</v>
      </c>
    </row>
    <row r="235" spans="1:5" s="421" customFormat="1" x14ac:dyDescent="0.2">
      <c r="A235" s="588"/>
      <c r="B235" s="592" t="s">
        <v>830</v>
      </c>
      <c r="C235" s="637">
        <f t="shared" si="26"/>
        <v>6343.8723985102915</v>
      </c>
      <c r="D235" s="637">
        <f t="shared" si="26"/>
        <v>6546.722758738415</v>
      </c>
      <c r="E235" s="637">
        <f t="shared" si="27"/>
        <v>202.85036022812346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12385.280737151506</v>
      </c>
      <c r="D239" s="636">
        <f t="shared" si="28"/>
        <v>14437.327988168805</v>
      </c>
      <c r="E239" s="638">
        <f t="shared" ref="E239:E247" si="29">D239-C239</f>
        <v>2052.0472510172985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6700.227361459416</v>
      </c>
      <c r="D240" s="636">
        <f t="shared" si="28"/>
        <v>6594.3554216447692</v>
      </c>
      <c r="E240" s="638">
        <f t="shared" si="29"/>
        <v>-105.87193981464679</v>
      </c>
    </row>
    <row r="241" spans="1:5" x14ac:dyDescent="0.2">
      <c r="A241" s="588">
        <v>3</v>
      </c>
      <c r="B241" s="587" t="s">
        <v>778</v>
      </c>
      <c r="C241" s="636">
        <f t="shared" si="28"/>
        <v>5619.0424957240011</v>
      </c>
      <c r="D241" s="636">
        <f t="shared" si="28"/>
        <v>5578.1664267117376</v>
      </c>
      <c r="E241" s="638">
        <f t="shared" si="29"/>
        <v>-40.876069012263542</v>
      </c>
    </row>
    <row r="242" spans="1:5" x14ac:dyDescent="0.2">
      <c r="A242" s="588">
        <v>4</v>
      </c>
      <c r="B242" s="587" t="s">
        <v>115</v>
      </c>
      <c r="C242" s="636">
        <f t="shared" si="28"/>
        <v>5619.0424957240011</v>
      </c>
      <c r="D242" s="636">
        <f t="shared" si="28"/>
        <v>5578.1664267117376</v>
      </c>
      <c r="E242" s="638">
        <f t="shared" si="29"/>
        <v>-40.876069012263542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5324.2621487368397</v>
      </c>
      <c r="D244" s="636">
        <f t="shared" si="28"/>
        <v>6626.5357561079118</v>
      </c>
      <c r="E244" s="638">
        <f t="shared" si="29"/>
        <v>1302.2736073710721</v>
      </c>
    </row>
    <row r="245" spans="1:5" x14ac:dyDescent="0.2">
      <c r="A245" s="588">
        <v>7</v>
      </c>
      <c r="B245" s="587" t="s">
        <v>759</v>
      </c>
      <c r="C245" s="636">
        <f t="shared" si="28"/>
        <v>843.59108298484023</v>
      </c>
      <c r="D245" s="636">
        <f t="shared" si="28"/>
        <v>2228.2591541843567</v>
      </c>
      <c r="E245" s="638">
        <f t="shared" si="29"/>
        <v>1384.6680711995164</v>
      </c>
    </row>
    <row r="246" spans="1:5" ht="25.5" x14ac:dyDescent="0.2">
      <c r="A246" s="588"/>
      <c r="B246" s="592" t="s">
        <v>832</v>
      </c>
      <c r="C246" s="637">
        <f t="shared" si="28"/>
        <v>6281.8574005599003</v>
      </c>
      <c r="D246" s="637">
        <f t="shared" si="28"/>
        <v>6180.57357007474</v>
      </c>
      <c r="E246" s="639">
        <f t="shared" si="29"/>
        <v>-101.28383048516025</v>
      </c>
    </row>
    <row r="247" spans="1:5" x14ac:dyDescent="0.2">
      <c r="A247" s="588"/>
      <c r="B247" s="592" t="s">
        <v>833</v>
      </c>
      <c r="C247" s="637">
        <f t="shared" si="28"/>
        <v>9202.454612231395</v>
      </c>
      <c r="D247" s="637">
        <f t="shared" si="28"/>
        <v>9916.5185244169188</v>
      </c>
      <c r="E247" s="639">
        <f t="shared" si="29"/>
        <v>714.0639121855238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1007206.0394987187</v>
      </c>
      <c r="D251" s="622">
        <f>((IF((IF(D15=0,0,D26/D15)*D138)=0,0,D59/(IF(D15=0,0,D26/D15)*D138)))-(IF((IF(D17=0,0,D28/D17)*D140)=0,0,D61/(IF(D17=0,0,D28/D17)*D140))))*(IF(D17=0,0,D28/D17)*D140)</f>
        <v>1051164.9603934975</v>
      </c>
      <c r="E251" s="622">
        <f>D251-C251</f>
        <v>43958.920894778799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1566489.5198121034</v>
      </c>
      <c r="D253" s="622">
        <f>IF(D233=0,0,(D228-D233)*D209+IF(D221=0,0,(D240-D245)*D221))</f>
        <v>665189.01031556062</v>
      </c>
      <c r="E253" s="622">
        <f>D253-C253</f>
        <v>-901300.50949654274</v>
      </c>
    </row>
    <row r="254" spans="1:5" ht="15" customHeight="1" x14ac:dyDescent="0.2">
      <c r="A254" s="588"/>
      <c r="B254" s="592" t="s">
        <v>760</v>
      </c>
      <c r="C254" s="640">
        <f>+C251+C252+C253</f>
        <v>2573695.5593108218</v>
      </c>
      <c r="D254" s="640">
        <f>+D251+D252+D253</f>
        <v>1716353.970709058</v>
      </c>
      <c r="E254" s="640">
        <f>D254-C254</f>
        <v>-857341.58860176383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222664628</v>
      </c>
      <c r="D258" s="625">
        <f>+D44</f>
        <v>227300072</v>
      </c>
      <c r="E258" s="622">
        <f t="shared" ref="E258:E271" si="30">D258-C258</f>
        <v>4635444</v>
      </c>
    </row>
    <row r="259" spans="1:5" x14ac:dyDescent="0.2">
      <c r="A259" s="588">
        <v>2</v>
      </c>
      <c r="B259" s="587" t="s">
        <v>743</v>
      </c>
      <c r="C259" s="622">
        <f>+(C43-C76)</f>
        <v>106415884</v>
      </c>
      <c r="D259" s="625">
        <f>+(D43-D76)</f>
        <v>109808205</v>
      </c>
      <c r="E259" s="622">
        <f t="shared" si="30"/>
        <v>3392321</v>
      </c>
    </row>
    <row r="260" spans="1:5" x14ac:dyDescent="0.2">
      <c r="A260" s="588">
        <v>3</v>
      </c>
      <c r="B260" s="587" t="s">
        <v>747</v>
      </c>
      <c r="C260" s="622">
        <f>C195</f>
        <v>5398981</v>
      </c>
      <c r="D260" s="622">
        <f>D195</f>
        <v>3989826</v>
      </c>
      <c r="E260" s="622">
        <f t="shared" si="30"/>
        <v>-1409155</v>
      </c>
    </row>
    <row r="261" spans="1:5" x14ac:dyDescent="0.2">
      <c r="A261" s="588">
        <v>4</v>
      </c>
      <c r="B261" s="587" t="s">
        <v>748</v>
      </c>
      <c r="C261" s="622">
        <f>C188</f>
        <v>46212823</v>
      </c>
      <c r="D261" s="622">
        <f>D188</f>
        <v>47739516</v>
      </c>
      <c r="E261" s="622">
        <f t="shared" si="30"/>
        <v>1526693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158027688</v>
      </c>
      <c r="D263" s="622">
        <f>+D259+D260+D261+D262</f>
        <v>161537547</v>
      </c>
      <c r="E263" s="622">
        <f t="shared" si="30"/>
        <v>3509859</v>
      </c>
    </row>
    <row r="264" spans="1:5" x14ac:dyDescent="0.2">
      <c r="A264" s="588">
        <v>7</v>
      </c>
      <c r="B264" s="587" t="s">
        <v>655</v>
      </c>
      <c r="C264" s="622">
        <f>+C258-C263</f>
        <v>64636940</v>
      </c>
      <c r="D264" s="622">
        <f>+D258-D263</f>
        <v>65762525</v>
      </c>
      <c r="E264" s="622">
        <f t="shared" si="30"/>
        <v>1125585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64636940</v>
      </c>
      <c r="D266" s="622">
        <f>+D264+D265</f>
        <v>65762525</v>
      </c>
      <c r="E266" s="641">
        <f t="shared" si="30"/>
        <v>1125585</v>
      </c>
    </row>
    <row r="267" spans="1:5" x14ac:dyDescent="0.2">
      <c r="A267" s="588">
        <v>10</v>
      </c>
      <c r="B267" s="587" t="s">
        <v>838</v>
      </c>
      <c r="C267" s="642">
        <f>IF(C258=0,0,C266/C258)</f>
        <v>0.29028831647207115</v>
      </c>
      <c r="D267" s="642">
        <f>IF(D258=0,0,D266/D258)</f>
        <v>0.28932029990734009</v>
      </c>
      <c r="E267" s="643">
        <f t="shared" si="30"/>
        <v>-9.6801656473105568E-4</v>
      </c>
    </row>
    <row r="268" spans="1:5" x14ac:dyDescent="0.2">
      <c r="A268" s="588">
        <v>11</v>
      </c>
      <c r="B268" s="587" t="s">
        <v>717</v>
      </c>
      <c r="C268" s="622">
        <f>+C260*C267</f>
        <v>1567261.1051546992</v>
      </c>
      <c r="D268" s="644">
        <f>+D260*D267</f>
        <v>1154337.6548981031</v>
      </c>
      <c r="E268" s="622">
        <f t="shared" si="30"/>
        <v>-412923.45025659609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3080561.119762335</v>
      </c>
      <c r="D269" s="644">
        <f>((D17+D18+D28+D29)*D267)-(D50+D51+D61+D62)</f>
        <v>4448462.8298949711</v>
      </c>
      <c r="E269" s="622">
        <f t="shared" si="30"/>
        <v>1367901.7101326361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4647822.2249170337</v>
      </c>
      <c r="D271" s="622">
        <f>+D268+D269+D270</f>
        <v>5602800.4847930744</v>
      </c>
      <c r="E271" s="625">
        <f t="shared" si="30"/>
        <v>954978.25987604074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0.42713186928415581</v>
      </c>
      <c r="D276" s="623">
        <f t="shared" si="31"/>
        <v>0.42411188550603207</v>
      </c>
      <c r="E276" s="650">
        <f t="shared" ref="E276:E284" si="32">D276-C276</f>
        <v>-3.019983778123736E-3</v>
      </c>
    </row>
    <row r="277" spans="1:5" x14ac:dyDescent="0.2">
      <c r="A277" s="588">
        <v>2</v>
      </c>
      <c r="B277" s="587" t="s">
        <v>636</v>
      </c>
      <c r="C277" s="623">
        <f t="shared" si="31"/>
        <v>0.30400742480579018</v>
      </c>
      <c r="D277" s="623">
        <f t="shared" si="31"/>
        <v>0.29932604652729888</v>
      </c>
      <c r="E277" s="650">
        <f t="shared" si="32"/>
        <v>-4.6813782784912994E-3</v>
      </c>
    </row>
    <row r="278" spans="1:5" x14ac:dyDescent="0.2">
      <c r="A278" s="588">
        <v>3</v>
      </c>
      <c r="B278" s="587" t="s">
        <v>778</v>
      </c>
      <c r="C278" s="623">
        <f t="shared" si="31"/>
        <v>0.2504708487335206</v>
      </c>
      <c r="D278" s="623">
        <f t="shared" si="31"/>
        <v>0.17381169890323431</v>
      </c>
      <c r="E278" s="650">
        <f t="shared" si="32"/>
        <v>-7.6659149830286294E-2</v>
      </c>
    </row>
    <row r="279" spans="1:5" x14ac:dyDescent="0.2">
      <c r="A279" s="588">
        <v>4</v>
      </c>
      <c r="B279" s="587" t="s">
        <v>115</v>
      </c>
      <c r="C279" s="623">
        <f t="shared" si="31"/>
        <v>0.2504708487335206</v>
      </c>
      <c r="D279" s="623">
        <f t="shared" si="31"/>
        <v>0.17381169890323431</v>
      </c>
      <c r="E279" s="650">
        <f t="shared" si="32"/>
        <v>-7.6659149830286294E-2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0.52193276344020523</v>
      </c>
      <c r="D281" s="623">
        <f t="shared" si="31"/>
        <v>0.24513934426229508</v>
      </c>
      <c r="E281" s="650">
        <f t="shared" si="32"/>
        <v>-0.27679341917791012</v>
      </c>
    </row>
    <row r="282" spans="1:5" x14ac:dyDescent="0.2">
      <c r="A282" s="588">
        <v>7</v>
      </c>
      <c r="B282" s="587" t="s">
        <v>759</v>
      </c>
      <c r="C282" s="623">
        <f t="shared" si="31"/>
        <v>2.0484578761963269E-3</v>
      </c>
      <c r="D282" s="623">
        <f t="shared" si="31"/>
        <v>2.4936598697810816E-5</v>
      </c>
      <c r="E282" s="650">
        <f t="shared" si="32"/>
        <v>-2.0235212774985163E-3</v>
      </c>
    </row>
    <row r="283" spans="1:5" ht="29.25" customHeight="1" x14ac:dyDescent="0.2">
      <c r="A283" s="588"/>
      <c r="B283" s="592" t="s">
        <v>845</v>
      </c>
      <c r="C283" s="651">
        <f t="shared" si="31"/>
        <v>0.29723496672597949</v>
      </c>
      <c r="D283" s="651">
        <f t="shared" si="31"/>
        <v>0.27910856856747268</v>
      </c>
      <c r="E283" s="652">
        <f t="shared" si="32"/>
        <v>-1.8126398158506807E-2</v>
      </c>
    </row>
    <row r="284" spans="1:5" x14ac:dyDescent="0.2">
      <c r="A284" s="588"/>
      <c r="B284" s="592" t="s">
        <v>846</v>
      </c>
      <c r="C284" s="651">
        <f t="shared" si="31"/>
        <v>0.3233861398232134</v>
      </c>
      <c r="D284" s="651">
        <f t="shared" si="31"/>
        <v>0.30935255784510779</v>
      </c>
      <c r="E284" s="652">
        <f t="shared" si="32"/>
        <v>-1.4033581978105614E-2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0.43548689724280615</v>
      </c>
      <c r="D287" s="623">
        <f t="shared" si="33"/>
        <v>0.44022180569980268</v>
      </c>
      <c r="E287" s="650">
        <f t="shared" ref="E287:E295" si="34">D287-C287</f>
        <v>4.7349084569965338E-3</v>
      </c>
    </row>
    <row r="288" spans="1:5" x14ac:dyDescent="0.2">
      <c r="A288" s="588">
        <v>2</v>
      </c>
      <c r="B288" s="587" t="s">
        <v>636</v>
      </c>
      <c r="C288" s="623">
        <f t="shared" si="33"/>
        <v>0.20970712729047236</v>
      </c>
      <c r="D288" s="623">
        <f t="shared" si="33"/>
        <v>0.1976674819172729</v>
      </c>
      <c r="E288" s="650">
        <f t="shared" si="34"/>
        <v>-1.2039645373199459E-2</v>
      </c>
    </row>
    <row r="289" spans="1:5" x14ac:dyDescent="0.2">
      <c r="A289" s="588">
        <v>3</v>
      </c>
      <c r="B289" s="587" t="s">
        <v>778</v>
      </c>
      <c r="C289" s="623">
        <f t="shared" si="33"/>
        <v>0.19060012594123671</v>
      </c>
      <c r="D289" s="623">
        <f t="shared" si="33"/>
        <v>0.18335893772975834</v>
      </c>
      <c r="E289" s="650">
        <f t="shared" si="34"/>
        <v>-7.2411882114783721E-3</v>
      </c>
    </row>
    <row r="290" spans="1:5" x14ac:dyDescent="0.2">
      <c r="A290" s="588">
        <v>4</v>
      </c>
      <c r="B290" s="587" t="s">
        <v>115</v>
      </c>
      <c r="C290" s="623">
        <f t="shared" si="33"/>
        <v>0.19060012594123671</v>
      </c>
      <c r="D290" s="623">
        <f t="shared" si="33"/>
        <v>0.18335893772975834</v>
      </c>
      <c r="E290" s="650">
        <f t="shared" si="34"/>
        <v>-7.2411882114783721E-3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0.25225442845646867</v>
      </c>
      <c r="D292" s="623">
        <f t="shared" si="33"/>
        <v>0.19915817846225964</v>
      </c>
      <c r="E292" s="650">
        <f t="shared" si="34"/>
        <v>-5.3096249994209033E-2</v>
      </c>
    </row>
    <row r="293" spans="1:5" x14ac:dyDescent="0.2">
      <c r="A293" s="588">
        <v>7</v>
      </c>
      <c r="B293" s="587" t="s">
        <v>759</v>
      </c>
      <c r="C293" s="623">
        <f t="shared" si="33"/>
        <v>3.8687928318566087E-2</v>
      </c>
      <c r="D293" s="623">
        <f t="shared" si="33"/>
        <v>7.2234765619404256E-2</v>
      </c>
      <c r="E293" s="650">
        <f t="shared" si="34"/>
        <v>3.354683730083817E-2</v>
      </c>
    </row>
    <row r="294" spans="1:5" ht="29.25" customHeight="1" x14ac:dyDescent="0.2">
      <c r="A294" s="588"/>
      <c r="B294" s="592" t="s">
        <v>848</v>
      </c>
      <c r="C294" s="651">
        <f t="shared" si="33"/>
        <v>0.2033401809283964</v>
      </c>
      <c r="D294" s="651">
        <f t="shared" si="33"/>
        <v>0.19216988430119064</v>
      </c>
      <c r="E294" s="652">
        <f t="shared" si="34"/>
        <v>-1.1170296627205756E-2</v>
      </c>
    </row>
    <row r="295" spans="1:5" x14ac:dyDescent="0.2">
      <c r="A295" s="588"/>
      <c r="B295" s="592" t="s">
        <v>849</v>
      </c>
      <c r="C295" s="651">
        <f t="shared" si="33"/>
        <v>0.30964459547358286</v>
      </c>
      <c r="D295" s="651">
        <f t="shared" si="33"/>
        <v>0.30560611248804675</v>
      </c>
      <c r="E295" s="652">
        <f t="shared" si="34"/>
        <v>-4.0384829855361071E-3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70035921</v>
      </c>
      <c r="D301" s="590">
        <f>+D48+D47+D50+D51+D52+D59+D58+D61+D62+D63</f>
        <v>69752351</v>
      </c>
      <c r="E301" s="590">
        <f>D301-C301</f>
        <v>-283570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70035921</v>
      </c>
      <c r="D303" s="593">
        <f>+D301+D302</f>
        <v>69752351</v>
      </c>
      <c r="E303" s="593">
        <f>D303-C303</f>
        <v>-283570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-1125279</v>
      </c>
      <c r="D305" s="654">
        <v>-1223668</v>
      </c>
      <c r="E305" s="655">
        <f>D305-C305</f>
        <v>-98389</v>
      </c>
    </row>
    <row r="306" spans="1:5" x14ac:dyDescent="0.2">
      <c r="A306" s="588">
        <v>4</v>
      </c>
      <c r="B306" s="592" t="s">
        <v>856</v>
      </c>
      <c r="C306" s="593">
        <f>+C303+C305+C194+C190-C191</f>
        <v>73037856</v>
      </c>
      <c r="D306" s="593">
        <f>+D303+D305</f>
        <v>68528683</v>
      </c>
      <c r="E306" s="656">
        <f>D306-C306</f>
        <v>-4509173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68910644</v>
      </c>
      <c r="D308" s="589">
        <v>68528682</v>
      </c>
      <c r="E308" s="590">
        <f>D308-C308</f>
        <v>-381962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4127212</v>
      </c>
      <c r="D310" s="658">
        <f>D306-D308</f>
        <v>1</v>
      </c>
      <c r="E310" s="656">
        <f>D310-C310</f>
        <v>-4127211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222664628</v>
      </c>
      <c r="D314" s="590">
        <f>+D14+D15+D16+D19+D25+D26+D27+D30</f>
        <v>227300072</v>
      </c>
      <c r="E314" s="590">
        <f>D314-C314</f>
        <v>4635444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222664628</v>
      </c>
      <c r="D316" s="657">
        <f>D314+D315</f>
        <v>227300072</v>
      </c>
      <c r="E316" s="593">
        <f>D316-C316</f>
        <v>4635444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222664629</v>
      </c>
      <c r="D318" s="589">
        <v>227300072</v>
      </c>
      <c r="E318" s="590">
        <f>D318-C318</f>
        <v>4635443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-1</v>
      </c>
      <c r="D320" s="657">
        <f>D316-D318</f>
        <v>0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5398981</v>
      </c>
      <c r="D324" s="589">
        <f>+D193+D194</f>
        <v>3989826</v>
      </c>
      <c r="E324" s="590">
        <f>D324-C324</f>
        <v>-1409155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5398981</v>
      </c>
      <c r="D326" s="657">
        <f>D324+D325</f>
        <v>3989826</v>
      </c>
      <c r="E326" s="593">
        <f>D326-C326</f>
        <v>-1409155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5398981</v>
      </c>
      <c r="D328" s="589">
        <v>3989826</v>
      </c>
      <c r="E328" s="590">
        <f>D328-C328</f>
        <v>-1409155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FILING&amp;RROCKVILLE GENERAL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16037037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50841937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9643810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9643810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366000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802034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60851747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76888784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68784346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49133767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31469205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31469205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1023970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3420569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81626942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150411288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84821383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142478689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227300072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6801498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15218316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1676207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1676207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89721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20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16984244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23785742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30280369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9712148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5770160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5770160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203932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247084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15686240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45966609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37081867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32670484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69752351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489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1524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317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317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26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1852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2341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1.61446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1.5733299999999999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1.3605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1.3605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1.3385899999999999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1.0972500000000001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1.5355064308855291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1.5519986544211875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84821383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37081867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47739516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0.56282406996358458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1188543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2801283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3989826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6391666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72159655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69752351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69752351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-1223668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68528683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68528682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227300072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227300072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227300072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3989826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3989826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3989826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FILING&amp;RROCKVILLE GENERAL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1303</v>
      </c>
      <c r="D12" s="185">
        <v>337</v>
      </c>
      <c r="E12" s="185">
        <f>+D12-C12</f>
        <v>-966</v>
      </c>
      <c r="F12" s="77">
        <f>IF(C12=0,0,+E12/C12)</f>
        <v>-0.74136607828089029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1145</v>
      </c>
      <c r="D13" s="185">
        <v>305</v>
      </c>
      <c r="E13" s="185">
        <f>+D13-C13</f>
        <v>-840</v>
      </c>
      <c r="F13" s="77">
        <f>IF(C13=0,0,+E13/C13)</f>
        <v>-0.73362445414847166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1271767</v>
      </c>
      <c r="D15" s="76">
        <v>1188543</v>
      </c>
      <c r="E15" s="76">
        <f>+D15-C15</f>
        <v>-83224</v>
      </c>
      <c r="F15" s="77">
        <f>IF(C15=0,0,+E15/C15)</f>
        <v>-6.5439659937708713E-2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1110.713537117904</v>
      </c>
      <c r="D16" s="79">
        <f>IF(D13=0,0,+D15/+D13)</f>
        <v>3896.8622950819672</v>
      </c>
      <c r="E16" s="79">
        <f>+D16-C16</f>
        <v>2786.1487579640634</v>
      </c>
      <c r="F16" s="80">
        <f>IF(C16=0,0,+E16/C16)</f>
        <v>2.5084314405617163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0.37980199999999997</v>
      </c>
      <c r="D18" s="704">
        <v>0.31332199999999999</v>
      </c>
      <c r="E18" s="704">
        <f>+D18-C18</f>
        <v>-6.6479999999999984E-2</v>
      </c>
      <c r="F18" s="77">
        <f>IF(C18=0,0,+E18/C18)</f>
        <v>-0.1750385727300014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483019.65013399994</v>
      </c>
      <c r="D19" s="79">
        <f>+D15*D18</f>
        <v>372396.66984599998</v>
      </c>
      <c r="E19" s="79">
        <f>+D19-C19</f>
        <v>-110622.98028799996</v>
      </c>
      <c r="F19" s="80">
        <f>IF(C19=0,0,+E19/C19)</f>
        <v>-0.22902376799227689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421.85122282445411</v>
      </c>
      <c r="D20" s="79">
        <f>IF(D13=0,0,+D19/D13)</f>
        <v>1220.972688019672</v>
      </c>
      <c r="E20" s="79">
        <f>+D20-C20</f>
        <v>799.12146519521787</v>
      </c>
      <c r="F20" s="80">
        <f>IF(C20=0,0,+E20/C20)</f>
        <v>1.8943206086847306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273433</v>
      </c>
      <c r="D22" s="76">
        <v>362107</v>
      </c>
      <c r="E22" s="76">
        <f>+D22-C22</f>
        <v>88674</v>
      </c>
      <c r="F22" s="77">
        <f>IF(C22=0,0,+E22/C22)</f>
        <v>0.32429882274634003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790135</v>
      </c>
      <c r="D23" s="185">
        <v>628554</v>
      </c>
      <c r="E23" s="185">
        <f>+D23-C23</f>
        <v>-161581</v>
      </c>
      <c r="F23" s="77">
        <f>IF(C23=0,0,+E23/C23)</f>
        <v>-0.20449796553753471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208199</v>
      </c>
      <c r="D24" s="185">
        <v>197882</v>
      </c>
      <c r="E24" s="185">
        <f>+D24-C24</f>
        <v>-10317</v>
      </c>
      <c r="F24" s="77">
        <f>IF(C24=0,0,+E24/C24)</f>
        <v>-4.9553552130413688E-2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1271767</v>
      </c>
      <c r="D25" s="79">
        <f>+D22+D23+D24</f>
        <v>1188543</v>
      </c>
      <c r="E25" s="79">
        <f>+E22+E23+E24</f>
        <v>-83224</v>
      </c>
      <c r="F25" s="80">
        <f>IF(C25=0,0,+E25/C25)</f>
        <v>-6.5439659937708713E-2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174</v>
      </c>
      <c r="D27" s="185">
        <v>207</v>
      </c>
      <c r="E27" s="185">
        <f>+D27-C27</f>
        <v>33</v>
      </c>
      <c r="F27" s="77">
        <f>IF(C27=0,0,+E27/C27)</f>
        <v>0.18965517241379309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38</v>
      </c>
      <c r="D28" s="185">
        <v>37</v>
      </c>
      <c r="E28" s="185">
        <f>+D28-C28</f>
        <v>-1</v>
      </c>
      <c r="F28" s="77">
        <f>IF(C28=0,0,+E28/C28)</f>
        <v>-2.6315789473684209E-2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585</v>
      </c>
      <c r="D29" s="185">
        <v>403</v>
      </c>
      <c r="E29" s="185">
        <f>+D29-C29</f>
        <v>-182</v>
      </c>
      <c r="F29" s="77">
        <f>IF(C29=0,0,+E29/C29)</f>
        <v>-0.31111111111111112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388</v>
      </c>
      <c r="D30" s="185">
        <v>310</v>
      </c>
      <c r="E30" s="185">
        <f>+D30-C30</f>
        <v>-78</v>
      </c>
      <c r="F30" s="77">
        <f>IF(C30=0,0,+E30/C30)</f>
        <v>-0.20103092783505155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838596</v>
      </c>
      <c r="D33" s="76">
        <v>523552</v>
      </c>
      <c r="E33" s="76">
        <f>+D33-C33</f>
        <v>-315044</v>
      </c>
      <c r="F33" s="77">
        <f>IF(C33=0,0,+E33/C33)</f>
        <v>-0.37568030374578459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2602788</v>
      </c>
      <c r="D34" s="185">
        <v>758910</v>
      </c>
      <c r="E34" s="185">
        <f>+D34-C34</f>
        <v>-1843878</v>
      </c>
      <c r="F34" s="77">
        <f>IF(C34=0,0,+E34/C34)</f>
        <v>-0.70842419743751706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685830</v>
      </c>
      <c r="D35" s="185">
        <v>1518821</v>
      </c>
      <c r="E35" s="185">
        <f>+D35-C35</f>
        <v>832991</v>
      </c>
      <c r="F35" s="77">
        <f>IF(C35=0,0,+E35/C35)</f>
        <v>1.2145735823746409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4127214</v>
      </c>
      <c r="D36" s="79">
        <f>+D33+D34+D35</f>
        <v>2801283</v>
      </c>
      <c r="E36" s="79">
        <f>+E33+E34+E35</f>
        <v>-1325931</v>
      </c>
      <c r="F36" s="80">
        <f>IF(C36=0,0,+E36/C36)</f>
        <v>-0.32126538628721457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1271767</v>
      </c>
      <c r="D39" s="76">
        <f>+D25</f>
        <v>1188543</v>
      </c>
      <c r="E39" s="76">
        <f>+D39-C39</f>
        <v>-83224</v>
      </c>
      <c r="F39" s="77">
        <f>IF(C39=0,0,+E39/C39)</f>
        <v>-6.5439659937708713E-2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4127214</v>
      </c>
      <c r="D40" s="185">
        <f>+D36</f>
        <v>2801283</v>
      </c>
      <c r="E40" s="185">
        <f>+D40-C40</f>
        <v>-1325931</v>
      </c>
      <c r="F40" s="77">
        <f>IF(C40=0,0,+E40/C40)</f>
        <v>-0.32126538628721457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5398981</v>
      </c>
      <c r="D41" s="79">
        <f>+D39+D40</f>
        <v>3989826</v>
      </c>
      <c r="E41" s="79">
        <f>+E39+E40</f>
        <v>-1409155</v>
      </c>
      <c r="F41" s="80">
        <f>IF(C41=0,0,+E41/C41)</f>
        <v>-0.2610038820288495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1112029</v>
      </c>
      <c r="D43" s="76">
        <f t="shared" si="0"/>
        <v>885659</v>
      </c>
      <c r="E43" s="76">
        <f>+D43-C43</f>
        <v>-226370</v>
      </c>
      <c r="F43" s="77">
        <f>IF(C43=0,0,+E43/C43)</f>
        <v>-0.20356483508973236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3392923</v>
      </c>
      <c r="D44" s="185">
        <f t="shared" si="0"/>
        <v>1387464</v>
      </c>
      <c r="E44" s="185">
        <f>+D44-C44</f>
        <v>-2005459</v>
      </c>
      <c r="F44" s="77">
        <f>IF(C44=0,0,+E44/C44)</f>
        <v>-0.59107117962889222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894029</v>
      </c>
      <c r="D45" s="185">
        <f t="shared" si="0"/>
        <v>1716703</v>
      </c>
      <c r="E45" s="185">
        <f>+D45-C45</f>
        <v>822674</v>
      </c>
      <c r="F45" s="77">
        <f>IF(C45=0,0,+E45/C45)</f>
        <v>0.92018715276573804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5398981</v>
      </c>
      <c r="D46" s="79">
        <f>+D43+D44+D45</f>
        <v>3989826</v>
      </c>
      <c r="E46" s="79">
        <f>+E43+E44+E45</f>
        <v>-1409155</v>
      </c>
      <c r="F46" s="80">
        <f>IF(C46=0,0,+E46/C46)</f>
        <v>-0.2610038820288495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FILING&amp;RROCKVILLE GENERAL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81627015</v>
      </c>
      <c r="D15" s="76">
        <v>84821383</v>
      </c>
      <c r="E15" s="76">
        <f>+D15-C15</f>
        <v>3194368</v>
      </c>
      <c r="F15" s="77">
        <f>IF(C15=0,0,E15/C15)</f>
        <v>3.9133710818654827E-2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46212823</v>
      </c>
      <c r="D17" s="76">
        <v>47739516</v>
      </c>
      <c r="E17" s="76">
        <f>+D17-C17</f>
        <v>1526693</v>
      </c>
      <c r="F17" s="77">
        <f>IF(C17=0,0,E17/C17)</f>
        <v>3.3036133715527397E-2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35414192</v>
      </c>
      <c r="D19" s="79">
        <f>+D15-D17</f>
        <v>37081867</v>
      </c>
      <c r="E19" s="79">
        <f>+D19-C19</f>
        <v>1667675</v>
      </c>
      <c r="F19" s="80">
        <f>IF(C19=0,0,E19/C19)</f>
        <v>4.7090584475286065E-2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0.56614618334383537</v>
      </c>
      <c r="D21" s="720">
        <f>IF(D15=0,0,D17/D15)</f>
        <v>0.56282406996358458</v>
      </c>
      <c r="E21" s="720">
        <f>+D21-C21</f>
        <v>-3.3221133802507907E-3</v>
      </c>
      <c r="F21" s="80">
        <f>IF(C21=0,0,E21/C21)</f>
        <v>-5.8679427292600587E-3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FILING&amp;R&amp;12ROCKVILLE GENERAL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69889896</v>
      </c>
      <c r="D10" s="744">
        <v>79250360</v>
      </c>
      <c r="E10" s="744">
        <v>76888784</v>
      </c>
    </row>
    <row r="11" spans="1:6" ht="26.1" customHeight="1" x14ac:dyDescent="0.25">
      <c r="A11" s="742">
        <v>2</v>
      </c>
      <c r="B11" s="743" t="s">
        <v>933</v>
      </c>
      <c r="C11" s="744">
        <v>118179402</v>
      </c>
      <c r="D11" s="744">
        <v>143414268</v>
      </c>
      <c r="E11" s="744">
        <v>150411288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188069298</v>
      </c>
      <c r="D12" s="744">
        <f>+D11+D10</f>
        <v>222664628</v>
      </c>
      <c r="E12" s="744">
        <f>+E11+E10</f>
        <v>227300072</v>
      </c>
    </row>
    <row r="13" spans="1:6" ht="26.1" customHeight="1" x14ac:dyDescent="0.25">
      <c r="A13" s="742">
        <v>4</v>
      </c>
      <c r="B13" s="743" t="s">
        <v>507</v>
      </c>
      <c r="C13" s="744">
        <v>67847638</v>
      </c>
      <c r="D13" s="744">
        <v>68910644</v>
      </c>
      <c r="E13" s="744">
        <v>68528682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74038954</v>
      </c>
      <c r="D16" s="744">
        <v>71670098</v>
      </c>
      <c r="E16" s="744">
        <v>72159655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13056</v>
      </c>
      <c r="D19" s="747">
        <v>12325</v>
      </c>
      <c r="E19" s="747">
        <v>11155</v>
      </c>
    </row>
    <row r="20" spans="1:5" ht="26.1" customHeight="1" x14ac:dyDescent="0.25">
      <c r="A20" s="742">
        <v>2</v>
      </c>
      <c r="B20" s="743" t="s">
        <v>381</v>
      </c>
      <c r="C20" s="748">
        <v>2519</v>
      </c>
      <c r="D20" s="748">
        <v>2567</v>
      </c>
      <c r="E20" s="748">
        <v>2341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5.1830091306073838</v>
      </c>
      <c r="D21" s="749">
        <f>IF(D20=0,0,+D19/D20)</f>
        <v>4.8013245033112586</v>
      </c>
      <c r="E21" s="749">
        <f>IF(E20=0,0,+E19/E20)</f>
        <v>4.7650576676633918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35132.871777173626</v>
      </c>
      <c r="D22" s="748">
        <f>IF(D10=0,0,D19*(D12/D10))</f>
        <v>34628.758028354699</v>
      </c>
      <c r="E22" s="748">
        <f>IF(E10=0,0,E19*(E12/E10))</f>
        <v>32976.621182616182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6778.4699760033973</v>
      </c>
      <c r="D23" s="748">
        <f>IF(D10=0,0,D20*(D12/D10))</f>
        <v>7212.3344307331854</v>
      </c>
      <c r="E23" s="748">
        <f>IF(E10=0,0,E20*(E12/E10))</f>
        <v>6920.5083091442839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1.4974912107979359</v>
      </c>
      <c r="D26" s="750">
        <v>1.5737738994935724</v>
      </c>
      <c r="E26" s="750">
        <v>1.5519986544211875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19551.245248177853</v>
      </c>
      <c r="D27" s="748">
        <f>D19*D26</f>
        <v>19396.763311258281</v>
      </c>
      <c r="E27" s="748">
        <f>E19*E26</f>
        <v>17312.544990068345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3772.1803600000007</v>
      </c>
      <c r="D28" s="748">
        <f>D20*D26</f>
        <v>4039.8776000000003</v>
      </c>
      <c r="E28" s="748">
        <f>E20*E26</f>
        <v>3633.22885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52611.166696408363</v>
      </c>
      <c r="D29" s="748">
        <f>D22*D26</f>
        <v>54497.835556903126</v>
      </c>
      <c r="E29" s="748">
        <f>E22*E26</f>
        <v>51179.671702777538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10150.699211722784</v>
      </c>
      <c r="D30" s="748">
        <f>D23*D26</f>
        <v>11350.58368150672</v>
      </c>
      <c r="E30" s="748">
        <f>E23*E26</f>
        <v>10740.619583702575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14404.817555147059</v>
      </c>
      <c r="D33" s="744">
        <f>IF(D19=0,0,D12/D19)</f>
        <v>18066.095578093307</v>
      </c>
      <c r="E33" s="744">
        <f>IF(E19=0,0,E12/E19)</f>
        <v>20376.519229045272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74660.300913060739</v>
      </c>
      <c r="D34" s="744">
        <f>IF(D20=0,0,D12/D20)</f>
        <v>86741.187378262563</v>
      </c>
      <c r="E34" s="744">
        <f>IF(E20=0,0,E12/E20)</f>
        <v>97095.289192652708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5353.0863970588234</v>
      </c>
      <c r="D35" s="744">
        <f>IF(D22=0,0,D12/D22)</f>
        <v>6430.0494929006081</v>
      </c>
      <c r="E35" s="744">
        <f>IF(E22=0,0,E12/E22)</f>
        <v>6892.7641416405195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27745.095672886069</v>
      </c>
      <c r="D36" s="744">
        <f>IF(D23=0,0,D12/D23)</f>
        <v>30872.754187767823</v>
      </c>
      <c r="E36" s="744">
        <f>IF(E23=0,0,E12/E23)</f>
        <v>32844.418624519429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3574.7030489791255</v>
      </c>
      <c r="D37" s="744">
        <f>IF(D29=0,0,D12/D29)</f>
        <v>4085.7517683891861</v>
      </c>
      <c r="E37" s="744">
        <f>IF(E29=0,0,E12/E29)</f>
        <v>4441.2178593100343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18527.718542068862</v>
      </c>
      <c r="D38" s="744">
        <f>IF(D30=0,0,D12/D30)</f>
        <v>19617.020080014303</v>
      </c>
      <c r="E38" s="744">
        <f>IF(E30=0,0,E12/E30)</f>
        <v>21162.659214268871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1989.3021112327217</v>
      </c>
      <c r="D39" s="744">
        <f>IF(D22=0,0,D10/D22)</f>
        <v>2288.5706710910126</v>
      </c>
      <c r="E39" s="744">
        <f>IF(E22=0,0,E10/E22)</f>
        <v>2331.6149818445429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10310.571006055743</v>
      </c>
      <c r="D40" s="744">
        <f>IF(D23=0,0,D10/D23)</f>
        <v>10988.17044066877</v>
      </c>
      <c r="E40" s="744">
        <f>IF(E23=0,0,E10/E23)</f>
        <v>11110.279847277179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5196.6634497549021</v>
      </c>
      <c r="D43" s="744">
        <f>IF(D19=0,0,D13/D19)</f>
        <v>5591.1273022312371</v>
      </c>
      <c r="E43" s="744">
        <f>IF(E19=0,0,E13/E19)</f>
        <v>6143.3152846257281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26934.354108773321</v>
      </c>
      <c r="D44" s="744">
        <f>IF(D20=0,0,D13/D20)</f>
        <v>26844.81651733541</v>
      </c>
      <c r="E44" s="744">
        <f>IF(E20=0,0,E13/E20)</f>
        <v>29273.25160187954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1931.1725619902688</v>
      </c>
      <c r="D45" s="744">
        <f>IF(D22=0,0,D13/D22)</f>
        <v>1989.9831216463099</v>
      </c>
      <c r="E45" s="744">
        <f>IF(E22=0,0,E13/E22)</f>
        <v>2078.0989544230592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10009.285021574018</v>
      </c>
      <c r="D46" s="744">
        <f>IF(D23=0,0,D13/D23)</f>
        <v>9554.5547231362561</v>
      </c>
      <c r="E46" s="744">
        <f>IF(E23=0,0,E13/E23)</f>
        <v>9902.261356936875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1289.6052731830368</v>
      </c>
      <c r="D47" s="744">
        <f>IF(D29=0,0,D13/D29)</f>
        <v>1264.4657039277818</v>
      </c>
      <c r="E47" s="744">
        <f>IF(E29=0,0,E13/E29)</f>
        <v>1338.9824459597096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6684.0359057871101</v>
      </c>
      <c r="D48" s="744">
        <f>IF(D30=0,0,D13/D30)</f>
        <v>6071.1101678651767</v>
      </c>
      <c r="E48" s="744">
        <f>IF(E30=0,0,E13/E30)</f>
        <v>6380.3285709869961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5670.8757659313724</v>
      </c>
      <c r="D51" s="744">
        <f>IF(D19=0,0,D16/D19)</f>
        <v>5815.0180933062884</v>
      </c>
      <c r="E51" s="744">
        <f>IF(E19=0,0,E16/E19)</f>
        <v>6468.8171223666513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29392.200873362446</v>
      </c>
      <c r="D52" s="744">
        <f>IF(D20=0,0,D16/D20)</f>
        <v>27919.788858589793</v>
      </c>
      <c r="E52" s="744">
        <f>IF(E20=0,0,E16/E20)</f>
        <v>30824.286629645452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2107.3982926754156</v>
      </c>
      <c r="D53" s="744">
        <f>IF(D22=0,0,D16/D22)</f>
        <v>2069.6698952158531</v>
      </c>
      <c r="E53" s="744">
        <f>IF(E22=0,0,E16/E22)</f>
        <v>2188.2064448142851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10922.664592763093</v>
      </c>
      <c r="D54" s="744">
        <f>IF(D23=0,0,D16/D23)</f>
        <v>9937.1567816655206</v>
      </c>
      <c r="E54" s="744">
        <f>IF(E23=0,0,E16/E23)</f>
        <v>10426.929898292759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1407.2859175931269</v>
      </c>
      <c r="D55" s="744">
        <f>IF(D29=0,0,D16/D29)</f>
        <v>1315.0998983283787</v>
      </c>
      <c r="E55" s="744">
        <f>IF(E29=0,0,E16/E29)</f>
        <v>1409.9280554018067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7293.9757602603668</v>
      </c>
      <c r="D56" s="744">
        <f>IF(D30=0,0,D16/D30)</f>
        <v>6314.2213661461892</v>
      </c>
      <c r="E56" s="744">
        <f>IF(E30=0,0,E16/E30)</f>
        <v>6718.3884912461135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9755837</v>
      </c>
      <c r="D59" s="752">
        <v>9743100</v>
      </c>
      <c r="E59" s="752">
        <v>9189889</v>
      </c>
    </row>
    <row r="60" spans="1:6" ht="26.1" customHeight="1" x14ac:dyDescent="0.25">
      <c r="A60" s="742">
        <v>2</v>
      </c>
      <c r="B60" s="743" t="s">
        <v>969</v>
      </c>
      <c r="C60" s="752">
        <v>3613110</v>
      </c>
      <c r="D60" s="752">
        <v>3448259</v>
      </c>
      <c r="E60" s="752">
        <v>2915782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13368947</v>
      </c>
      <c r="D61" s="755">
        <f>D59+D60</f>
        <v>13191359</v>
      </c>
      <c r="E61" s="755">
        <f>E59+E60</f>
        <v>12105671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3035027</v>
      </c>
      <c r="D64" s="744">
        <v>3972965</v>
      </c>
      <c r="E64" s="752">
        <v>4326903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1040916</v>
      </c>
      <c r="D65" s="752">
        <v>1318628</v>
      </c>
      <c r="E65" s="752">
        <v>1304736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4075943</v>
      </c>
      <c r="D66" s="757">
        <f>D64+D65</f>
        <v>5291593</v>
      </c>
      <c r="E66" s="757">
        <f>E64+E65</f>
        <v>5631639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17477527</v>
      </c>
      <c r="D69" s="752">
        <v>17793574</v>
      </c>
      <c r="E69" s="752">
        <v>18943461</v>
      </c>
    </row>
    <row r="70" spans="1:6" ht="26.1" customHeight="1" x14ac:dyDescent="0.25">
      <c r="A70" s="742">
        <v>2</v>
      </c>
      <c r="B70" s="743" t="s">
        <v>977</v>
      </c>
      <c r="C70" s="752">
        <v>5388687</v>
      </c>
      <c r="D70" s="752">
        <v>5257714</v>
      </c>
      <c r="E70" s="752">
        <v>5140279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22866214</v>
      </c>
      <c r="D71" s="755">
        <f>D69+D70</f>
        <v>23051288</v>
      </c>
      <c r="E71" s="755">
        <f>E69+E70</f>
        <v>24083740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30268391</v>
      </c>
      <c r="D75" s="744">
        <f t="shared" si="0"/>
        <v>31509639</v>
      </c>
      <c r="E75" s="744">
        <f t="shared" si="0"/>
        <v>32460253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10042713</v>
      </c>
      <c r="D76" s="744">
        <f t="shared" si="0"/>
        <v>10024601</v>
      </c>
      <c r="E76" s="744">
        <f t="shared" si="0"/>
        <v>9360797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40311104</v>
      </c>
      <c r="D77" s="757">
        <f>D75+D76</f>
        <v>41534240</v>
      </c>
      <c r="E77" s="757">
        <f>E75+E76</f>
        <v>41821050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119</v>
      </c>
      <c r="D80" s="749">
        <v>116.6</v>
      </c>
      <c r="E80" s="749">
        <v>112.3</v>
      </c>
    </row>
    <row r="81" spans="1:5" ht="26.1" customHeight="1" x14ac:dyDescent="0.25">
      <c r="A81" s="742">
        <v>2</v>
      </c>
      <c r="B81" s="743" t="s">
        <v>617</v>
      </c>
      <c r="C81" s="749">
        <v>6.3</v>
      </c>
      <c r="D81" s="749">
        <v>5.2</v>
      </c>
      <c r="E81" s="749">
        <v>6</v>
      </c>
    </row>
    <row r="82" spans="1:5" ht="26.1" customHeight="1" x14ac:dyDescent="0.25">
      <c r="A82" s="742">
        <v>3</v>
      </c>
      <c r="B82" s="743" t="s">
        <v>983</v>
      </c>
      <c r="C82" s="749">
        <v>251.3</v>
      </c>
      <c r="D82" s="749">
        <v>256.5</v>
      </c>
      <c r="E82" s="749">
        <v>304.39999999999998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376.6</v>
      </c>
      <c r="D83" s="759">
        <f>D80+D81+D82</f>
        <v>378.3</v>
      </c>
      <c r="E83" s="759">
        <f>E80+E81+E82</f>
        <v>422.7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81981.823529411762</v>
      </c>
      <c r="D86" s="752">
        <f>IF(D80=0,0,D59/D80)</f>
        <v>83560.034305317327</v>
      </c>
      <c r="E86" s="752">
        <f>IF(E80=0,0,E59/E80)</f>
        <v>81833.38379341051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30362.268907563026</v>
      </c>
      <c r="D87" s="752">
        <f>IF(D80=0,0,D60/D80)</f>
        <v>29573.404802744426</v>
      </c>
      <c r="E87" s="752">
        <f>IF(E80=0,0,E60/E80)</f>
        <v>25964.220837043635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112344.09243697478</v>
      </c>
      <c r="D88" s="755">
        <f>+D86+D87</f>
        <v>113133.43910806175</v>
      </c>
      <c r="E88" s="755">
        <f>+E86+E87</f>
        <v>107797.60463045415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481750.31746031746</v>
      </c>
      <c r="D91" s="744">
        <f>IF(D81=0,0,D64/D81)</f>
        <v>764031.73076923075</v>
      </c>
      <c r="E91" s="744">
        <f>IF(E81=0,0,E64/E81)</f>
        <v>721150.5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165224.76190476192</v>
      </c>
      <c r="D92" s="744">
        <f>IF(D81=0,0,D65/D81)</f>
        <v>253582.30769230769</v>
      </c>
      <c r="E92" s="744">
        <f>IF(E81=0,0,E65/E81)</f>
        <v>217456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646975.07936507941</v>
      </c>
      <c r="D93" s="757">
        <f>+D91+D92</f>
        <v>1017614.0384615385</v>
      </c>
      <c r="E93" s="757">
        <f>+E91+E92</f>
        <v>938606.5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69548.45602865101</v>
      </c>
      <c r="D96" s="752">
        <f>IF(D82=0,0,D69/D82)</f>
        <v>69370.658869395716</v>
      </c>
      <c r="E96" s="752">
        <f>IF(E82=0,0,E69/E82)</f>
        <v>62232.132063074903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21443.243135694389</v>
      </c>
      <c r="D97" s="752">
        <f>IF(D82=0,0,D70/D82)</f>
        <v>20497.910331384017</v>
      </c>
      <c r="E97" s="752">
        <f>IF(E82=0,0,E70/E82)</f>
        <v>16886.593298291722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90991.699164345395</v>
      </c>
      <c r="D98" s="757">
        <f>+D96+D97</f>
        <v>89868.569200779733</v>
      </c>
      <c r="E98" s="757">
        <f>+E96+E97</f>
        <v>79118.725361366625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80372.78544875198</v>
      </c>
      <c r="D101" s="744">
        <f>IF(D83=0,0,D75/D83)</f>
        <v>83292.727993655833</v>
      </c>
      <c r="E101" s="744">
        <f>IF(E83=0,0,E75/E83)</f>
        <v>76792.649633309673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26666.789697291555</v>
      </c>
      <c r="D102" s="761">
        <f>IF(D83=0,0,D76/D83)</f>
        <v>26499.077451757865</v>
      </c>
      <c r="E102" s="761">
        <f>IF(E83=0,0,E76/E83)</f>
        <v>22145.249585994796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107039.57514604353</v>
      </c>
      <c r="D103" s="757">
        <f>+D101+D102</f>
        <v>109791.8054454137</v>
      </c>
      <c r="E103" s="757">
        <f>+E101+E102</f>
        <v>98937.899219304469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3087.5539215686276</v>
      </c>
      <c r="D108" s="744">
        <f>IF(D19=0,0,D77/D19)</f>
        <v>3369.9180527383369</v>
      </c>
      <c r="E108" s="744">
        <f>IF(E19=0,0,E77/E19)</f>
        <v>3749.0856118332586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16002.82016673283</v>
      </c>
      <c r="D109" s="744">
        <f>IF(D20=0,0,D77/D20)</f>
        <v>16180.070120763537</v>
      </c>
      <c r="E109" s="744">
        <f>IF(E20=0,0,E77/E20)</f>
        <v>17864.609141392568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1147.3899502343202</v>
      </c>
      <c r="D110" s="744">
        <f>IF(D22=0,0,D77/D22)</f>
        <v>1199.4146589372613</v>
      </c>
      <c r="E110" s="744">
        <f>IF(E22=0,0,E77/E22)</f>
        <v>1268.2030026182977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5946.932588431634</v>
      </c>
      <c r="D111" s="744">
        <f>IF(D23=0,0,D77/D23)</f>
        <v>5758.7789915861886</v>
      </c>
      <c r="E111" s="744">
        <f>IF(E23=0,0,E77/E23)</f>
        <v>6043.060441780055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766.20813662267517</v>
      </c>
      <c r="D112" s="744">
        <f>IF(D29=0,0,D77/D29)</f>
        <v>762.12641429828204</v>
      </c>
      <c r="E112" s="744">
        <f>IF(E29=0,0,E77/E29)</f>
        <v>817.14181839369553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3971.2637680609955</v>
      </c>
      <c r="D113" s="744">
        <f>IF(D30=0,0,D77/D30)</f>
        <v>3659.2162275910896</v>
      </c>
      <c r="E113" s="744">
        <f>IF(E30=0,0,E77/E30)</f>
        <v>3893.7278873052851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FILING&amp;R&amp;"Arial,Bold"&amp;12ROCKVILLE GENERAL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222664629</v>
      </c>
      <c r="D12" s="76">
        <v>227300072</v>
      </c>
      <c r="E12" s="76">
        <f t="shared" ref="E12:E21" si="0">D12-C12</f>
        <v>4635443</v>
      </c>
      <c r="F12" s="77">
        <f t="shared" ref="F12:F21" si="1">IF(C12=0,0,E12/C12)</f>
        <v>2.0818048294504825E-2</v>
      </c>
    </row>
    <row r="13" spans="1:8" ht="23.1" customHeight="1" x14ac:dyDescent="0.2">
      <c r="A13" s="74">
        <v>2</v>
      </c>
      <c r="B13" s="75" t="s">
        <v>72</v>
      </c>
      <c r="C13" s="76">
        <v>148355004</v>
      </c>
      <c r="D13" s="76">
        <v>154781564</v>
      </c>
      <c r="E13" s="76">
        <f t="shared" si="0"/>
        <v>6426560</v>
      </c>
      <c r="F13" s="77">
        <f t="shared" si="1"/>
        <v>4.3318794962925553E-2</v>
      </c>
    </row>
    <row r="14" spans="1:8" ht="23.1" customHeight="1" x14ac:dyDescent="0.2">
      <c r="A14" s="74">
        <v>3</v>
      </c>
      <c r="B14" s="75" t="s">
        <v>73</v>
      </c>
      <c r="C14" s="76">
        <v>1271767</v>
      </c>
      <c r="D14" s="76">
        <v>1188543</v>
      </c>
      <c r="E14" s="76">
        <f t="shared" si="0"/>
        <v>-83224</v>
      </c>
      <c r="F14" s="77">
        <f t="shared" si="1"/>
        <v>-6.5439659937708713E-2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73037858</v>
      </c>
      <c r="D16" s="79">
        <f>D12-D13-D14-D15</f>
        <v>71329965</v>
      </c>
      <c r="E16" s="79">
        <f t="shared" si="0"/>
        <v>-1707893</v>
      </c>
      <c r="F16" s="80">
        <f t="shared" si="1"/>
        <v>-2.3383667686420924E-2</v>
      </c>
    </row>
    <row r="17" spans="1:7" ht="23.1" customHeight="1" x14ac:dyDescent="0.2">
      <c r="A17" s="74">
        <v>5</v>
      </c>
      <c r="B17" s="75" t="s">
        <v>76</v>
      </c>
      <c r="C17" s="76">
        <v>4127214</v>
      </c>
      <c r="D17" s="76">
        <v>2801283</v>
      </c>
      <c r="E17" s="76">
        <f t="shared" si="0"/>
        <v>-1325931</v>
      </c>
      <c r="F17" s="77">
        <f t="shared" si="1"/>
        <v>-0.32126538628721457</v>
      </c>
      <c r="G17" s="65"/>
    </row>
    <row r="18" spans="1:7" ht="31.5" customHeight="1" x14ac:dyDescent="0.25">
      <c r="A18" s="71"/>
      <c r="B18" s="81" t="s">
        <v>77</v>
      </c>
      <c r="C18" s="79">
        <f>C16-C17</f>
        <v>68910644</v>
      </c>
      <c r="D18" s="79">
        <f>D16-D17</f>
        <v>68528682</v>
      </c>
      <c r="E18" s="79">
        <f t="shared" si="0"/>
        <v>-381962</v>
      </c>
      <c r="F18" s="80">
        <f t="shared" si="1"/>
        <v>-5.5428592424705825E-3</v>
      </c>
    </row>
    <row r="19" spans="1:7" ht="23.1" customHeight="1" x14ac:dyDescent="0.2">
      <c r="A19" s="74">
        <v>6</v>
      </c>
      <c r="B19" s="75" t="s">
        <v>78</v>
      </c>
      <c r="C19" s="76">
        <v>5965488</v>
      </c>
      <c r="D19" s="76">
        <v>6342519</v>
      </c>
      <c r="E19" s="76">
        <f t="shared" si="0"/>
        <v>377031</v>
      </c>
      <c r="F19" s="77">
        <f t="shared" si="1"/>
        <v>6.3202038123285134E-2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112828</v>
      </c>
      <c r="D20" s="76">
        <v>49147</v>
      </c>
      <c r="E20" s="76">
        <f t="shared" si="0"/>
        <v>-63681</v>
      </c>
      <c r="F20" s="77">
        <f t="shared" si="1"/>
        <v>-0.56440777112064378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74988960</v>
      </c>
      <c r="D21" s="79">
        <f>SUM(D18:D20)</f>
        <v>74920348</v>
      </c>
      <c r="E21" s="79">
        <f t="shared" si="0"/>
        <v>-68612</v>
      </c>
      <c r="F21" s="80">
        <f t="shared" si="1"/>
        <v>-9.1496134897723616E-4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31509639</v>
      </c>
      <c r="D24" s="76">
        <v>32460253</v>
      </c>
      <c r="E24" s="76">
        <f t="shared" ref="E24:E33" si="2">D24-C24</f>
        <v>950614</v>
      </c>
      <c r="F24" s="77">
        <f t="shared" ref="F24:F33" si="3">IF(C24=0,0,E24/C24)</f>
        <v>3.0168990511125818E-2</v>
      </c>
    </row>
    <row r="25" spans="1:7" ht="23.1" customHeight="1" x14ac:dyDescent="0.2">
      <c r="A25" s="74">
        <v>2</v>
      </c>
      <c r="B25" s="75" t="s">
        <v>83</v>
      </c>
      <c r="C25" s="76">
        <v>10024601</v>
      </c>
      <c r="D25" s="76">
        <v>9360797</v>
      </c>
      <c r="E25" s="76">
        <f t="shared" si="2"/>
        <v>-663804</v>
      </c>
      <c r="F25" s="77">
        <f t="shared" si="3"/>
        <v>-6.6217498332352576E-2</v>
      </c>
    </row>
    <row r="26" spans="1:7" ht="23.1" customHeight="1" x14ac:dyDescent="0.2">
      <c r="A26" s="74">
        <v>3</v>
      </c>
      <c r="B26" s="75" t="s">
        <v>84</v>
      </c>
      <c r="C26" s="76">
        <v>2942670</v>
      </c>
      <c r="D26" s="76">
        <v>3728005</v>
      </c>
      <c r="E26" s="76">
        <f t="shared" si="2"/>
        <v>785335</v>
      </c>
      <c r="F26" s="77">
        <f t="shared" si="3"/>
        <v>0.26687837915906304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10014110</v>
      </c>
      <c r="D27" s="76">
        <v>9776421</v>
      </c>
      <c r="E27" s="76">
        <f t="shared" si="2"/>
        <v>-237689</v>
      </c>
      <c r="F27" s="77">
        <f t="shared" si="3"/>
        <v>-2.3735409337424893E-2</v>
      </c>
    </row>
    <row r="28" spans="1:7" ht="23.1" customHeight="1" x14ac:dyDescent="0.2">
      <c r="A28" s="74">
        <v>5</v>
      </c>
      <c r="B28" s="75" t="s">
        <v>86</v>
      </c>
      <c r="C28" s="76">
        <v>3565031</v>
      </c>
      <c r="D28" s="76">
        <v>3281014</v>
      </c>
      <c r="E28" s="76">
        <f t="shared" si="2"/>
        <v>-284017</v>
      </c>
      <c r="F28" s="77">
        <f t="shared" si="3"/>
        <v>-7.9667469932239013E-2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682298</v>
      </c>
      <c r="D30" s="76">
        <v>689882</v>
      </c>
      <c r="E30" s="76">
        <f t="shared" si="2"/>
        <v>7584</v>
      </c>
      <c r="F30" s="77">
        <f t="shared" si="3"/>
        <v>1.1115377738173057E-2</v>
      </c>
    </row>
    <row r="31" spans="1:7" ht="23.1" customHeight="1" x14ac:dyDescent="0.2">
      <c r="A31" s="74">
        <v>8</v>
      </c>
      <c r="B31" s="75" t="s">
        <v>89</v>
      </c>
      <c r="C31" s="76">
        <v>2170991</v>
      </c>
      <c r="D31" s="76">
        <v>1033082</v>
      </c>
      <c r="E31" s="76">
        <f t="shared" si="2"/>
        <v>-1137909</v>
      </c>
      <c r="F31" s="77">
        <f t="shared" si="3"/>
        <v>-0.5241426611165132</v>
      </c>
    </row>
    <row r="32" spans="1:7" ht="23.1" customHeight="1" x14ac:dyDescent="0.2">
      <c r="A32" s="74">
        <v>9</v>
      </c>
      <c r="B32" s="75" t="s">
        <v>90</v>
      </c>
      <c r="C32" s="76">
        <v>10760758</v>
      </c>
      <c r="D32" s="76">
        <v>11830201</v>
      </c>
      <c r="E32" s="76">
        <f t="shared" si="2"/>
        <v>1069443</v>
      </c>
      <c r="F32" s="77">
        <f t="shared" si="3"/>
        <v>9.9383612195349066E-2</v>
      </c>
    </row>
    <row r="33" spans="1:6" ht="23.1" customHeight="1" x14ac:dyDescent="0.25">
      <c r="A33" s="71"/>
      <c r="B33" s="78" t="s">
        <v>91</v>
      </c>
      <c r="C33" s="79">
        <f>SUM(C24:C32)</f>
        <v>71670098</v>
      </c>
      <c r="D33" s="79">
        <f>SUM(D24:D32)</f>
        <v>72159655</v>
      </c>
      <c r="E33" s="79">
        <f t="shared" si="2"/>
        <v>489557</v>
      </c>
      <c r="F33" s="80">
        <f t="shared" si="3"/>
        <v>6.8307008593737374E-3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3318862</v>
      </c>
      <c r="D35" s="79">
        <f>+D21-D33</f>
        <v>2760693</v>
      </c>
      <c r="E35" s="79">
        <f>D35-C35</f>
        <v>-558169</v>
      </c>
      <c r="F35" s="80">
        <f>IF(C35=0,0,E35/C35)</f>
        <v>-0.16818084030007877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54</v>
      </c>
      <c r="D38" s="76">
        <v>24</v>
      </c>
      <c r="E38" s="76">
        <f>D38-C38</f>
        <v>-30</v>
      </c>
      <c r="F38" s="77">
        <f>IF(C38=0,0,E38/C38)</f>
        <v>-0.55555555555555558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-660290</v>
      </c>
      <c r="D40" s="76">
        <v>-378588</v>
      </c>
      <c r="E40" s="76">
        <f>D40-C40</f>
        <v>281702</v>
      </c>
      <c r="F40" s="77">
        <f>IF(C40=0,0,E40/C40)</f>
        <v>-0.42663375183631436</v>
      </c>
    </row>
    <row r="41" spans="1:6" ht="23.1" customHeight="1" x14ac:dyDescent="0.25">
      <c r="A41" s="83"/>
      <c r="B41" s="78" t="s">
        <v>97</v>
      </c>
      <c r="C41" s="79">
        <f>SUM(C38:C40)</f>
        <v>-660236</v>
      </c>
      <c r="D41" s="79">
        <f>SUM(D38:D40)</f>
        <v>-378564</v>
      </c>
      <c r="E41" s="79">
        <f>D41-C41</f>
        <v>281672</v>
      </c>
      <c r="F41" s="80">
        <f>IF(C41=0,0,E41/C41)</f>
        <v>-0.42662320745915094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2658626</v>
      </c>
      <c r="D43" s="79">
        <f>D35+D41</f>
        <v>2382129</v>
      </c>
      <c r="E43" s="79">
        <f>D43-C43</f>
        <v>-276497</v>
      </c>
      <c r="F43" s="80">
        <f>IF(C43=0,0,E43/C43)</f>
        <v>-0.1039999608820496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2658626</v>
      </c>
      <c r="D50" s="79">
        <f>D43+D48</f>
        <v>2382129</v>
      </c>
      <c r="E50" s="79">
        <f>D50-C50</f>
        <v>-276497</v>
      </c>
      <c r="F50" s="80">
        <f>IF(C50=0,0,E50/C50)</f>
        <v>-0.1039999608820496</v>
      </c>
    </row>
    <row r="51" spans="1:6" ht="23.1" customHeight="1" x14ac:dyDescent="0.2">
      <c r="A51" s="85"/>
      <c r="B51" s="75" t="s">
        <v>104</v>
      </c>
      <c r="C51" s="76">
        <v>1276419</v>
      </c>
      <c r="D51" s="76">
        <v>874828</v>
      </c>
      <c r="E51" s="76">
        <f>D51-C51</f>
        <v>-401591</v>
      </c>
      <c r="F51" s="77">
        <f>IF(C51=0,0,E51/C51)</f>
        <v>-0.31462317624541786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FILING&amp;RROCKVILLE GENERAL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43412552</v>
      </c>
      <c r="D14" s="113">
        <v>36261315</v>
      </c>
      <c r="E14" s="113">
        <f t="shared" ref="E14:E25" si="0">D14-C14</f>
        <v>-7151237</v>
      </c>
      <c r="F14" s="114">
        <f t="shared" ref="F14:F25" si="1">IF(C14=0,0,E14/C14)</f>
        <v>-0.16472740418485418</v>
      </c>
    </row>
    <row r="15" spans="1:6" x14ac:dyDescent="0.2">
      <c r="A15" s="115">
        <v>2</v>
      </c>
      <c r="B15" s="116" t="s">
        <v>114</v>
      </c>
      <c r="C15" s="113">
        <v>11126787</v>
      </c>
      <c r="D15" s="113">
        <v>14580622</v>
      </c>
      <c r="E15" s="113">
        <f t="shared" si="0"/>
        <v>3453835</v>
      </c>
      <c r="F15" s="114">
        <f t="shared" si="1"/>
        <v>0.31040721818436895</v>
      </c>
    </row>
    <row r="16" spans="1:6" x14ac:dyDescent="0.2">
      <c r="A16" s="115">
        <v>3</v>
      </c>
      <c r="B16" s="116" t="s">
        <v>115</v>
      </c>
      <c r="C16" s="113">
        <v>8608391</v>
      </c>
      <c r="D16" s="113">
        <v>9643810</v>
      </c>
      <c r="E16" s="113">
        <f t="shared" si="0"/>
        <v>1035419</v>
      </c>
      <c r="F16" s="114">
        <f t="shared" si="1"/>
        <v>0.12028020102711412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147747</v>
      </c>
      <c r="D18" s="113">
        <v>366000</v>
      </c>
      <c r="E18" s="113">
        <f t="shared" si="0"/>
        <v>218253</v>
      </c>
      <c r="F18" s="114">
        <f t="shared" si="1"/>
        <v>1.4772076590387622</v>
      </c>
    </row>
    <row r="19" spans="1:6" x14ac:dyDescent="0.2">
      <c r="A19" s="115">
        <v>6</v>
      </c>
      <c r="B19" s="116" t="s">
        <v>118</v>
      </c>
      <c r="C19" s="113">
        <v>1267171</v>
      </c>
      <c r="D19" s="113">
        <v>1340186</v>
      </c>
      <c r="E19" s="113">
        <f t="shared" si="0"/>
        <v>73015</v>
      </c>
      <c r="F19" s="114">
        <f t="shared" si="1"/>
        <v>5.7620479004017608E-2</v>
      </c>
    </row>
    <row r="20" spans="1:6" x14ac:dyDescent="0.2">
      <c r="A20" s="115">
        <v>7</v>
      </c>
      <c r="B20" s="116" t="s">
        <v>119</v>
      </c>
      <c r="C20" s="113">
        <v>13104553</v>
      </c>
      <c r="D20" s="113">
        <v>13283116</v>
      </c>
      <c r="E20" s="113">
        <f t="shared" si="0"/>
        <v>178563</v>
      </c>
      <c r="F20" s="114">
        <f t="shared" si="1"/>
        <v>1.3626027534094448E-2</v>
      </c>
    </row>
    <row r="21" spans="1:6" x14ac:dyDescent="0.2">
      <c r="A21" s="115">
        <v>8</v>
      </c>
      <c r="B21" s="116" t="s">
        <v>120</v>
      </c>
      <c r="C21" s="113">
        <v>536518</v>
      </c>
      <c r="D21" s="113">
        <v>611701</v>
      </c>
      <c r="E21" s="113">
        <f t="shared" si="0"/>
        <v>75183</v>
      </c>
      <c r="F21" s="114">
        <f t="shared" si="1"/>
        <v>0.14013136558326095</v>
      </c>
    </row>
    <row r="22" spans="1:6" x14ac:dyDescent="0.2">
      <c r="A22" s="115">
        <v>9</v>
      </c>
      <c r="B22" s="116" t="s">
        <v>121</v>
      </c>
      <c r="C22" s="113">
        <v>1046641</v>
      </c>
      <c r="D22" s="113">
        <v>802034</v>
      </c>
      <c r="E22" s="113">
        <f t="shared" si="0"/>
        <v>-244607</v>
      </c>
      <c r="F22" s="114">
        <f t="shared" si="1"/>
        <v>-0.23370668643785214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79250360</v>
      </c>
      <c r="D25" s="119">
        <f>SUM(D14:D24)</f>
        <v>76888784</v>
      </c>
      <c r="E25" s="119">
        <f t="shared" si="0"/>
        <v>-2361576</v>
      </c>
      <c r="F25" s="120">
        <f t="shared" si="1"/>
        <v>-2.9798930881828171E-2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37021821</v>
      </c>
      <c r="D27" s="113">
        <v>35926334</v>
      </c>
      <c r="E27" s="113">
        <f t="shared" ref="E27:E38" si="2">D27-C27</f>
        <v>-1095487</v>
      </c>
      <c r="F27" s="114">
        <f t="shared" ref="F27:F38" si="3">IF(C27=0,0,E27/C27)</f>
        <v>-2.9590305674050986E-2</v>
      </c>
    </row>
    <row r="28" spans="1:6" x14ac:dyDescent="0.2">
      <c r="A28" s="115">
        <v>2</v>
      </c>
      <c r="B28" s="116" t="s">
        <v>114</v>
      </c>
      <c r="C28" s="113">
        <v>12557090</v>
      </c>
      <c r="D28" s="113">
        <v>13207433</v>
      </c>
      <c r="E28" s="113">
        <f t="shared" si="2"/>
        <v>650343</v>
      </c>
      <c r="F28" s="114">
        <f t="shared" si="3"/>
        <v>5.1790900598785231E-2</v>
      </c>
    </row>
    <row r="29" spans="1:6" x14ac:dyDescent="0.2">
      <c r="A29" s="115">
        <v>3</v>
      </c>
      <c r="B29" s="116" t="s">
        <v>115</v>
      </c>
      <c r="C29" s="113">
        <v>27463602</v>
      </c>
      <c r="D29" s="113">
        <v>31469205</v>
      </c>
      <c r="E29" s="113">
        <f t="shared" si="2"/>
        <v>4005603</v>
      </c>
      <c r="F29" s="114">
        <f t="shared" si="3"/>
        <v>0.14585133443165976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699623</v>
      </c>
      <c r="D31" s="113">
        <v>1023970</v>
      </c>
      <c r="E31" s="113">
        <f t="shared" si="2"/>
        <v>324347</v>
      </c>
      <c r="F31" s="114">
        <f t="shared" si="3"/>
        <v>0.46360254022523562</v>
      </c>
    </row>
    <row r="32" spans="1:6" x14ac:dyDescent="0.2">
      <c r="A32" s="115">
        <v>6</v>
      </c>
      <c r="B32" s="116" t="s">
        <v>118</v>
      </c>
      <c r="C32" s="113">
        <v>3547479</v>
      </c>
      <c r="D32" s="113">
        <v>3020411</v>
      </c>
      <c r="E32" s="113">
        <f t="shared" si="2"/>
        <v>-527068</v>
      </c>
      <c r="F32" s="114">
        <f t="shared" si="3"/>
        <v>-0.14857536859273868</v>
      </c>
    </row>
    <row r="33" spans="1:6" x14ac:dyDescent="0.2">
      <c r="A33" s="115">
        <v>7</v>
      </c>
      <c r="B33" s="116" t="s">
        <v>119</v>
      </c>
      <c r="C33" s="113">
        <v>55338432</v>
      </c>
      <c r="D33" s="113">
        <v>60330470</v>
      </c>
      <c r="E33" s="113">
        <f t="shared" si="2"/>
        <v>4992038</v>
      </c>
      <c r="F33" s="114">
        <f t="shared" si="3"/>
        <v>9.0209241924310402E-2</v>
      </c>
    </row>
    <row r="34" spans="1:6" x14ac:dyDescent="0.2">
      <c r="A34" s="115">
        <v>8</v>
      </c>
      <c r="B34" s="116" t="s">
        <v>120</v>
      </c>
      <c r="C34" s="113">
        <v>2258633</v>
      </c>
      <c r="D34" s="113">
        <v>2012896</v>
      </c>
      <c r="E34" s="113">
        <f t="shared" si="2"/>
        <v>-245737</v>
      </c>
      <c r="F34" s="114">
        <f t="shared" si="3"/>
        <v>-0.1087989947902116</v>
      </c>
    </row>
    <row r="35" spans="1:6" x14ac:dyDescent="0.2">
      <c r="A35" s="115">
        <v>9</v>
      </c>
      <c r="B35" s="116" t="s">
        <v>121</v>
      </c>
      <c r="C35" s="113">
        <v>4527588</v>
      </c>
      <c r="D35" s="113">
        <v>3420569</v>
      </c>
      <c r="E35" s="113">
        <f t="shared" si="2"/>
        <v>-1107019</v>
      </c>
      <c r="F35" s="114">
        <f t="shared" si="3"/>
        <v>-0.244505242084748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143414268</v>
      </c>
      <c r="D38" s="119">
        <f>SUM(D27:D37)</f>
        <v>150411288</v>
      </c>
      <c r="E38" s="119">
        <f t="shared" si="2"/>
        <v>6997020</v>
      </c>
      <c r="F38" s="120">
        <f t="shared" si="3"/>
        <v>4.8788869458929983E-2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80434373</v>
      </c>
      <c r="D41" s="119">
        <f t="shared" si="4"/>
        <v>72187649</v>
      </c>
      <c r="E41" s="123">
        <f t="shared" ref="E41:E52" si="5">D41-C41</f>
        <v>-8246724</v>
      </c>
      <c r="F41" s="124">
        <f t="shared" ref="F41:F52" si="6">IF(C41=0,0,E41/C41)</f>
        <v>-0.10252736103257745</v>
      </c>
    </row>
    <row r="42" spans="1:6" ht="15.75" x14ac:dyDescent="0.25">
      <c r="A42" s="121">
        <v>2</v>
      </c>
      <c r="B42" s="122" t="s">
        <v>114</v>
      </c>
      <c r="C42" s="119">
        <f t="shared" si="4"/>
        <v>23683877</v>
      </c>
      <c r="D42" s="119">
        <f t="shared" si="4"/>
        <v>27788055</v>
      </c>
      <c r="E42" s="123">
        <f t="shared" si="5"/>
        <v>4104178</v>
      </c>
      <c r="F42" s="124">
        <f t="shared" si="6"/>
        <v>0.17328995586322291</v>
      </c>
    </row>
    <row r="43" spans="1:6" ht="15.75" x14ac:dyDescent="0.25">
      <c r="A43" s="121">
        <v>3</v>
      </c>
      <c r="B43" s="122" t="s">
        <v>115</v>
      </c>
      <c r="C43" s="119">
        <f t="shared" si="4"/>
        <v>36071993</v>
      </c>
      <c r="D43" s="119">
        <f t="shared" si="4"/>
        <v>41113015</v>
      </c>
      <c r="E43" s="123">
        <f t="shared" si="5"/>
        <v>5041022</v>
      </c>
      <c r="F43" s="124">
        <f t="shared" si="6"/>
        <v>0.13974891822583799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847370</v>
      </c>
      <c r="D45" s="119">
        <f t="shared" si="4"/>
        <v>1389970</v>
      </c>
      <c r="E45" s="123">
        <f t="shared" si="5"/>
        <v>542600</v>
      </c>
      <c r="F45" s="124">
        <f t="shared" si="6"/>
        <v>0.64033421055737161</v>
      </c>
    </row>
    <row r="46" spans="1:6" ht="15.75" x14ac:dyDescent="0.25">
      <c r="A46" s="121">
        <v>6</v>
      </c>
      <c r="B46" s="122" t="s">
        <v>118</v>
      </c>
      <c r="C46" s="119">
        <f t="shared" si="4"/>
        <v>4814650</v>
      </c>
      <c r="D46" s="119">
        <f t="shared" si="4"/>
        <v>4360597</v>
      </c>
      <c r="E46" s="123">
        <f t="shared" si="5"/>
        <v>-454053</v>
      </c>
      <c r="F46" s="124">
        <f t="shared" si="6"/>
        <v>-9.4306543570145285E-2</v>
      </c>
    </row>
    <row r="47" spans="1:6" ht="15.75" x14ac:dyDescent="0.25">
      <c r="A47" s="121">
        <v>7</v>
      </c>
      <c r="B47" s="122" t="s">
        <v>119</v>
      </c>
      <c r="C47" s="119">
        <f t="shared" si="4"/>
        <v>68442985</v>
      </c>
      <c r="D47" s="119">
        <f t="shared" si="4"/>
        <v>73613586</v>
      </c>
      <c r="E47" s="123">
        <f t="shared" si="5"/>
        <v>5170601</v>
      </c>
      <c r="F47" s="124">
        <f t="shared" si="6"/>
        <v>7.5546106003412911E-2</v>
      </c>
    </row>
    <row r="48" spans="1:6" ht="15.75" x14ac:dyDescent="0.25">
      <c r="A48" s="121">
        <v>8</v>
      </c>
      <c r="B48" s="122" t="s">
        <v>120</v>
      </c>
      <c r="C48" s="119">
        <f t="shared" si="4"/>
        <v>2795151</v>
      </c>
      <c r="D48" s="119">
        <f t="shared" si="4"/>
        <v>2624597</v>
      </c>
      <c r="E48" s="123">
        <f t="shared" si="5"/>
        <v>-170554</v>
      </c>
      <c r="F48" s="124">
        <f t="shared" si="6"/>
        <v>-6.1017812633378306E-2</v>
      </c>
    </row>
    <row r="49" spans="1:6" ht="15.75" x14ac:dyDescent="0.25">
      <c r="A49" s="121">
        <v>9</v>
      </c>
      <c r="B49" s="122" t="s">
        <v>121</v>
      </c>
      <c r="C49" s="119">
        <f t="shared" si="4"/>
        <v>5574229</v>
      </c>
      <c r="D49" s="119">
        <f t="shared" si="4"/>
        <v>4222603</v>
      </c>
      <c r="E49" s="123">
        <f t="shared" si="5"/>
        <v>-1351626</v>
      </c>
      <c r="F49" s="124">
        <f t="shared" si="6"/>
        <v>-0.24247765924220194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222664628</v>
      </c>
      <c r="D52" s="128">
        <f>SUM(D41:D51)</f>
        <v>227300072</v>
      </c>
      <c r="E52" s="127">
        <f t="shared" si="5"/>
        <v>4635444</v>
      </c>
      <c r="F52" s="129">
        <f t="shared" si="6"/>
        <v>2.0818052879058996E-2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13319126</v>
      </c>
      <c r="D57" s="113">
        <v>11058502</v>
      </c>
      <c r="E57" s="113">
        <f t="shared" ref="E57:E68" si="7">D57-C57</f>
        <v>-2260624</v>
      </c>
      <c r="F57" s="114">
        <f t="shared" ref="F57:F68" si="8">IF(C57=0,0,E57/C57)</f>
        <v>-0.16972765330097486</v>
      </c>
    </row>
    <row r="58" spans="1:6" x14ac:dyDescent="0.2">
      <c r="A58" s="115">
        <v>2</v>
      </c>
      <c r="B58" s="116" t="s">
        <v>114</v>
      </c>
      <c r="C58" s="113">
        <v>3261238</v>
      </c>
      <c r="D58" s="113">
        <v>4159814</v>
      </c>
      <c r="E58" s="113">
        <f t="shared" si="7"/>
        <v>898576</v>
      </c>
      <c r="F58" s="114">
        <f t="shared" si="8"/>
        <v>0.27553217520463086</v>
      </c>
    </row>
    <row r="59" spans="1:6" x14ac:dyDescent="0.2">
      <c r="A59" s="115">
        <v>3</v>
      </c>
      <c r="B59" s="116" t="s">
        <v>115</v>
      </c>
      <c r="C59" s="113">
        <v>2156151</v>
      </c>
      <c r="D59" s="113">
        <v>1676207</v>
      </c>
      <c r="E59" s="113">
        <f t="shared" si="7"/>
        <v>-479944</v>
      </c>
      <c r="F59" s="114">
        <f t="shared" si="8"/>
        <v>-0.22259294455722256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77114</v>
      </c>
      <c r="D61" s="113">
        <v>89721</v>
      </c>
      <c r="E61" s="113">
        <f t="shared" si="7"/>
        <v>12607</v>
      </c>
      <c r="F61" s="114">
        <f t="shared" si="8"/>
        <v>0.16348522965998391</v>
      </c>
    </row>
    <row r="62" spans="1:6" x14ac:dyDescent="0.2">
      <c r="A62" s="115">
        <v>6</v>
      </c>
      <c r="B62" s="116" t="s">
        <v>118</v>
      </c>
      <c r="C62" s="113">
        <v>481467</v>
      </c>
      <c r="D62" s="113">
        <v>397015</v>
      </c>
      <c r="E62" s="113">
        <f t="shared" si="7"/>
        <v>-84452</v>
      </c>
      <c r="F62" s="114">
        <f t="shared" si="8"/>
        <v>-0.17540558335254544</v>
      </c>
    </row>
    <row r="63" spans="1:6" x14ac:dyDescent="0.2">
      <c r="A63" s="115">
        <v>7</v>
      </c>
      <c r="B63" s="116" t="s">
        <v>119</v>
      </c>
      <c r="C63" s="113">
        <v>6096608</v>
      </c>
      <c r="D63" s="113">
        <v>6140074</v>
      </c>
      <c r="E63" s="113">
        <f t="shared" si="7"/>
        <v>43466</v>
      </c>
      <c r="F63" s="114">
        <f t="shared" si="8"/>
        <v>7.1295382612757783E-3</v>
      </c>
    </row>
    <row r="64" spans="1:6" x14ac:dyDescent="0.2">
      <c r="A64" s="115">
        <v>8</v>
      </c>
      <c r="B64" s="116" t="s">
        <v>120</v>
      </c>
      <c r="C64" s="113">
        <v>234620</v>
      </c>
      <c r="D64" s="113">
        <v>264389</v>
      </c>
      <c r="E64" s="113">
        <f t="shared" si="7"/>
        <v>29769</v>
      </c>
      <c r="F64" s="114">
        <f t="shared" si="8"/>
        <v>0.12688176626033587</v>
      </c>
    </row>
    <row r="65" spans="1:6" x14ac:dyDescent="0.2">
      <c r="A65" s="115">
        <v>9</v>
      </c>
      <c r="B65" s="116" t="s">
        <v>121</v>
      </c>
      <c r="C65" s="113">
        <v>2144</v>
      </c>
      <c r="D65" s="113">
        <v>20</v>
      </c>
      <c r="E65" s="113">
        <f t="shared" si="7"/>
        <v>-2124</v>
      </c>
      <c r="F65" s="114">
        <f t="shared" si="8"/>
        <v>-0.99067164179104472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25628468</v>
      </c>
      <c r="D68" s="119">
        <f>SUM(D57:D67)</f>
        <v>23785742</v>
      </c>
      <c r="E68" s="119">
        <f t="shared" si="7"/>
        <v>-1842726</v>
      </c>
      <c r="F68" s="120">
        <f t="shared" si="8"/>
        <v>-7.1901527629353423E-2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7693707</v>
      </c>
      <c r="D70" s="113">
        <v>7109183</v>
      </c>
      <c r="E70" s="113">
        <f t="shared" ref="E70:E81" si="9">D70-C70</f>
        <v>-584524</v>
      </c>
      <c r="F70" s="114">
        <f t="shared" ref="F70:F81" si="10">IF(C70=0,0,E70/C70)</f>
        <v>-7.5974299515175189E-2</v>
      </c>
    </row>
    <row r="71" spans="1:6" x14ac:dyDescent="0.2">
      <c r="A71" s="115">
        <v>2</v>
      </c>
      <c r="B71" s="116" t="s">
        <v>114</v>
      </c>
      <c r="C71" s="113">
        <v>2703344</v>
      </c>
      <c r="D71" s="113">
        <v>2602965</v>
      </c>
      <c r="E71" s="113">
        <f t="shared" si="9"/>
        <v>-100379</v>
      </c>
      <c r="F71" s="114">
        <f t="shared" si="10"/>
        <v>-3.7131419456791291E-2</v>
      </c>
    </row>
    <row r="72" spans="1:6" x14ac:dyDescent="0.2">
      <c r="A72" s="115">
        <v>3</v>
      </c>
      <c r="B72" s="116" t="s">
        <v>115</v>
      </c>
      <c r="C72" s="113">
        <v>5234566</v>
      </c>
      <c r="D72" s="113">
        <v>5770160</v>
      </c>
      <c r="E72" s="113">
        <f t="shared" si="9"/>
        <v>535594</v>
      </c>
      <c r="F72" s="114">
        <f t="shared" si="10"/>
        <v>0.1023187022572645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176483</v>
      </c>
      <c r="D74" s="113">
        <v>203932</v>
      </c>
      <c r="E74" s="113">
        <f t="shared" si="9"/>
        <v>27449</v>
      </c>
      <c r="F74" s="114">
        <f t="shared" si="10"/>
        <v>0.15553339415127804</v>
      </c>
    </row>
    <row r="75" spans="1:6" x14ac:dyDescent="0.2">
      <c r="A75" s="115">
        <v>6</v>
      </c>
      <c r="B75" s="116" t="s">
        <v>118</v>
      </c>
      <c r="C75" s="113">
        <v>1522985</v>
      </c>
      <c r="D75" s="113">
        <v>1210083</v>
      </c>
      <c r="E75" s="113">
        <f t="shared" si="9"/>
        <v>-312902</v>
      </c>
      <c r="F75" s="114">
        <f t="shared" si="10"/>
        <v>-0.20545310689205737</v>
      </c>
    </row>
    <row r="76" spans="1:6" x14ac:dyDescent="0.2">
      <c r="A76" s="115">
        <v>7</v>
      </c>
      <c r="B76" s="116" t="s">
        <v>119</v>
      </c>
      <c r="C76" s="113">
        <v>25973169</v>
      </c>
      <c r="D76" s="113">
        <v>27688373</v>
      </c>
      <c r="E76" s="113">
        <f t="shared" si="9"/>
        <v>1715204</v>
      </c>
      <c r="F76" s="114">
        <f t="shared" si="10"/>
        <v>6.6037532809338745E-2</v>
      </c>
    </row>
    <row r="77" spans="1:6" x14ac:dyDescent="0.2">
      <c r="A77" s="115">
        <v>8</v>
      </c>
      <c r="B77" s="116" t="s">
        <v>120</v>
      </c>
      <c r="C77" s="113">
        <v>928036</v>
      </c>
      <c r="D77" s="113">
        <v>1134829</v>
      </c>
      <c r="E77" s="113">
        <f t="shared" si="9"/>
        <v>206793</v>
      </c>
      <c r="F77" s="114">
        <f t="shared" si="10"/>
        <v>0.22282864026826546</v>
      </c>
    </row>
    <row r="78" spans="1:6" x14ac:dyDescent="0.2">
      <c r="A78" s="115">
        <v>9</v>
      </c>
      <c r="B78" s="116" t="s">
        <v>121</v>
      </c>
      <c r="C78" s="113">
        <v>175163</v>
      </c>
      <c r="D78" s="113">
        <v>247084</v>
      </c>
      <c r="E78" s="113">
        <f t="shared" si="9"/>
        <v>71921</v>
      </c>
      <c r="F78" s="114">
        <f t="shared" si="10"/>
        <v>0.4105947032192872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44407453</v>
      </c>
      <c r="D81" s="119">
        <f>SUM(D70:D80)</f>
        <v>45966609</v>
      </c>
      <c r="E81" s="119">
        <f t="shared" si="9"/>
        <v>1559156</v>
      </c>
      <c r="F81" s="120">
        <f t="shared" si="10"/>
        <v>3.5110232509844685E-2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21012833</v>
      </c>
      <c r="D84" s="119">
        <f t="shared" si="11"/>
        <v>18167685</v>
      </c>
      <c r="E84" s="119">
        <f t="shared" ref="E84:E95" si="12">D84-C84</f>
        <v>-2845148</v>
      </c>
      <c r="F84" s="120">
        <f t="shared" ref="F84:F95" si="13">IF(C84=0,0,E84/C84)</f>
        <v>-0.13540049549720401</v>
      </c>
    </row>
    <row r="85" spans="1:6" ht="15.75" x14ac:dyDescent="0.25">
      <c r="A85" s="130">
        <v>2</v>
      </c>
      <c r="B85" s="122" t="s">
        <v>114</v>
      </c>
      <c r="C85" s="119">
        <f t="shared" si="11"/>
        <v>5964582</v>
      </c>
      <c r="D85" s="119">
        <f t="shared" si="11"/>
        <v>6762779</v>
      </c>
      <c r="E85" s="119">
        <f t="shared" si="12"/>
        <v>798197</v>
      </c>
      <c r="F85" s="120">
        <f t="shared" si="13"/>
        <v>0.13382278925832522</v>
      </c>
    </row>
    <row r="86" spans="1:6" ht="15.75" x14ac:dyDescent="0.25">
      <c r="A86" s="130">
        <v>3</v>
      </c>
      <c r="B86" s="122" t="s">
        <v>115</v>
      </c>
      <c r="C86" s="119">
        <f t="shared" si="11"/>
        <v>7390717</v>
      </c>
      <c r="D86" s="119">
        <f t="shared" si="11"/>
        <v>7446367</v>
      </c>
      <c r="E86" s="119">
        <f t="shared" si="12"/>
        <v>55650</v>
      </c>
      <c r="F86" s="120">
        <f t="shared" si="13"/>
        <v>7.5297159937256428E-3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253597</v>
      </c>
      <c r="D88" s="119">
        <f t="shared" si="11"/>
        <v>293653</v>
      </c>
      <c r="E88" s="119">
        <f t="shared" si="12"/>
        <v>40056</v>
      </c>
      <c r="F88" s="120">
        <f t="shared" si="13"/>
        <v>0.15795139532407718</v>
      </c>
    </row>
    <row r="89" spans="1:6" ht="15.75" x14ac:dyDescent="0.25">
      <c r="A89" s="130">
        <v>6</v>
      </c>
      <c r="B89" s="122" t="s">
        <v>118</v>
      </c>
      <c r="C89" s="119">
        <f t="shared" si="11"/>
        <v>2004452</v>
      </c>
      <c r="D89" s="119">
        <f t="shared" si="11"/>
        <v>1607098</v>
      </c>
      <c r="E89" s="119">
        <f t="shared" si="12"/>
        <v>-397354</v>
      </c>
      <c r="F89" s="120">
        <f t="shared" si="13"/>
        <v>-0.19823572727109454</v>
      </c>
    </row>
    <row r="90" spans="1:6" ht="15.75" x14ac:dyDescent="0.25">
      <c r="A90" s="130">
        <v>7</v>
      </c>
      <c r="B90" s="122" t="s">
        <v>119</v>
      </c>
      <c r="C90" s="119">
        <f t="shared" si="11"/>
        <v>32069777</v>
      </c>
      <c r="D90" s="119">
        <f t="shared" si="11"/>
        <v>33828447</v>
      </c>
      <c r="E90" s="119">
        <f t="shared" si="12"/>
        <v>1758670</v>
      </c>
      <c r="F90" s="120">
        <f t="shared" si="13"/>
        <v>5.4838859652812676E-2</v>
      </c>
    </row>
    <row r="91" spans="1:6" ht="15.75" x14ac:dyDescent="0.25">
      <c r="A91" s="130">
        <v>8</v>
      </c>
      <c r="B91" s="122" t="s">
        <v>120</v>
      </c>
      <c r="C91" s="119">
        <f t="shared" si="11"/>
        <v>1162656</v>
      </c>
      <c r="D91" s="119">
        <f t="shared" si="11"/>
        <v>1399218</v>
      </c>
      <c r="E91" s="119">
        <f t="shared" si="12"/>
        <v>236562</v>
      </c>
      <c r="F91" s="120">
        <f t="shared" si="13"/>
        <v>0.20346688960449177</v>
      </c>
    </row>
    <row r="92" spans="1:6" ht="15.75" x14ac:dyDescent="0.25">
      <c r="A92" s="130">
        <v>9</v>
      </c>
      <c r="B92" s="122" t="s">
        <v>121</v>
      </c>
      <c r="C92" s="119">
        <f t="shared" si="11"/>
        <v>177307</v>
      </c>
      <c r="D92" s="119">
        <f t="shared" si="11"/>
        <v>247104</v>
      </c>
      <c r="E92" s="119">
        <f t="shared" si="12"/>
        <v>69797</v>
      </c>
      <c r="F92" s="120">
        <f t="shared" si="13"/>
        <v>0.39365056089156097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70035921</v>
      </c>
      <c r="D95" s="128">
        <f>SUM(D84:D94)</f>
        <v>69752351</v>
      </c>
      <c r="E95" s="128">
        <f t="shared" si="12"/>
        <v>-283570</v>
      </c>
      <c r="F95" s="129">
        <f t="shared" si="13"/>
        <v>-4.0489222666180115E-3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1341</v>
      </c>
      <c r="D100" s="133">
        <v>1120</v>
      </c>
      <c r="E100" s="133">
        <f t="shared" ref="E100:E111" si="14">D100-C100</f>
        <v>-221</v>
      </c>
      <c r="F100" s="114">
        <f t="shared" ref="F100:F111" si="15">IF(C100=0,0,E100/C100)</f>
        <v>-0.16480238627889635</v>
      </c>
    </row>
    <row r="101" spans="1:6" x14ac:dyDescent="0.2">
      <c r="A101" s="115">
        <v>2</v>
      </c>
      <c r="B101" s="116" t="s">
        <v>114</v>
      </c>
      <c r="C101" s="133">
        <v>366</v>
      </c>
      <c r="D101" s="133">
        <v>404</v>
      </c>
      <c r="E101" s="133">
        <f t="shared" si="14"/>
        <v>38</v>
      </c>
      <c r="F101" s="114">
        <f t="shared" si="15"/>
        <v>0.10382513661202186</v>
      </c>
    </row>
    <row r="102" spans="1:6" x14ac:dyDescent="0.2">
      <c r="A102" s="115">
        <v>3</v>
      </c>
      <c r="B102" s="116" t="s">
        <v>115</v>
      </c>
      <c r="C102" s="133">
        <v>292</v>
      </c>
      <c r="D102" s="133">
        <v>317</v>
      </c>
      <c r="E102" s="133">
        <f t="shared" si="14"/>
        <v>25</v>
      </c>
      <c r="F102" s="114">
        <f t="shared" si="15"/>
        <v>8.5616438356164379E-2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7</v>
      </c>
      <c r="D104" s="133">
        <v>11</v>
      </c>
      <c r="E104" s="133">
        <f t="shared" si="14"/>
        <v>4</v>
      </c>
      <c r="F104" s="114">
        <f t="shared" si="15"/>
        <v>0.5714285714285714</v>
      </c>
    </row>
    <row r="105" spans="1:6" x14ac:dyDescent="0.2">
      <c r="A105" s="115">
        <v>6</v>
      </c>
      <c r="B105" s="116" t="s">
        <v>118</v>
      </c>
      <c r="C105" s="133">
        <v>54</v>
      </c>
      <c r="D105" s="133">
        <v>45</v>
      </c>
      <c r="E105" s="133">
        <f t="shared" si="14"/>
        <v>-9</v>
      </c>
      <c r="F105" s="114">
        <f t="shared" si="15"/>
        <v>-0.16666666666666666</v>
      </c>
    </row>
    <row r="106" spans="1:6" x14ac:dyDescent="0.2">
      <c r="A106" s="115">
        <v>7</v>
      </c>
      <c r="B106" s="116" t="s">
        <v>119</v>
      </c>
      <c r="C106" s="133">
        <v>439</v>
      </c>
      <c r="D106" s="133">
        <v>404</v>
      </c>
      <c r="E106" s="133">
        <f t="shared" si="14"/>
        <v>-35</v>
      </c>
      <c r="F106" s="114">
        <f t="shared" si="15"/>
        <v>-7.9726651480637817E-2</v>
      </c>
    </row>
    <row r="107" spans="1:6" x14ac:dyDescent="0.2">
      <c r="A107" s="115">
        <v>8</v>
      </c>
      <c r="B107" s="116" t="s">
        <v>120</v>
      </c>
      <c r="C107" s="133">
        <v>20</v>
      </c>
      <c r="D107" s="133">
        <v>14</v>
      </c>
      <c r="E107" s="133">
        <f t="shared" si="14"/>
        <v>-6</v>
      </c>
      <c r="F107" s="114">
        <f t="shared" si="15"/>
        <v>-0.3</v>
      </c>
    </row>
    <row r="108" spans="1:6" x14ac:dyDescent="0.2">
      <c r="A108" s="115">
        <v>9</v>
      </c>
      <c r="B108" s="116" t="s">
        <v>121</v>
      </c>
      <c r="C108" s="133">
        <v>48</v>
      </c>
      <c r="D108" s="133">
        <v>26</v>
      </c>
      <c r="E108" s="133">
        <f t="shared" si="14"/>
        <v>-22</v>
      </c>
      <c r="F108" s="114">
        <f t="shared" si="15"/>
        <v>-0.45833333333333331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2567</v>
      </c>
      <c r="D111" s="134">
        <f>SUM(D100:D110)</f>
        <v>2341</v>
      </c>
      <c r="E111" s="134">
        <f t="shared" si="14"/>
        <v>-226</v>
      </c>
      <c r="F111" s="120">
        <f t="shared" si="15"/>
        <v>-8.8040514218932608E-2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7172</v>
      </c>
      <c r="D113" s="133">
        <v>5522</v>
      </c>
      <c r="E113" s="133">
        <f t="shared" ref="E113:E124" si="16">D113-C113</f>
        <v>-1650</v>
      </c>
      <c r="F113" s="114">
        <f t="shared" ref="F113:F124" si="17">IF(C113=0,0,E113/C113)</f>
        <v>-0.23006134969325154</v>
      </c>
    </row>
    <row r="114" spans="1:6" x14ac:dyDescent="0.2">
      <c r="A114" s="115">
        <v>2</v>
      </c>
      <c r="B114" s="116" t="s">
        <v>114</v>
      </c>
      <c r="C114" s="133">
        <v>1761</v>
      </c>
      <c r="D114" s="133">
        <v>2212</v>
      </c>
      <c r="E114" s="133">
        <f t="shared" si="16"/>
        <v>451</v>
      </c>
      <c r="F114" s="114">
        <f t="shared" si="17"/>
        <v>0.25610448608745029</v>
      </c>
    </row>
    <row r="115" spans="1:6" x14ac:dyDescent="0.2">
      <c r="A115" s="115">
        <v>3</v>
      </c>
      <c r="B115" s="116" t="s">
        <v>115</v>
      </c>
      <c r="C115" s="133">
        <v>1422</v>
      </c>
      <c r="D115" s="133">
        <v>1373</v>
      </c>
      <c r="E115" s="133">
        <f t="shared" si="16"/>
        <v>-49</v>
      </c>
      <c r="F115" s="114">
        <f t="shared" si="17"/>
        <v>-3.4458509142053444E-2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18</v>
      </c>
      <c r="D117" s="133">
        <v>43</v>
      </c>
      <c r="E117" s="133">
        <f t="shared" si="16"/>
        <v>25</v>
      </c>
      <c r="F117" s="114">
        <f t="shared" si="17"/>
        <v>1.3888888888888888</v>
      </c>
    </row>
    <row r="118" spans="1:6" x14ac:dyDescent="0.2">
      <c r="A118" s="115">
        <v>6</v>
      </c>
      <c r="B118" s="116" t="s">
        <v>118</v>
      </c>
      <c r="C118" s="133">
        <v>195</v>
      </c>
      <c r="D118" s="133">
        <v>151</v>
      </c>
      <c r="E118" s="133">
        <f t="shared" si="16"/>
        <v>-44</v>
      </c>
      <c r="F118" s="114">
        <f t="shared" si="17"/>
        <v>-0.22564102564102564</v>
      </c>
    </row>
    <row r="119" spans="1:6" x14ac:dyDescent="0.2">
      <c r="A119" s="115">
        <v>7</v>
      </c>
      <c r="B119" s="116" t="s">
        <v>119</v>
      </c>
      <c r="C119" s="133">
        <v>1481</v>
      </c>
      <c r="D119" s="133">
        <v>1728</v>
      </c>
      <c r="E119" s="133">
        <f t="shared" si="16"/>
        <v>247</v>
      </c>
      <c r="F119" s="114">
        <f t="shared" si="17"/>
        <v>0.16677920324105333</v>
      </c>
    </row>
    <row r="120" spans="1:6" x14ac:dyDescent="0.2">
      <c r="A120" s="115">
        <v>8</v>
      </c>
      <c r="B120" s="116" t="s">
        <v>120</v>
      </c>
      <c r="C120" s="133">
        <v>29</v>
      </c>
      <c r="D120" s="133">
        <v>27</v>
      </c>
      <c r="E120" s="133">
        <f t="shared" si="16"/>
        <v>-2</v>
      </c>
      <c r="F120" s="114">
        <f t="shared" si="17"/>
        <v>-6.8965517241379309E-2</v>
      </c>
    </row>
    <row r="121" spans="1:6" x14ac:dyDescent="0.2">
      <c r="A121" s="115">
        <v>9</v>
      </c>
      <c r="B121" s="116" t="s">
        <v>121</v>
      </c>
      <c r="C121" s="133">
        <v>247</v>
      </c>
      <c r="D121" s="133">
        <v>99</v>
      </c>
      <c r="E121" s="133">
        <f t="shared" si="16"/>
        <v>-148</v>
      </c>
      <c r="F121" s="114">
        <f t="shared" si="17"/>
        <v>-0.59919028340080971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12325</v>
      </c>
      <c r="D124" s="134">
        <f>SUM(D113:D123)</f>
        <v>11155</v>
      </c>
      <c r="E124" s="134">
        <f t="shared" si="16"/>
        <v>-1170</v>
      </c>
      <c r="F124" s="120">
        <f t="shared" si="17"/>
        <v>-9.4929006085192696E-2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26910</v>
      </c>
      <c r="D126" s="133">
        <v>25879</v>
      </c>
      <c r="E126" s="133">
        <f t="shared" ref="E126:E137" si="18">D126-C126</f>
        <v>-1031</v>
      </c>
      <c r="F126" s="114">
        <f t="shared" ref="F126:F137" si="19">IF(C126=0,0,E126/C126)</f>
        <v>-3.8312894834633966E-2</v>
      </c>
    </row>
    <row r="127" spans="1:6" x14ac:dyDescent="0.2">
      <c r="A127" s="115">
        <v>2</v>
      </c>
      <c r="B127" s="116" t="s">
        <v>114</v>
      </c>
      <c r="C127" s="133">
        <v>8959</v>
      </c>
      <c r="D127" s="133">
        <v>9495</v>
      </c>
      <c r="E127" s="133">
        <f t="shared" si="18"/>
        <v>536</v>
      </c>
      <c r="F127" s="114">
        <f t="shared" si="19"/>
        <v>5.9828105815381179E-2</v>
      </c>
    </row>
    <row r="128" spans="1:6" x14ac:dyDescent="0.2">
      <c r="A128" s="115">
        <v>3</v>
      </c>
      <c r="B128" s="116" t="s">
        <v>115</v>
      </c>
      <c r="C128" s="133">
        <v>19539</v>
      </c>
      <c r="D128" s="133">
        <v>20510</v>
      </c>
      <c r="E128" s="133">
        <f t="shared" si="18"/>
        <v>971</v>
      </c>
      <c r="F128" s="114">
        <f t="shared" si="19"/>
        <v>4.9695480833205387E-2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582</v>
      </c>
      <c r="D130" s="133">
        <v>695</v>
      </c>
      <c r="E130" s="133">
        <f t="shared" si="18"/>
        <v>113</v>
      </c>
      <c r="F130" s="114">
        <f t="shared" si="19"/>
        <v>0.19415807560137457</v>
      </c>
    </row>
    <row r="131" spans="1:6" x14ac:dyDescent="0.2">
      <c r="A131" s="115">
        <v>6</v>
      </c>
      <c r="B131" s="116" t="s">
        <v>118</v>
      </c>
      <c r="C131" s="133">
        <v>3431</v>
      </c>
      <c r="D131" s="133">
        <v>1788</v>
      </c>
      <c r="E131" s="133">
        <f t="shared" si="18"/>
        <v>-1643</v>
      </c>
      <c r="F131" s="114">
        <f t="shared" si="19"/>
        <v>-0.47886913436315942</v>
      </c>
    </row>
    <row r="132" spans="1:6" x14ac:dyDescent="0.2">
      <c r="A132" s="115">
        <v>7</v>
      </c>
      <c r="B132" s="116" t="s">
        <v>119</v>
      </c>
      <c r="C132" s="133">
        <v>55840</v>
      </c>
      <c r="D132" s="133">
        <v>59260</v>
      </c>
      <c r="E132" s="133">
        <f t="shared" si="18"/>
        <v>3420</v>
      </c>
      <c r="F132" s="114">
        <f t="shared" si="19"/>
        <v>6.1246418338108885E-2</v>
      </c>
    </row>
    <row r="133" spans="1:6" x14ac:dyDescent="0.2">
      <c r="A133" s="115">
        <v>8</v>
      </c>
      <c r="B133" s="116" t="s">
        <v>120</v>
      </c>
      <c r="C133" s="133">
        <v>1233</v>
      </c>
      <c r="D133" s="133">
        <v>1076</v>
      </c>
      <c r="E133" s="133">
        <f t="shared" si="18"/>
        <v>-157</v>
      </c>
      <c r="F133" s="114">
        <f t="shared" si="19"/>
        <v>-0.12733171127331711</v>
      </c>
    </row>
    <row r="134" spans="1:6" x14ac:dyDescent="0.2">
      <c r="A134" s="115">
        <v>9</v>
      </c>
      <c r="B134" s="116" t="s">
        <v>121</v>
      </c>
      <c r="C134" s="133">
        <v>5731</v>
      </c>
      <c r="D134" s="133">
        <v>5031</v>
      </c>
      <c r="E134" s="133">
        <f t="shared" si="18"/>
        <v>-700</v>
      </c>
      <c r="F134" s="114">
        <f t="shared" si="19"/>
        <v>-0.12214273250741581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122225</v>
      </c>
      <c r="D137" s="134">
        <f>SUM(D126:D136)</f>
        <v>123734</v>
      </c>
      <c r="E137" s="134">
        <f t="shared" si="18"/>
        <v>1509</v>
      </c>
      <c r="F137" s="120">
        <f t="shared" si="19"/>
        <v>1.2346083043567192E-2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12742981</v>
      </c>
      <c r="D142" s="113">
        <v>12410238</v>
      </c>
      <c r="E142" s="113">
        <f t="shared" ref="E142:E153" si="20">D142-C142</f>
        <v>-332743</v>
      </c>
      <c r="F142" s="114">
        <f t="shared" ref="F142:F153" si="21">IF(C142=0,0,E142/C142)</f>
        <v>-2.6111865033778204E-2</v>
      </c>
    </row>
    <row r="143" spans="1:6" x14ac:dyDescent="0.2">
      <c r="A143" s="115">
        <v>2</v>
      </c>
      <c r="B143" s="116" t="s">
        <v>114</v>
      </c>
      <c r="C143" s="113">
        <v>3898497</v>
      </c>
      <c r="D143" s="113">
        <v>3828123</v>
      </c>
      <c r="E143" s="113">
        <f t="shared" si="20"/>
        <v>-70374</v>
      </c>
      <c r="F143" s="114">
        <f t="shared" si="21"/>
        <v>-1.8051572182818148E-2</v>
      </c>
    </row>
    <row r="144" spans="1:6" x14ac:dyDescent="0.2">
      <c r="A144" s="115">
        <v>3</v>
      </c>
      <c r="B144" s="116" t="s">
        <v>115</v>
      </c>
      <c r="C144" s="113">
        <v>19010123</v>
      </c>
      <c r="D144" s="113">
        <v>21682580</v>
      </c>
      <c r="E144" s="113">
        <f t="shared" si="20"/>
        <v>2672457</v>
      </c>
      <c r="F144" s="114">
        <f t="shared" si="21"/>
        <v>0.14058073164492413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416447</v>
      </c>
      <c r="D146" s="113">
        <v>458534</v>
      </c>
      <c r="E146" s="113">
        <f t="shared" si="20"/>
        <v>42087</v>
      </c>
      <c r="F146" s="114">
        <f t="shared" si="21"/>
        <v>0.10106207992853833</v>
      </c>
    </row>
    <row r="147" spans="1:6" x14ac:dyDescent="0.2">
      <c r="A147" s="115">
        <v>6</v>
      </c>
      <c r="B147" s="116" t="s">
        <v>118</v>
      </c>
      <c r="C147" s="113">
        <v>1600973</v>
      </c>
      <c r="D147" s="113">
        <v>1816242</v>
      </c>
      <c r="E147" s="113">
        <f t="shared" si="20"/>
        <v>215269</v>
      </c>
      <c r="F147" s="114">
        <f t="shared" si="21"/>
        <v>0.13446135568807219</v>
      </c>
    </row>
    <row r="148" spans="1:6" x14ac:dyDescent="0.2">
      <c r="A148" s="115">
        <v>7</v>
      </c>
      <c r="B148" s="116" t="s">
        <v>119</v>
      </c>
      <c r="C148" s="113">
        <v>20819092</v>
      </c>
      <c r="D148" s="113">
        <v>21951660</v>
      </c>
      <c r="E148" s="113">
        <f t="shared" si="20"/>
        <v>1132568</v>
      </c>
      <c r="F148" s="114">
        <f t="shared" si="21"/>
        <v>5.440045127808648E-2</v>
      </c>
    </row>
    <row r="149" spans="1:6" x14ac:dyDescent="0.2">
      <c r="A149" s="115">
        <v>8</v>
      </c>
      <c r="B149" s="116" t="s">
        <v>120</v>
      </c>
      <c r="C149" s="113">
        <v>951185</v>
      </c>
      <c r="D149" s="113">
        <v>996585</v>
      </c>
      <c r="E149" s="113">
        <f t="shared" si="20"/>
        <v>45400</v>
      </c>
      <c r="F149" s="114">
        <f t="shared" si="21"/>
        <v>4.7729936868222272E-2</v>
      </c>
    </row>
    <row r="150" spans="1:6" x14ac:dyDescent="0.2">
      <c r="A150" s="115">
        <v>9</v>
      </c>
      <c r="B150" s="116" t="s">
        <v>121</v>
      </c>
      <c r="C150" s="113">
        <v>4731134</v>
      </c>
      <c r="D150" s="113">
        <v>3807038</v>
      </c>
      <c r="E150" s="113">
        <f t="shared" si="20"/>
        <v>-924096</v>
      </c>
      <c r="F150" s="114">
        <f t="shared" si="21"/>
        <v>-0.19532230539232243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96354</v>
      </c>
      <c r="D152" s="113">
        <v>0</v>
      </c>
      <c r="E152" s="113">
        <f t="shared" si="20"/>
        <v>-96354</v>
      </c>
      <c r="F152" s="114">
        <f t="shared" si="21"/>
        <v>-1</v>
      </c>
    </row>
    <row r="153" spans="1:6" ht="33.75" customHeight="1" x14ac:dyDescent="0.25">
      <c r="A153" s="117"/>
      <c r="B153" s="118" t="s">
        <v>146</v>
      </c>
      <c r="C153" s="119">
        <f>SUM(C142:C152)</f>
        <v>64266786</v>
      </c>
      <c r="D153" s="119">
        <f>SUM(D142:D152)</f>
        <v>66951000</v>
      </c>
      <c r="E153" s="119">
        <f t="shared" si="20"/>
        <v>2684214</v>
      </c>
      <c r="F153" s="120">
        <f t="shared" si="21"/>
        <v>4.1766737798277324E-2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2197390</v>
      </c>
      <c r="D155" s="113">
        <v>2094369</v>
      </c>
      <c r="E155" s="113">
        <f t="shared" ref="E155:E166" si="22">D155-C155</f>
        <v>-103021</v>
      </c>
      <c r="F155" s="114">
        <f t="shared" ref="F155:F166" si="23">IF(C155=0,0,E155/C155)</f>
        <v>-4.6883347971912133E-2</v>
      </c>
    </row>
    <row r="156" spans="1:6" x14ac:dyDescent="0.2">
      <c r="A156" s="115">
        <v>2</v>
      </c>
      <c r="B156" s="116" t="s">
        <v>114</v>
      </c>
      <c r="C156" s="113">
        <v>695616</v>
      </c>
      <c r="D156" s="113">
        <v>679448</v>
      </c>
      <c r="E156" s="113">
        <f t="shared" si="22"/>
        <v>-16168</v>
      </c>
      <c r="F156" s="114">
        <f t="shared" si="23"/>
        <v>-2.3242708620848283E-2</v>
      </c>
    </row>
    <row r="157" spans="1:6" x14ac:dyDescent="0.2">
      <c r="A157" s="115">
        <v>3</v>
      </c>
      <c r="B157" s="116" t="s">
        <v>115</v>
      </c>
      <c r="C157" s="113">
        <v>2700858</v>
      </c>
      <c r="D157" s="113">
        <v>2634815</v>
      </c>
      <c r="E157" s="113">
        <f t="shared" si="22"/>
        <v>-66043</v>
      </c>
      <c r="F157" s="114">
        <f t="shared" si="23"/>
        <v>-2.4452599877520402E-2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89990</v>
      </c>
      <c r="D159" s="113">
        <v>87607</v>
      </c>
      <c r="E159" s="113">
        <f t="shared" si="22"/>
        <v>-2383</v>
      </c>
      <c r="F159" s="114">
        <f t="shared" si="23"/>
        <v>-2.6480720080008891E-2</v>
      </c>
    </row>
    <row r="160" spans="1:6" x14ac:dyDescent="0.2">
      <c r="A160" s="115">
        <v>6</v>
      </c>
      <c r="B160" s="116" t="s">
        <v>118</v>
      </c>
      <c r="C160" s="113">
        <v>775350</v>
      </c>
      <c r="D160" s="113">
        <v>785825</v>
      </c>
      <c r="E160" s="113">
        <f t="shared" si="22"/>
        <v>10475</v>
      </c>
      <c r="F160" s="114">
        <f t="shared" si="23"/>
        <v>1.3510027729412523E-2</v>
      </c>
    </row>
    <row r="161" spans="1:6" x14ac:dyDescent="0.2">
      <c r="A161" s="115">
        <v>7</v>
      </c>
      <c r="B161" s="116" t="s">
        <v>119</v>
      </c>
      <c r="C161" s="113">
        <v>11530590</v>
      </c>
      <c r="D161" s="113">
        <v>11749654</v>
      </c>
      <c r="E161" s="113">
        <f t="shared" si="22"/>
        <v>219064</v>
      </c>
      <c r="F161" s="114">
        <f t="shared" si="23"/>
        <v>1.8998507448447999E-2</v>
      </c>
    </row>
    <row r="162" spans="1:6" x14ac:dyDescent="0.2">
      <c r="A162" s="115">
        <v>8</v>
      </c>
      <c r="B162" s="116" t="s">
        <v>120</v>
      </c>
      <c r="C162" s="113">
        <v>516336</v>
      </c>
      <c r="D162" s="113">
        <v>641867</v>
      </c>
      <c r="E162" s="113">
        <f t="shared" si="22"/>
        <v>125531</v>
      </c>
      <c r="F162" s="114">
        <f t="shared" si="23"/>
        <v>0.24311882185243716</v>
      </c>
    </row>
    <row r="163" spans="1:6" x14ac:dyDescent="0.2">
      <c r="A163" s="115">
        <v>9</v>
      </c>
      <c r="B163" s="116" t="s">
        <v>121</v>
      </c>
      <c r="C163" s="113">
        <v>104228</v>
      </c>
      <c r="D163" s="113">
        <v>130914</v>
      </c>
      <c r="E163" s="113">
        <f t="shared" si="22"/>
        <v>26686</v>
      </c>
      <c r="F163" s="114">
        <f t="shared" si="23"/>
        <v>0.2560348466822735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11764</v>
      </c>
      <c r="D165" s="113">
        <v>0</v>
      </c>
      <c r="E165" s="113">
        <f t="shared" si="22"/>
        <v>-11764</v>
      </c>
      <c r="F165" s="114">
        <f t="shared" si="23"/>
        <v>-1</v>
      </c>
    </row>
    <row r="166" spans="1:6" ht="33.75" customHeight="1" x14ac:dyDescent="0.25">
      <c r="A166" s="117"/>
      <c r="B166" s="118" t="s">
        <v>148</v>
      </c>
      <c r="C166" s="119">
        <f>SUM(C155:C165)</f>
        <v>18622122</v>
      </c>
      <c r="D166" s="119">
        <f>SUM(D155:D165)</f>
        <v>18804499</v>
      </c>
      <c r="E166" s="119">
        <f t="shared" si="22"/>
        <v>182377</v>
      </c>
      <c r="F166" s="120">
        <f t="shared" si="23"/>
        <v>9.7935670274311385E-3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3379</v>
      </c>
      <c r="D168" s="133">
        <v>2752</v>
      </c>
      <c r="E168" s="133">
        <f t="shared" ref="E168:E179" si="24">D168-C168</f>
        <v>-627</v>
      </c>
      <c r="F168" s="114">
        <f t="shared" ref="F168:F179" si="25">IF(C168=0,0,E168/C168)</f>
        <v>-0.18555785735424682</v>
      </c>
    </row>
    <row r="169" spans="1:6" x14ac:dyDescent="0.2">
      <c r="A169" s="115">
        <v>2</v>
      </c>
      <c r="B169" s="116" t="s">
        <v>114</v>
      </c>
      <c r="C169" s="133">
        <v>1028</v>
      </c>
      <c r="D169" s="133">
        <v>845</v>
      </c>
      <c r="E169" s="133">
        <f t="shared" si="24"/>
        <v>-183</v>
      </c>
      <c r="F169" s="114">
        <f t="shared" si="25"/>
        <v>-0.17801556420233464</v>
      </c>
    </row>
    <row r="170" spans="1:6" x14ac:dyDescent="0.2">
      <c r="A170" s="115">
        <v>3</v>
      </c>
      <c r="B170" s="116" t="s">
        <v>115</v>
      </c>
      <c r="C170" s="133">
        <v>7147</v>
      </c>
      <c r="D170" s="133">
        <v>6399</v>
      </c>
      <c r="E170" s="133">
        <f t="shared" si="24"/>
        <v>-748</v>
      </c>
      <c r="F170" s="114">
        <f t="shared" si="25"/>
        <v>-0.10465929760738772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170</v>
      </c>
      <c r="D172" s="133">
        <v>142</v>
      </c>
      <c r="E172" s="133">
        <f t="shared" si="24"/>
        <v>-28</v>
      </c>
      <c r="F172" s="114">
        <f t="shared" si="25"/>
        <v>-0.16470588235294117</v>
      </c>
    </row>
    <row r="173" spans="1:6" x14ac:dyDescent="0.2">
      <c r="A173" s="115">
        <v>6</v>
      </c>
      <c r="B173" s="116" t="s">
        <v>118</v>
      </c>
      <c r="C173" s="133">
        <v>600</v>
      </c>
      <c r="D173" s="133">
        <v>544</v>
      </c>
      <c r="E173" s="133">
        <f t="shared" si="24"/>
        <v>-56</v>
      </c>
      <c r="F173" s="114">
        <f t="shared" si="25"/>
        <v>-9.3333333333333338E-2</v>
      </c>
    </row>
    <row r="174" spans="1:6" x14ac:dyDescent="0.2">
      <c r="A174" s="115">
        <v>7</v>
      </c>
      <c r="B174" s="116" t="s">
        <v>119</v>
      </c>
      <c r="C174" s="133">
        <v>8282</v>
      </c>
      <c r="D174" s="133">
        <v>7233</v>
      </c>
      <c r="E174" s="133">
        <f t="shared" si="24"/>
        <v>-1049</v>
      </c>
      <c r="F174" s="114">
        <f t="shared" si="25"/>
        <v>-0.12666022699830959</v>
      </c>
    </row>
    <row r="175" spans="1:6" x14ac:dyDescent="0.2">
      <c r="A175" s="115">
        <v>8</v>
      </c>
      <c r="B175" s="116" t="s">
        <v>120</v>
      </c>
      <c r="C175" s="133">
        <v>416</v>
      </c>
      <c r="D175" s="133">
        <v>325</v>
      </c>
      <c r="E175" s="133">
        <f t="shared" si="24"/>
        <v>-91</v>
      </c>
      <c r="F175" s="114">
        <f t="shared" si="25"/>
        <v>-0.21875</v>
      </c>
    </row>
    <row r="176" spans="1:6" x14ac:dyDescent="0.2">
      <c r="A176" s="115">
        <v>9</v>
      </c>
      <c r="B176" s="116" t="s">
        <v>121</v>
      </c>
      <c r="C176" s="133">
        <v>1627</v>
      </c>
      <c r="D176" s="133">
        <v>1022</v>
      </c>
      <c r="E176" s="133">
        <f t="shared" si="24"/>
        <v>-605</v>
      </c>
      <c r="F176" s="114">
        <f t="shared" si="25"/>
        <v>-0.37185003073140749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22</v>
      </c>
      <c r="D178" s="133">
        <v>0</v>
      </c>
      <c r="E178" s="133">
        <f t="shared" si="24"/>
        <v>-22</v>
      </c>
      <c r="F178" s="114">
        <f t="shared" si="25"/>
        <v>-1</v>
      </c>
    </row>
    <row r="179" spans="1:6" ht="33.75" customHeight="1" x14ac:dyDescent="0.25">
      <c r="A179" s="117"/>
      <c r="B179" s="118" t="s">
        <v>150</v>
      </c>
      <c r="C179" s="134">
        <f>SUM(C168:C178)</f>
        <v>22671</v>
      </c>
      <c r="D179" s="134">
        <f>SUM(D168:D178)</f>
        <v>19262</v>
      </c>
      <c r="E179" s="134">
        <f t="shared" si="24"/>
        <v>-3409</v>
      </c>
      <c r="F179" s="120">
        <f t="shared" si="25"/>
        <v>-0.15036831194036435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FILING&amp;RROCKVILLE GENERAL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9743100</v>
      </c>
      <c r="D15" s="157">
        <v>9189889</v>
      </c>
      <c r="E15" s="157">
        <f>+D15-C15</f>
        <v>-553211</v>
      </c>
      <c r="F15" s="161">
        <f>IF(C15=0,0,E15/C15)</f>
        <v>-5.6779772351715573E-2</v>
      </c>
    </row>
    <row r="16" spans="1:6" ht="15" customHeight="1" x14ac:dyDescent="0.2">
      <c r="A16" s="147">
        <v>2</v>
      </c>
      <c r="B16" s="160" t="s">
        <v>157</v>
      </c>
      <c r="C16" s="157">
        <v>3972965</v>
      </c>
      <c r="D16" s="157">
        <v>4326903</v>
      </c>
      <c r="E16" s="157">
        <f>+D16-C16</f>
        <v>353938</v>
      </c>
      <c r="F16" s="161">
        <f>IF(C16=0,0,E16/C16)</f>
        <v>8.9086614153409349E-2</v>
      </c>
    </row>
    <row r="17" spans="1:6" ht="15" customHeight="1" x14ac:dyDescent="0.2">
      <c r="A17" s="147">
        <v>3</v>
      </c>
      <c r="B17" s="160" t="s">
        <v>158</v>
      </c>
      <c r="C17" s="157">
        <v>17793574</v>
      </c>
      <c r="D17" s="157">
        <v>18943461</v>
      </c>
      <c r="E17" s="157">
        <f>+D17-C17</f>
        <v>1149887</v>
      </c>
      <c r="F17" s="161">
        <f>IF(C17=0,0,E17/C17)</f>
        <v>6.4623723148592854E-2</v>
      </c>
    </row>
    <row r="18" spans="1:6" ht="15.75" customHeight="1" x14ac:dyDescent="0.25">
      <c r="A18" s="147"/>
      <c r="B18" s="162" t="s">
        <v>159</v>
      </c>
      <c r="C18" s="158">
        <f>SUM(C15:C17)</f>
        <v>31509639</v>
      </c>
      <c r="D18" s="158">
        <f>SUM(D15:D17)</f>
        <v>32460253</v>
      </c>
      <c r="E18" s="158">
        <f>+D18-C18</f>
        <v>950614</v>
      </c>
      <c r="F18" s="159">
        <f>IF(C18=0,0,E18/C18)</f>
        <v>3.0168990511125818E-2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3448259</v>
      </c>
      <c r="D21" s="157">
        <v>2915782</v>
      </c>
      <c r="E21" s="157">
        <f>+D21-C21</f>
        <v>-532477</v>
      </c>
      <c r="F21" s="161">
        <f>IF(C21=0,0,E21/C21)</f>
        <v>-0.1544190851093262</v>
      </c>
    </row>
    <row r="22" spans="1:6" ht="15" customHeight="1" x14ac:dyDescent="0.2">
      <c r="A22" s="147">
        <v>2</v>
      </c>
      <c r="B22" s="160" t="s">
        <v>162</v>
      </c>
      <c r="C22" s="157">
        <v>1318628</v>
      </c>
      <c r="D22" s="157">
        <v>1304736</v>
      </c>
      <c r="E22" s="157">
        <f>+D22-C22</f>
        <v>-13892</v>
      </c>
      <c r="F22" s="161">
        <f>IF(C22=0,0,E22/C22)</f>
        <v>-1.0535192639622395E-2</v>
      </c>
    </row>
    <row r="23" spans="1:6" ht="15" customHeight="1" x14ac:dyDescent="0.2">
      <c r="A23" s="147">
        <v>3</v>
      </c>
      <c r="B23" s="160" t="s">
        <v>163</v>
      </c>
      <c r="C23" s="157">
        <v>5257714</v>
      </c>
      <c r="D23" s="157">
        <v>5140279</v>
      </c>
      <c r="E23" s="157">
        <f>+D23-C23</f>
        <v>-117435</v>
      </c>
      <c r="F23" s="161">
        <f>IF(C23=0,0,E23/C23)</f>
        <v>-2.2335752762512377E-2</v>
      </c>
    </row>
    <row r="24" spans="1:6" ht="15.75" customHeight="1" x14ac:dyDescent="0.25">
      <c r="A24" s="147"/>
      <c r="B24" s="162" t="s">
        <v>164</v>
      </c>
      <c r="C24" s="158">
        <f>SUM(C21:C23)</f>
        <v>10024601</v>
      </c>
      <c r="D24" s="158">
        <f>SUM(D21:D23)</f>
        <v>9360797</v>
      </c>
      <c r="E24" s="158">
        <f>+D24-C24</f>
        <v>-663804</v>
      </c>
      <c r="F24" s="159">
        <f>IF(C24=0,0,E24/C24)</f>
        <v>-6.6217498332352576E-2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2942670</v>
      </c>
      <c r="D28" s="157">
        <v>3728005</v>
      </c>
      <c r="E28" s="157">
        <f>+D28-C28</f>
        <v>785335</v>
      </c>
      <c r="F28" s="161">
        <f>IF(C28=0,0,E28/C28)</f>
        <v>0.26687837915906304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2942670</v>
      </c>
      <c r="D30" s="158">
        <f>SUM(D27:D29)</f>
        <v>3728005</v>
      </c>
      <c r="E30" s="158">
        <f>+D30-C30</f>
        <v>785335</v>
      </c>
      <c r="F30" s="159">
        <f>IF(C30=0,0,E30/C30)</f>
        <v>0.26687837915906304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8663885</v>
      </c>
      <c r="D33" s="157">
        <v>8410877</v>
      </c>
      <c r="E33" s="157">
        <f>+D33-C33</f>
        <v>-253008</v>
      </c>
      <c r="F33" s="161">
        <f>IF(C33=0,0,E33/C33)</f>
        <v>-2.9202603681835575E-2</v>
      </c>
    </row>
    <row r="34" spans="1:6" ht="15" customHeight="1" x14ac:dyDescent="0.2">
      <c r="A34" s="147">
        <v>2</v>
      </c>
      <c r="B34" s="160" t="s">
        <v>173</v>
      </c>
      <c r="C34" s="157">
        <v>1350225</v>
      </c>
      <c r="D34" s="157">
        <v>1365544</v>
      </c>
      <c r="E34" s="157">
        <f>+D34-C34</f>
        <v>15319</v>
      </c>
      <c r="F34" s="161">
        <f>IF(C34=0,0,E34/C34)</f>
        <v>1.1345516487992742E-2</v>
      </c>
    </row>
    <row r="35" spans="1:6" ht="15.75" customHeight="1" x14ac:dyDescent="0.25">
      <c r="A35" s="147"/>
      <c r="B35" s="162" t="s">
        <v>174</v>
      </c>
      <c r="C35" s="158">
        <f>SUM(C33:C34)</f>
        <v>10014110</v>
      </c>
      <c r="D35" s="158">
        <f>SUM(D33:D34)</f>
        <v>9776421</v>
      </c>
      <c r="E35" s="158">
        <f>+D35-C35</f>
        <v>-237689</v>
      </c>
      <c r="F35" s="159">
        <f>IF(C35=0,0,E35/C35)</f>
        <v>-2.3735409337424893E-2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1880073</v>
      </c>
      <c r="D38" s="157">
        <v>1783192</v>
      </c>
      <c r="E38" s="157">
        <f>+D38-C38</f>
        <v>-96881</v>
      </c>
      <c r="F38" s="161">
        <f>IF(C38=0,0,E38/C38)</f>
        <v>-5.1530445892260565E-2</v>
      </c>
    </row>
    <row r="39" spans="1:6" ht="15" customHeight="1" x14ac:dyDescent="0.2">
      <c r="A39" s="147">
        <v>2</v>
      </c>
      <c r="B39" s="160" t="s">
        <v>178</v>
      </c>
      <c r="C39" s="157">
        <v>1642934</v>
      </c>
      <c r="D39" s="157">
        <v>1458133</v>
      </c>
      <c r="E39" s="157">
        <f>+D39-C39</f>
        <v>-184801</v>
      </c>
      <c r="F39" s="161">
        <f>IF(C39=0,0,E39/C39)</f>
        <v>-0.11248230300182478</v>
      </c>
    </row>
    <row r="40" spans="1:6" ht="15" customHeight="1" x14ac:dyDescent="0.2">
      <c r="A40" s="147">
        <v>3</v>
      </c>
      <c r="B40" s="160" t="s">
        <v>179</v>
      </c>
      <c r="C40" s="157">
        <v>42024</v>
      </c>
      <c r="D40" s="157">
        <v>39689</v>
      </c>
      <c r="E40" s="157">
        <f>+D40-C40</f>
        <v>-2335</v>
      </c>
      <c r="F40" s="161">
        <f>IF(C40=0,0,E40/C40)</f>
        <v>-5.5563487530934701E-2</v>
      </c>
    </row>
    <row r="41" spans="1:6" ht="15.75" customHeight="1" x14ac:dyDescent="0.25">
      <c r="A41" s="147"/>
      <c r="B41" s="162" t="s">
        <v>180</v>
      </c>
      <c r="C41" s="158">
        <f>SUM(C38:C40)</f>
        <v>3565031</v>
      </c>
      <c r="D41" s="158">
        <f>SUM(D38:D40)</f>
        <v>3281014</v>
      </c>
      <c r="E41" s="158">
        <f>+D41-C41</f>
        <v>-284017</v>
      </c>
      <c r="F41" s="159">
        <f>IF(C41=0,0,E41/C41)</f>
        <v>-7.9667469932239013E-2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682298</v>
      </c>
      <c r="D47" s="157">
        <v>689882</v>
      </c>
      <c r="E47" s="157">
        <f>+D47-C47</f>
        <v>7584</v>
      </c>
      <c r="F47" s="161">
        <f>IF(C47=0,0,E47/C47)</f>
        <v>1.1115377738173057E-2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2170991</v>
      </c>
      <c r="D50" s="157">
        <v>1033082</v>
      </c>
      <c r="E50" s="157">
        <f>+D50-C50</f>
        <v>-1137909</v>
      </c>
      <c r="F50" s="161">
        <f>IF(C50=0,0,E50/C50)</f>
        <v>-0.5241426611165132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75025</v>
      </c>
      <c r="D53" s="157">
        <v>66454</v>
      </c>
      <c r="E53" s="157">
        <f t="shared" ref="E53:E59" si="0">+D53-C53</f>
        <v>-8571</v>
      </c>
      <c r="F53" s="161">
        <f t="shared" ref="F53:F59" si="1">IF(C53=0,0,E53/C53)</f>
        <v>-0.11424191936021326</v>
      </c>
    </row>
    <row r="54" spans="1:6" ht="15" customHeight="1" x14ac:dyDescent="0.2">
      <c r="A54" s="147">
        <v>2</v>
      </c>
      <c r="B54" s="160" t="s">
        <v>189</v>
      </c>
      <c r="C54" s="157">
        <v>257797</v>
      </c>
      <c r="D54" s="157">
        <v>331907</v>
      </c>
      <c r="E54" s="157">
        <f t="shared" si="0"/>
        <v>74110</v>
      </c>
      <c r="F54" s="161">
        <f t="shared" si="1"/>
        <v>0.28747425299751356</v>
      </c>
    </row>
    <row r="55" spans="1:6" ht="15" customHeight="1" x14ac:dyDescent="0.2">
      <c r="A55" s="147">
        <v>3</v>
      </c>
      <c r="B55" s="160" t="s">
        <v>190</v>
      </c>
      <c r="C55" s="157">
        <v>48664</v>
      </c>
      <c r="D55" s="157">
        <v>61375</v>
      </c>
      <c r="E55" s="157">
        <f t="shared" si="0"/>
        <v>12711</v>
      </c>
      <c r="F55" s="161">
        <f t="shared" si="1"/>
        <v>0.26119924379418052</v>
      </c>
    </row>
    <row r="56" spans="1:6" ht="15" customHeight="1" x14ac:dyDescent="0.2">
      <c r="A56" s="147">
        <v>4</v>
      </c>
      <c r="B56" s="160" t="s">
        <v>191</v>
      </c>
      <c r="C56" s="157">
        <v>576648</v>
      </c>
      <c r="D56" s="157">
        <v>663923</v>
      </c>
      <c r="E56" s="157">
        <f t="shared" si="0"/>
        <v>87275</v>
      </c>
      <c r="F56" s="161">
        <f t="shared" si="1"/>
        <v>0.15134882978870992</v>
      </c>
    </row>
    <row r="57" spans="1:6" ht="15" customHeight="1" x14ac:dyDescent="0.2">
      <c r="A57" s="147">
        <v>5</v>
      </c>
      <c r="B57" s="160" t="s">
        <v>192</v>
      </c>
      <c r="C57" s="157">
        <v>214817</v>
      </c>
      <c r="D57" s="157">
        <v>233795</v>
      </c>
      <c r="E57" s="157">
        <f t="shared" si="0"/>
        <v>18978</v>
      </c>
      <c r="F57" s="161">
        <f t="shared" si="1"/>
        <v>8.8344963387441397E-2</v>
      </c>
    </row>
    <row r="58" spans="1:6" ht="15" customHeight="1" x14ac:dyDescent="0.2">
      <c r="A58" s="147">
        <v>6</v>
      </c>
      <c r="B58" s="160" t="s">
        <v>193</v>
      </c>
      <c r="C58" s="157">
        <v>68472</v>
      </c>
      <c r="D58" s="157">
        <v>36400</v>
      </c>
      <c r="E58" s="157">
        <f t="shared" si="0"/>
        <v>-32072</v>
      </c>
      <c r="F58" s="161">
        <f t="shared" si="1"/>
        <v>-0.46839584063558826</v>
      </c>
    </row>
    <row r="59" spans="1:6" ht="15.75" customHeight="1" x14ac:dyDescent="0.25">
      <c r="A59" s="147"/>
      <c r="B59" s="162" t="s">
        <v>194</v>
      </c>
      <c r="C59" s="158">
        <f>SUM(C53:C58)</f>
        <v>1241423</v>
      </c>
      <c r="D59" s="158">
        <f>SUM(D53:D58)</f>
        <v>1393854</v>
      </c>
      <c r="E59" s="158">
        <f t="shared" si="0"/>
        <v>152431</v>
      </c>
      <c r="F59" s="159">
        <f t="shared" si="1"/>
        <v>0.12278731745746616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123511</v>
      </c>
      <c r="D62" s="157">
        <v>128703</v>
      </c>
      <c r="E62" s="157">
        <f t="shared" ref="E62:E90" si="2">+D62-C62</f>
        <v>5192</v>
      </c>
      <c r="F62" s="161">
        <f t="shared" ref="F62:F90" si="3">IF(C62=0,0,E62/C62)</f>
        <v>4.2036741666734136E-2</v>
      </c>
    </row>
    <row r="63" spans="1:6" ht="15" customHeight="1" x14ac:dyDescent="0.2">
      <c r="A63" s="147">
        <v>2</v>
      </c>
      <c r="B63" s="160" t="s">
        <v>198</v>
      </c>
      <c r="C63" s="157">
        <v>263826</v>
      </c>
      <c r="D63" s="157">
        <v>148880</v>
      </c>
      <c r="E63" s="157">
        <f t="shared" si="2"/>
        <v>-114946</v>
      </c>
      <c r="F63" s="161">
        <f t="shared" si="3"/>
        <v>-0.43568867359547581</v>
      </c>
    </row>
    <row r="64" spans="1:6" ht="15" customHeight="1" x14ac:dyDescent="0.2">
      <c r="A64" s="147">
        <v>3</v>
      </c>
      <c r="B64" s="160" t="s">
        <v>199</v>
      </c>
      <c r="C64" s="157">
        <v>753068</v>
      </c>
      <c r="D64" s="157">
        <v>513903</v>
      </c>
      <c r="E64" s="157">
        <f t="shared" si="2"/>
        <v>-239165</v>
      </c>
      <c r="F64" s="161">
        <f t="shared" si="3"/>
        <v>-0.31758752197676704</v>
      </c>
    </row>
    <row r="65" spans="1:6" ht="15" customHeight="1" x14ac:dyDescent="0.2">
      <c r="A65" s="147">
        <v>4</v>
      </c>
      <c r="B65" s="160" t="s">
        <v>200</v>
      </c>
      <c r="C65" s="157">
        <v>110690</v>
      </c>
      <c r="D65" s="157">
        <v>109803</v>
      </c>
      <c r="E65" s="157">
        <f t="shared" si="2"/>
        <v>-887</v>
      </c>
      <c r="F65" s="161">
        <f t="shared" si="3"/>
        <v>-8.0133706748577102E-3</v>
      </c>
    </row>
    <row r="66" spans="1:6" ht="15" customHeight="1" x14ac:dyDescent="0.2">
      <c r="A66" s="147">
        <v>5</v>
      </c>
      <c r="B66" s="160" t="s">
        <v>201</v>
      </c>
      <c r="C66" s="157">
        <v>91740</v>
      </c>
      <c r="D66" s="157">
        <v>255423</v>
      </c>
      <c r="E66" s="157">
        <f t="shared" si="2"/>
        <v>163683</v>
      </c>
      <c r="F66" s="161">
        <f t="shared" si="3"/>
        <v>1.7842053629823413</v>
      </c>
    </row>
    <row r="67" spans="1:6" ht="15" customHeight="1" x14ac:dyDescent="0.2">
      <c r="A67" s="147">
        <v>6</v>
      </c>
      <c r="B67" s="160" t="s">
        <v>202</v>
      </c>
      <c r="C67" s="157">
        <v>862410</v>
      </c>
      <c r="D67" s="157">
        <v>1002169</v>
      </c>
      <c r="E67" s="157">
        <f t="shared" si="2"/>
        <v>139759</v>
      </c>
      <c r="F67" s="161">
        <f t="shared" si="3"/>
        <v>0.16205633051564802</v>
      </c>
    </row>
    <row r="68" spans="1:6" ht="15" customHeight="1" x14ac:dyDescent="0.2">
      <c r="A68" s="147">
        <v>7</v>
      </c>
      <c r="B68" s="160" t="s">
        <v>203</v>
      </c>
      <c r="C68" s="157">
        <v>381690</v>
      </c>
      <c r="D68" s="157">
        <v>294096</v>
      </c>
      <c r="E68" s="157">
        <f t="shared" si="2"/>
        <v>-87594</v>
      </c>
      <c r="F68" s="161">
        <f t="shared" si="3"/>
        <v>-0.22948990018077497</v>
      </c>
    </row>
    <row r="69" spans="1:6" ht="15" customHeight="1" x14ac:dyDescent="0.2">
      <c r="A69" s="147">
        <v>8</v>
      </c>
      <c r="B69" s="160" t="s">
        <v>204</v>
      </c>
      <c r="C69" s="157">
        <v>282744</v>
      </c>
      <c r="D69" s="157">
        <v>146481</v>
      </c>
      <c r="E69" s="157">
        <f t="shared" si="2"/>
        <v>-136263</v>
      </c>
      <c r="F69" s="161">
        <f t="shared" si="3"/>
        <v>-0.48193065104829813</v>
      </c>
    </row>
    <row r="70" spans="1:6" ht="15" customHeight="1" x14ac:dyDescent="0.2">
      <c r="A70" s="147">
        <v>9</v>
      </c>
      <c r="B70" s="160" t="s">
        <v>205</v>
      </c>
      <c r="C70" s="157">
        <v>13862</v>
      </c>
      <c r="D70" s="157">
        <v>18964</v>
      </c>
      <c r="E70" s="157">
        <f t="shared" si="2"/>
        <v>5102</v>
      </c>
      <c r="F70" s="161">
        <f t="shared" si="3"/>
        <v>0.36805655749531091</v>
      </c>
    </row>
    <row r="71" spans="1:6" ht="15" customHeight="1" x14ac:dyDescent="0.2">
      <c r="A71" s="147">
        <v>10</v>
      </c>
      <c r="B71" s="160" t="s">
        <v>206</v>
      </c>
      <c r="C71" s="157">
        <v>7682</v>
      </c>
      <c r="D71" s="157">
        <v>5525</v>
      </c>
      <c r="E71" s="157">
        <f t="shared" si="2"/>
        <v>-2157</v>
      </c>
      <c r="F71" s="161">
        <f t="shared" si="3"/>
        <v>-0.28078625357979692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364326</v>
      </c>
      <c r="D73" s="157">
        <v>408428</v>
      </c>
      <c r="E73" s="157">
        <f t="shared" si="2"/>
        <v>44102</v>
      </c>
      <c r="F73" s="161">
        <f t="shared" si="3"/>
        <v>0.12105092691710172</v>
      </c>
    </row>
    <row r="74" spans="1:6" ht="15" customHeight="1" x14ac:dyDescent="0.2">
      <c r="A74" s="147">
        <v>13</v>
      </c>
      <c r="B74" s="160" t="s">
        <v>209</v>
      </c>
      <c r="C74" s="157">
        <v>137208</v>
      </c>
      <c r="D74" s="157">
        <v>117704</v>
      </c>
      <c r="E74" s="157">
        <f t="shared" si="2"/>
        <v>-19504</v>
      </c>
      <c r="F74" s="161">
        <f t="shared" si="3"/>
        <v>-0.14214914582240101</v>
      </c>
    </row>
    <row r="75" spans="1:6" ht="15" customHeight="1" x14ac:dyDescent="0.2">
      <c r="A75" s="147">
        <v>14</v>
      </c>
      <c r="B75" s="160" t="s">
        <v>210</v>
      </c>
      <c r="C75" s="157">
        <v>57528</v>
      </c>
      <c r="D75" s="157">
        <v>68576</v>
      </c>
      <c r="E75" s="157">
        <f t="shared" si="2"/>
        <v>11048</v>
      </c>
      <c r="F75" s="161">
        <f t="shared" si="3"/>
        <v>0.19204561257126965</v>
      </c>
    </row>
    <row r="76" spans="1:6" ht="15" customHeight="1" x14ac:dyDescent="0.2">
      <c r="A76" s="147">
        <v>15</v>
      </c>
      <c r="B76" s="160" t="s">
        <v>211</v>
      </c>
      <c r="C76" s="157">
        <v>373754</v>
      </c>
      <c r="D76" s="157">
        <v>419758</v>
      </c>
      <c r="E76" s="157">
        <f t="shared" si="2"/>
        <v>46004</v>
      </c>
      <c r="F76" s="161">
        <f t="shared" si="3"/>
        <v>0.12308630810640153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1041592</v>
      </c>
      <c r="D78" s="157">
        <v>1139673</v>
      </c>
      <c r="E78" s="157">
        <f t="shared" si="2"/>
        <v>98081</v>
      </c>
      <c r="F78" s="161">
        <f t="shared" si="3"/>
        <v>9.4164509712056157E-2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471428</v>
      </c>
      <c r="D80" s="157">
        <v>505407</v>
      </c>
      <c r="E80" s="157">
        <f t="shared" si="2"/>
        <v>33979</v>
      </c>
      <c r="F80" s="161">
        <f t="shared" si="3"/>
        <v>7.2076754032429136E-2</v>
      </c>
    </row>
    <row r="81" spans="1:6" ht="15" customHeight="1" x14ac:dyDescent="0.2">
      <c r="A81" s="147">
        <v>20</v>
      </c>
      <c r="B81" s="160" t="s">
        <v>216</v>
      </c>
      <c r="C81" s="157">
        <v>737068</v>
      </c>
      <c r="D81" s="157">
        <v>436465</v>
      </c>
      <c r="E81" s="157">
        <f t="shared" si="2"/>
        <v>-300603</v>
      </c>
      <c r="F81" s="161">
        <f t="shared" si="3"/>
        <v>-0.40783618336435717</v>
      </c>
    </row>
    <row r="82" spans="1:6" ht="15" customHeight="1" x14ac:dyDescent="0.2">
      <c r="A82" s="147">
        <v>21</v>
      </c>
      <c r="B82" s="160" t="s">
        <v>217</v>
      </c>
      <c r="C82" s="157">
        <v>59548</v>
      </c>
      <c r="D82" s="157">
        <v>362037</v>
      </c>
      <c r="E82" s="157">
        <f t="shared" si="2"/>
        <v>302489</v>
      </c>
      <c r="F82" s="161">
        <f t="shared" si="3"/>
        <v>5.0797507892792373</v>
      </c>
    </row>
    <row r="83" spans="1:6" ht="15" customHeight="1" x14ac:dyDescent="0.2">
      <c r="A83" s="147">
        <v>22</v>
      </c>
      <c r="B83" s="160" t="s">
        <v>218</v>
      </c>
      <c r="C83" s="157">
        <v>143086</v>
      </c>
      <c r="D83" s="157">
        <v>167977</v>
      </c>
      <c r="E83" s="157">
        <f t="shared" si="2"/>
        <v>24891</v>
      </c>
      <c r="F83" s="161">
        <f t="shared" si="3"/>
        <v>0.17395831877332513</v>
      </c>
    </row>
    <row r="84" spans="1:6" ht="15" customHeight="1" x14ac:dyDescent="0.2">
      <c r="A84" s="147">
        <v>23</v>
      </c>
      <c r="B84" s="160" t="s">
        <v>219</v>
      </c>
      <c r="C84" s="157">
        <v>335135</v>
      </c>
      <c r="D84" s="157">
        <v>366004</v>
      </c>
      <c r="E84" s="157">
        <f t="shared" si="2"/>
        <v>30869</v>
      </c>
      <c r="F84" s="161">
        <f t="shared" si="3"/>
        <v>9.2109150044012114E-2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78062</v>
      </c>
      <c r="D86" s="157">
        <v>114215</v>
      </c>
      <c r="E86" s="157">
        <f t="shared" si="2"/>
        <v>36153</v>
      </c>
      <c r="F86" s="161">
        <f t="shared" si="3"/>
        <v>0.46313186953959673</v>
      </c>
    </row>
    <row r="87" spans="1:6" ht="15" customHeight="1" x14ac:dyDescent="0.2">
      <c r="A87" s="147">
        <v>26</v>
      </c>
      <c r="B87" s="160" t="s">
        <v>222</v>
      </c>
      <c r="C87" s="157">
        <v>759886</v>
      </c>
      <c r="D87" s="157">
        <v>1106841</v>
      </c>
      <c r="E87" s="157">
        <f t="shared" si="2"/>
        <v>346955</v>
      </c>
      <c r="F87" s="161">
        <f t="shared" si="3"/>
        <v>0.45658822507586666</v>
      </c>
    </row>
    <row r="88" spans="1:6" ht="15" customHeight="1" x14ac:dyDescent="0.2">
      <c r="A88" s="147">
        <v>27</v>
      </c>
      <c r="B88" s="160" t="s">
        <v>223</v>
      </c>
      <c r="C88" s="157">
        <v>1156936</v>
      </c>
      <c r="D88" s="157">
        <v>1429722</v>
      </c>
      <c r="E88" s="157">
        <f t="shared" si="2"/>
        <v>272786</v>
      </c>
      <c r="F88" s="161">
        <f t="shared" si="3"/>
        <v>0.23578313752878291</v>
      </c>
    </row>
    <row r="89" spans="1:6" ht="15" customHeight="1" x14ac:dyDescent="0.2">
      <c r="A89" s="147">
        <v>28</v>
      </c>
      <c r="B89" s="160" t="s">
        <v>224</v>
      </c>
      <c r="C89" s="157">
        <v>870258</v>
      </c>
      <c r="D89" s="157">
        <v>1106748</v>
      </c>
      <c r="E89" s="157">
        <f t="shared" si="2"/>
        <v>236490</v>
      </c>
      <c r="F89" s="161">
        <f t="shared" si="3"/>
        <v>0.27174699916576461</v>
      </c>
    </row>
    <row r="90" spans="1:6" ht="15.75" customHeight="1" x14ac:dyDescent="0.25">
      <c r="A90" s="147"/>
      <c r="B90" s="162" t="s">
        <v>225</v>
      </c>
      <c r="C90" s="158">
        <f>SUM(C62:C89)</f>
        <v>9477038</v>
      </c>
      <c r="D90" s="158">
        <f>SUM(D62:D89)</f>
        <v>10373502</v>
      </c>
      <c r="E90" s="158">
        <f t="shared" si="2"/>
        <v>896464</v>
      </c>
      <c r="F90" s="159">
        <f t="shared" si="3"/>
        <v>9.459326848747468E-2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42297</v>
      </c>
      <c r="D93" s="157">
        <v>62845</v>
      </c>
      <c r="E93" s="157">
        <f>+D93-C93</f>
        <v>20548</v>
      </c>
      <c r="F93" s="161">
        <f>IF(C93=0,0,E93/C93)</f>
        <v>0.4858027756105634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71670098</v>
      </c>
      <c r="D95" s="158">
        <f>+D93+D90+D59+D50+D47+D44+D41+D35+D30+D24+D18</f>
        <v>72159655</v>
      </c>
      <c r="E95" s="158">
        <f>+D95-C95</f>
        <v>489557</v>
      </c>
      <c r="F95" s="159">
        <f>IF(C95=0,0,E95/C95)</f>
        <v>6.8307008593737374E-3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1480046</v>
      </c>
      <c r="D103" s="157">
        <v>1228601</v>
      </c>
      <c r="E103" s="157">
        <f t="shared" ref="E103:E121" si="4">D103-C103</f>
        <v>-251445</v>
      </c>
      <c r="F103" s="161">
        <f t="shared" ref="F103:F121" si="5">IF(C103=0,0,E103/C103)</f>
        <v>-0.16988998990571916</v>
      </c>
    </row>
    <row r="104" spans="1:6" ht="15" customHeight="1" x14ac:dyDescent="0.2">
      <c r="A104" s="147">
        <v>2</v>
      </c>
      <c r="B104" s="169" t="s">
        <v>234</v>
      </c>
      <c r="C104" s="157">
        <v>1114252</v>
      </c>
      <c r="D104" s="157">
        <v>1128305</v>
      </c>
      <c r="E104" s="157">
        <f t="shared" si="4"/>
        <v>14053</v>
      </c>
      <c r="F104" s="161">
        <f t="shared" si="5"/>
        <v>1.2612048261973055E-2</v>
      </c>
    </row>
    <row r="105" spans="1:6" ht="15" customHeight="1" x14ac:dyDescent="0.2">
      <c r="A105" s="147">
        <v>3</v>
      </c>
      <c r="B105" s="169" t="s">
        <v>235</v>
      </c>
      <c r="C105" s="157">
        <v>389945</v>
      </c>
      <c r="D105" s="157">
        <v>1128966</v>
      </c>
      <c r="E105" s="157">
        <f t="shared" si="4"/>
        <v>739021</v>
      </c>
      <c r="F105" s="161">
        <f t="shared" si="5"/>
        <v>1.8951929118208979</v>
      </c>
    </row>
    <row r="106" spans="1:6" ht="15" customHeight="1" x14ac:dyDescent="0.2">
      <c r="A106" s="147">
        <v>4</v>
      </c>
      <c r="B106" s="169" t="s">
        <v>236</v>
      </c>
      <c r="C106" s="157">
        <v>519323</v>
      </c>
      <c r="D106" s="157">
        <v>463342</v>
      </c>
      <c r="E106" s="157">
        <f t="shared" si="4"/>
        <v>-55981</v>
      </c>
      <c r="F106" s="161">
        <f t="shared" si="5"/>
        <v>-0.10779611147590228</v>
      </c>
    </row>
    <row r="107" spans="1:6" ht="15" customHeight="1" x14ac:dyDescent="0.2">
      <c r="A107" s="147">
        <v>5</v>
      </c>
      <c r="B107" s="169" t="s">
        <v>237</v>
      </c>
      <c r="C107" s="157">
        <v>2026852</v>
      </c>
      <c r="D107" s="157">
        <v>2320599</v>
      </c>
      <c r="E107" s="157">
        <f t="shared" si="4"/>
        <v>293747</v>
      </c>
      <c r="F107" s="161">
        <f t="shared" si="5"/>
        <v>0.14492770069052896</v>
      </c>
    </row>
    <row r="108" spans="1:6" ht="15" customHeight="1" x14ac:dyDescent="0.2">
      <c r="A108" s="147">
        <v>6</v>
      </c>
      <c r="B108" s="169" t="s">
        <v>238</v>
      </c>
      <c r="C108" s="157">
        <v>534762</v>
      </c>
      <c r="D108" s="157">
        <v>571731</v>
      </c>
      <c r="E108" s="157">
        <f t="shared" si="4"/>
        <v>36969</v>
      </c>
      <c r="F108" s="161">
        <f t="shared" si="5"/>
        <v>6.9131688489458859E-2</v>
      </c>
    </row>
    <row r="109" spans="1:6" ht="15" customHeight="1" x14ac:dyDescent="0.2">
      <c r="A109" s="147">
        <v>7</v>
      </c>
      <c r="B109" s="169" t="s">
        <v>239</v>
      </c>
      <c r="C109" s="157">
        <v>8315989</v>
      </c>
      <c r="D109" s="157">
        <v>7680157</v>
      </c>
      <c r="E109" s="157">
        <f t="shared" si="4"/>
        <v>-635832</v>
      </c>
      <c r="F109" s="161">
        <f t="shared" si="5"/>
        <v>-7.6458975595085563E-2</v>
      </c>
    </row>
    <row r="110" spans="1:6" ht="15" customHeight="1" x14ac:dyDescent="0.2">
      <c r="A110" s="147">
        <v>8</v>
      </c>
      <c r="B110" s="169" t="s">
        <v>240</v>
      </c>
      <c r="C110" s="157">
        <v>86358</v>
      </c>
      <c r="D110" s="157">
        <v>193163</v>
      </c>
      <c r="E110" s="157">
        <f t="shared" si="4"/>
        <v>106805</v>
      </c>
      <c r="F110" s="161">
        <f t="shared" si="5"/>
        <v>1.2367701892123486</v>
      </c>
    </row>
    <row r="111" spans="1:6" ht="15" customHeight="1" x14ac:dyDescent="0.2">
      <c r="A111" s="147">
        <v>9</v>
      </c>
      <c r="B111" s="169" t="s">
        <v>241</v>
      </c>
      <c r="C111" s="157">
        <v>309598</v>
      </c>
      <c r="D111" s="157">
        <v>335827</v>
      </c>
      <c r="E111" s="157">
        <f t="shared" si="4"/>
        <v>26229</v>
      </c>
      <c r="F111" s="161">
        <f t="shared" si="5"/>
        <v>8.4719539531909124E-2</v>
      </c>
    </row>
    <row r="112" spans="1:6" ht="15" customHeight="1" x14ac:dyDescent="0.2">
      <c r="A112" s="147">
        <v>10</v>
      </c>
      <c r="B112" s="169" t="s">
        <v>242</v>
      </c>
      <c r="C112" s="157">
        <v>1106360</v>
      </c>
      <c r="D112" s="157">
        <v>1091624</v>
      </c>
      <c r="E112" s="157">
        <f t="shared" si="4"/>
        <v>-14736</v>
      </c>
      <c r="F112" s="161">
        <f t="shared" si="5"/>
        <v>-1.331935355580462E-2</v>
      </c>
    </row>
    <row r="113" spans="1:6" ht="15" customHeight="1" x14ac:dyDescent="0.2">
      <c r="A113" s="147">
        <v>11</v>
      </c>
      <c r="B113" s="169" t="s">
        <v>243</v>
      </c>
      <c r="C113" s="157">
        <v>863079</v>
      </c>
      <c r="D113" s="157">
        <v>895355</v>
      </c>
      <c r="E113" s="157">
        <f t="shared" si="4"/>
        <v>32276</v>
      </c>
      <c r="F113" s="161">
        <f t="shared" si="5"/>
        <v>3.7396344946406992E-2</v>
      </c>
    </row>
    <row r="114" spans="1:6" ht="15" customHeight="1" x14ac:dyDescent="0.2">
      <c r="A114" s="147">
        <v>12</v>
      </c>
      <c r="B114" s="169" t="s">
        <v>244</v>
      </c>
      <c r="C114" s="157">
        <v>347159</v>
      </c>
      <c r="D114" s="157">
        <v>343194</v>
      </c>
      <c r="E114" s="157">
        <f t="shared" si="4"/>
        <v>-3965</v>
      </c>
      <c r="F114" s="161">
        <f t="shared" si="5"/>
        <v>-1.1421279586587126E-2</v>
      </c>
    </row>
    <row r="115" spans="1:6" ht="15" customHeight="1" x14ac:dyDescent="0.2">
      <c r="A115" s="147">
        <v>13</v>
      </c>
      <c r="B115" s="169" t="s">
        <v>245</v>
      </c>
      <c r="C115" s="157">
        <v>1089326</v>
      </c>
      <c r="D115" s="157">
        <v>1097500</v>
      </c>
      <c r="E115" s="157">
        <f t="shared" si="4"/>
        <v>8174</v>
      </c>
      <c r="F115" s="161">
        <f t="shared" si="5"/>
        <v>7.5037224852798883E-3</v>
      </c>
    </row>
    <row r="116" spans="1:6" ht="15" customHeight="1" x14ac:dyDescent="0.2">
      <c r="A116" s="147">
        <v>14</v>
      </c>
      <c r="B116" s="169" t="s">
        <v>246</v>
      </c>
      <c r="C116" s="157">
        <v>350104</v>
      </c>
      <c r="D116" s="157">
        <v>393018</v>
      </c>
      <c r="E116" s="157">
        <f t="shared" si="4"/>
        <v>42914</v>
      </c>
      <c r="F116" s="161">
        <f t="shared" si="5"/>
        <v>0.12257500628384708</v>
      </c>
    </row>
    <row r="117" spans="1:6" ht="15" customHeight="1" x14ac:dyDescent="0.2">
      <c r="A117" s="147">
        <v>15</v>
      </c>
      <c r="B117" s="169" t="s">
        <v>203</v>
      </c>
      <c r="C117" s="157">
        <v>968761</v>
      </c>
      <c r="D117" s="157">
        <v>873657</v>
      </c>
      <c r="E117" s="157">
        <f t="shared" si="4"/>
        <v>-95104</v>
      </c>
      <c r="F117" s="161">
        <f t="shared" si="5"/>
        <v>-9.8170756254638655E-2</v>
      </c>
    </row>
    <row r="118" spans="1:6" ht="15" customHeight="1" x14ac:dyDescent="0.2">
      <c r="A118" s="147">
        <v>16</v>
      </c>
      <c r="B118" s="169" t="s">
        <v>247</v>
      </c>
      <c r="C118" s="157">
        <v>146959</v>
      </c>
      <c r="D118" s="157">
        <v>289764</v>
      </c>
      <c r="E118" s="157">
        <f t="shared" si="4"/>
        <v>142805</v>
      </c>
      <c r="F118" s="161">
        <f t="shared" si="5"/>
        <v>0.97173361277635262</v>
      </c>
    </row>
    <row r="119" spans="1:6" ht="15" customHeight="1" x14ac:dyDescent="0.2">
      <c r="A119" s="147">
        <v>17</v>
      </c>
      <c r="B119" s="169" t="s">
        <v>248</v>
      </c>
      <c r="C119" s="157">
        <v>1854992</v>
      </c>
      <c r="D119" s="157">
        <v>1874163</v>
      </c>
      <c r="E119" s="157">
        <f t="shared" si="4"/>
        <v>19171</v>
      </c>
      <c r="F119" s="161">
        <f t="shared" si="5"/>
        <v>1.0334815460120583E-2</v>
      </c>
    </row>
    <row r="120" spans="1:6" ht="15" customHeight="1" x14ac:dyDescent="0.2">
      <c r="A120" s="147">
        <v>18</v>
      </c>
      <c r="B120" s="169" t="s">
        <v>249</v>
      </c>
      <c r="C120" s="157">
        <v>10426202</v>
      </c>
      <c r="D120" s="157">
        <v>8831830</v>
      </c>
      <c r="E120" s="157">
        <f t="shared" si="4"/>
        <v>-1594372</v>
      </c>
      <c r="F120" s="161">
        <f t="shared" si="5"/>
        <v>-0.15291973050205626</v>
      </c>
    </row>
    <row r="121" spans="1:6" ht="15.75" customHeight="1" x14ac:dyDescent="0.25">
      <c r="A121" s="147"/>
      <c r="B121" s="165" t="s">
        <v>250</v>
      </c>
      <c r="C121" s="158">
        <f>SUM(C103:C120)</f>
        <v>31930067</v>
      </c>
      <c r="D121" s="158">
        <f>SUM(D103:D120)</f>
        <v>30740796</v>
      </c>
      <c r="E121" s="158">
        <f t="shared" si="4"/>
        <v>-1189271</v>
      </c>
      <c r="F121" s="159">
        <f t="shared" si="5"/>
        <v>-3.7246116646106629E-2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2371836</v>
      </c>
      <c r="D124" s="157">
        <v>1490487</v>
      </c>
      <c r="E124" s="157">
        <f t="shared" ref="E124:E130" si="6">D124-C124</f>
        <v>-881349</v>
      </c>
      <c r="F124" s="161">
        <f t="shared" ref="F124:F130" si="7">IF(C124=0,0,E124/C124)</f>
        <v>-0.37158935103438856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30744</v>
      </c>
      <c r="E125" s="157">
        <f t="shared" si="6"/>
        <v>30744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260665</v>
      </c>
      <c r="D126" s="157">
        <v>726838</v>
      </c>
      <c r="E126" s="157">
        <f t="shared" si="6"/>
        <v>466173</v>
      </c>
      <c r="F126" s="161">
        <f t="shared" si="7"/>
        <v>1.7883989028062839</v>
      </c>
    </row>
    <row r="127" spans="1:6" ht="15" customHeight="1" x14ac:dyDescent="0.2">
      <c r="A127" s="147">
        <v>4</v>
      </c>
      <c r="B127" s="169" t="s">
        <v>255</v>
      </c>
      <c r="C127" s="157">
        <v>793078</v>
      </c>
      <c r="D127" s="157">
        <v>903533</v>
      </c>
      <c r="E127" s="157">
        <f t="shared" si="6"/>
        <v>110455</v>
      </c>
      <c r="F127" s="161">
        <f t="shared" si="7"/>
        <v>0.139273816698988</v>
      </c>
    </row>
    <row r="128" spans="1:6" ht="15" customHeight="1" x14ac:dyDescent="0.2">
      <c r="A128" s="147">
        <v>5</v>
      </c>
      <c r="B128" s="169" t="s">
        <v>256</v>
      </c>
      <c r="C128" s="157">
        <v>46575</v>
      </c>
      <c r="D128" s="157">
        <v>42287</v>
      </c>
      <c r="E128" s="157">
        <f t="shared" si="6"/>
        <v>-4288</v>
      </c>
      <c r="F128" s="161">
        <f t="shared" si="7"/>
        <v>-9.2066559312936128E-2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3472154</v>
      </c>
      <c r="D130" s="158">
        <f>SUM(D124:D129)</f>
        <v>3193889</v>
      </c>
      <c r="E130" s="158">
        <f t="shared" si="6"/>
        <v>-278265</v>
      </c>
      <c r="F130" s="159">
        <f t="shared" si="7"/>
        <v>-8.0141894627945645E-2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7683512</v>
      </c>
      <c r="D133" s="157">
        <v>7697906</v>
      </c>
      <c r="E133" s="157">
        <f t="shared" ref="E133:E167" si="8">D133-C133</f>
        <v>14394</v>
      </c>
      <c r="F133" s="161">
        <f t="shared" ref="F133:F167" si="9">IF(C133=0,0,E133/C133)</f>
        <v>1.8733620771334775E-3</v>
      </c>
    </row>
    <row r="134" spans="1:6" ht="15" customHeight="1" x14ac:dyDescent="0.2">
      <c r="A134" s="147">
        <v>2</v>
      </c>
      <c r="B134" s="169" t="s">
        <v>261</v>
      </c>
      <c r="C134" s="157">
        <v>416312</v>
      </c>
      <c r="D134" s="157">
        <v>384394</v>
      </c>
      <c r="E134" s="157">
        <f t="shared" si="8"/>
        <v>-31918</v>
      </c>
      <c r="F134" s="161">
        <f t="shared" si="9"/>
        <v>-7.6668460193316551E-2</v>
      </c>
    </row>
    <row r="135" spans="1:6" ht="15" customHeight="1" x14ac:dyDescent="0.2">
      <c r="A135" s="147">
        <v>3</v>
      </c>
      <c r="B135" s="169" t="s">
        <v>262</v>
      </c>
      <c r="C135" s="157">
        <v>226229</v>
      </c>
      <c r="D135" s="157">
        <v>182546</v>
      </c>
      <c r="E135" s="157">
        <f t="shared" si="8"/>
        <v>-43683</v>
      </c>
      <c r="F135" s="161">
        <f t="shared" si="9"/>
        <v>-0.19309195549642177</v>
      </c>
    </row>
    <row r="136" spans="1:6" ht="15" customHeight="1" x14ac:dyDescent="0.2">
      <c r="A136" s="147">
        <v>4</v>
      </c>
      <c r="B136" s="169" t="s">
        <v>263</v>
      </c>
      <c r="C136" s="157">
        <v>321853</v>
      </c>
      <c r="D136" s="157">
        <v>283860</v>
      </c>
      <c r="E136" s="157">
        <f t="shared" si="8"/>
        <v>-37993</v>
      </c>
      <c r="F136" s="161">
        <f t="shared" si="9"/>
        <v>-0.11804457314364011</v>
      </c>
    </row>
    <row r="137" spans="1:6" ht="15" customHeight="1" x14ac:dyDescent="0.2">
      <c r="A137" s="147">
        <v>5</v>
      </c>
      <c r="B137" s="169" t="s">
        <v>264</v>
      </c>
      <c r="C137" s="157">
        <v>3972846</v>
      </c>
      <c r="D137" s="157">
        <v>3998658</v>
      </c>
      <c r="E137" s="157">
        <f t="shared" si="8"/>
        <v>25812</v>
      </c>
      <c r="F137" s="161">
        <f t="shared" si="9"/>
        <v>6.4971056013749338E-3</v>
      </c>
    </row>
    <row r="138" spans="1:6" ht="15" customHeight="1" x14ac:dyDescent="0.2">
      <c r="A138" s="147">
        <v>6</v>
      </c>
      <c r="B138" s="169" t="s">
        <v>265</v>
      </c>
      <c r="C138" s="157">
        <v>460624</v>
      </c>
      <c r="D138" s="157">
        <v>503373</v>
      </c>
      <c r="E138" s="157">
        <f t="shared" si="8"/>
        <v>42749</v>
      </c>
      <c r="F138" s="161">
        <f t="shared" si="9"/>
        <v>9.2806714370071902E-2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308784</v>
      </c>
      <c r="D140" s="157">
        <v>362859</v>
      </c>
      <c r="E140" s="157">
        <f t="shared" si="8"/>
        <v>54075</v>
      </c>
      <c r="F140" s="161">
        <f t="shared" si="9"/>
        <v>0.17512241566920567</v>
      </c>
    </row>
    <row r="141" spans="1:6" ht="15" customHeight="1" x14ac:dyDescent="0.2">
      <c r="A141" s="147">
        <v>9</v>
      </c>
      <c r="B141" s="169" t="s">
        <v>268</v>
      </c>
      <c r="C141" s="157">
        <v>318338</v>
      </c>
      <c r="D141" s="157">
        <v>277311</v>
      </c>
      <c r="E141" s="157">
        <f t="shared" si="8"/>
        <v>-41027</v>
      </c>
      <c r="F141" s="161">
        <f t="shared" si="9"/>
        <v>-0.12887873895042376</v>
      </c>
    </row>
    <row r="142" spans="1:6" ht="15" customHeight="1" x14ac:dyDescent="0.2">
      <c r="A142" s="147">
        <v>10</v>
      </c>
      <c r="B142" s="169" t="s">
        <v>269</v>
      </c>
      <c r="C142" s="157">
        <v>3066541</v>
      </c>
      <c r="D142" s="157">
        <v>2531500</v>
      </c>
      <c r="E142" s="157">
        <f t="shared" si="8"/>
        <v>-535041</v>
      </c>
      <c r="F142" s="161">
        <f t="shared" si="9"/>
        <v>-0.17447704107005255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1370816</v>
      </c>
      <c r="D144" s="157">
        <v>1383318</v>
      </c>
      <c r="E144" s="157">
        <f t="shared" si="8"/>
        <v>12502</v>
      </c>
      <c r="F144" s="161">
        <f t="shared" si="9"/>
        <v>9.1201153181754511E-3</v>
      </c>
    </row>
    <row r="145" spans="1:6" ht="15" customHeight="1" x14ac:dyDescent="0.2">
      <c r="A145" s="147">
        <v>13</v>
      </c>
      <c r="B145" s="169" t="s">
        <v>272</v>
      </c>
      <c r="C145" s="157">
        <v>80889</v>
      </c>
      <c r="D145" s="157">
        <v>91327</v>
      </c>
      <c r="E145" s="157">
        <f t="shared" si="8"/>
        <v>10438</v>
      </c>
      <c r="F145" s="161">
        <f t="shared" si="9"/>
        <v>0.1290410315370446</v>
      </c>
    </row>
    <row r="146" spans="1:6" ht="15" customHeight="1" x14ac:dyDescent="0.2">
      <c r="A146" s="147">
        <v>14</v>
      </c>
      <c r="B146" s="169" t="s">
        <v>273</v>
      </c>
      <c r="C146" s="157">
        <v>17412</v>
      </c>
      <c r="D146" s="157">
        <v>21820</v>
      </c>
      <c r="E146" s="157">
        <f t="shared" si="8"/>
        <v>4408</v>
      </c>
      <c r="F146" s="161">
        <f t="shared" si="9"/>
        <v>0.25315874109809328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44791</v>
      </c>
      <c r="D148" s="157">
        <v>47062</v>
      </c>
      <c r="E148" s="157">
        <f t="shared" si="8"/>
        <v>2271</v>
      </c>
      <c r="F148" s="161">
        <f t="shared" si="9"/>
        <v>5.0702149985488158E-2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0</v>
      </c>
      <c r="D150" s="157">
        <v>0</v>
      </c>
      <c r="E150" s="157">
        <f t="shared" si="8"/>
        <v>0</v>
      </c>
      <c r="F150" s="161">
        <f t="shared" si="9"/>
        <v>0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107914</v>
      </c>
      <c r="D155" s="157">
        <v>104707</v>
      </c>
      <c r="E155" s="157">
        <f t="shared" si="8"/>
        <v>-3207</v>
      </c>
      <c r="F155" s="161">
        <f t="shared" si="9"/>
        <v>-2.9718108864466148E-2</v>
      </c>
    </row>
    <row r="156" spans="1:6" ht="15" customHeight="1" x14ac:dyDescent="0.2">
      <c r="A156" s="147">
        <v>24</v>
      </c>
      <c r="B156" s="169" t="s">
        <v>283</v>
      </c>
      <c r="C156" s="157">
        <v>6397785</v>
      </c>
      <c r="D156" s="157">
        <v>7793052</v>
      </c>
      <c r="E156" s="157">
        <f t="shared" si="8"/>
        <v>1395267</v>
      </c>
      <c r="F156" s="161">
        <f t="shared" si="9"/>
        <v>0.21808594693319641</v>
      </c>
    </row>
    <row r="157" spans="1:6" ht="15" customHeight="1" x14ac:dyDescent="0.2">
      <c r="A157" s="147">
        <v>25</v>
      </c>
      <c r="B157" s="169" t="s">
        <v>284</v>
      </c>
      <c r="C157" s="157">
        <v>204429</v>
      </c>
      <c r="D157" s="157">
        <v>172210</v>
      </c>
      <c r="E157" s="157">
        <f t="shared" si="8"/>
        <v>-32219</v>
      </c>
      <c r="F157" s="161">
        <f t="shared" si="9"/>
        <v>-0.15760484080047352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858828</v>
      </c>
      <c r="D160" s="157">
        <v>996900</v>
      </c>
      <c r="E160" s="157">
        <f t="shared" si="8"/>
        <v>138072</v>
      </c>
      <c r="F160" s="161">
        <f t="shared" si="9"/>
        <v>0.16076793024913022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994571</v>
      </c>
      <c r="D164" s="157">
        <v>1013283</v>
      </c>
      <c r="E164" s="157">
        <f t="shared" si="8"/>
        <v>18712</v>
      </c>
      <c r="F164" s="161">
        <f t="shared" si="9"/>
        <v>1.8814141976792004E-2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1434301</v>
      </c>
      <c r="D166" s="157">
        <v>1270014</v>
      </c>
      <c r="E166" s="157">
        <f t="shared" si="8"/>
        <v>-164287</v>
      </c>
      <c r="F166" s="161">
        <f t="shared" si="9"/>
        <v>-0.11454150837237093</v>
      </c>
    </row>
    <row r="167" spans="1:6" ht="15.75" customHeight="1" x14ac:dyDescent="0.25">
      <c r="A167" s="147"/>
      <c r="B167" s="165" t="s">
        <v>294</v>
      </c>
      <c r="C167" s="158">
        <f>SUM(C133:C166)</f>
        <v>28286775</v>
      </c>
      <c r="D167" s="158">
        <f>SUM(D133:D166)</f>
        <v>29116100</v>
      </c>
      <c r="E167" s="158">
        <f t="shared" si="8"/>
        <v>829325</v>
      </c>
      <c r="F167" s="159">
        <f t="shared" si="9"/>
        <v>2.9318471264398294E-2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4614927</v>
      </c>
      <c r="D170" s="157">
        <v>5694300</v>
      </c>
      <c r="E170" s="157">
        <f t="shared" ref="E170:E183" si="10">D170-C170</f>
        <v>1079373</v>
      </c>
      <c r="F170" s="161">
        <f t="shared" ref="F170:F183" si="11">IF(C170=0,0,E170/C170)</f>
        <v>0.23388733992975402</v>
      </c>
    </row>
    <row r="171" spans="1:6" ht="15" customHeight="1" x14ac:dyDescent="0.2">
      <c r="A171" s="147">
        <v>2</v>
      </c>
      <c r="B171" s="169" t="s">
        <v>297</v>
      </c>
      <c r="C171" s="157">
        <v>2288381</v>
      </c>
      <c r="D171" s="157">
        <v>2271006</v>
      </c>
      <c r="E171" s="157">
        <f t="shared" si="10"/>
        <v>-17375</v>
      </c>
      <c r="F171" s="161">
        <f t="shared" si="11"/>
        <v>-7.5927041869339063E-3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564606</v>
      </c>
      <c r="D179" s="157">
        <v>542263</v>
      </c>
      <c r="E179" s="157">
        <f t="shared" si="10"/>
        <v>-22343</v>
      </c>
      <c r="F179" s="161">
        <f t="shared" si="11"/>
        <v>-3.9572728593036559E-2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513188</v>
      </c>
      <c r="D182" s="157">
        <v>601301</v>
      </c>
      <c r="E182" s="157">
        <f t="shared" si="10"/>
        <v>88113</v>
      </c>
      <c r="F182" s="161">
        <f t="shared" si="11"/>
        <v>0.17169731170643118</v>
      </c>
    </row>
    <row r="183" spans="1:6" ht="15.75" customHeight="1" x14ac:dyDescent="0.25">
      <c r="A183" s="147"/>
      <c r="B183" s="165" t="s">
        <v>309</v>
      </c>
      <c r="C183" s="158">
        <f>SUM(C170:C182)</f>
        <v>7981102</v>
      </c>
      <c r="D183" s="158">
        <f>SUM(D170:D182)</f>
        <v>9108870</v>
      </c>
      <c r="E183" s="158">
        <f t="shared" si="10"/>
        <v>1127768</v>
      </c>
      <c r="F183" s="159">
        <f t="shared" si="11"/>
        <v>0.14130479725732112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71670098</v>
      </c>
      <c r="D188" s="158">
        <f>+D186+D183+D167+D130+D121</f>
        <v>72159655</v>
      </c>
      <c r="E188" s="158">
        <f>D188-C188</f>
        <v>489557</v>
      </c>
      <c r="F188" s="159">
        <f>IF(C188=0,0,E188/C188)</f>
        <v>6.8307008593737374E-3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FILING&amp;RROCKVILLE GENERAL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67847638</v>
      </c>
      <c r="D11" s="183">
        <v>68910644</v>
      </c>
      <c r="E11" s="76">
        <v>68528682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6871608</v>
      </c>
      <c r="D12" s="185">
        <v>6078316</v>
      </c>
      <c r="E12" s="185">
        <v>6391666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74719246</v>
      </c>
      <c r="D13" s="76">
        <f>+D11+D12</f>
        <v>74988960</v>
      </c>
      <c r="E13" s="76">
        <f>+E11+E12</f>
        <v>74920348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74038954</v>
      </c>
      <c r="D14" s="185">
        <v>71670098</v>
      </c>
      <c r="E14" s="185">
        <v>72159655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680292</v>
      </c>
      <c r="D15" s="76">
        <f>+D13-D14</f>
        <v>3318862</v>
      </c>
      <c r="E15" s="76">
        <f>+E13-E14</f>
        <v>2760693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-179961</v>
      </c>
      <c r="D16" s="185">
        <v>-660236</v>
      </c>
      <c r="E16" s="185">
        <v>-378564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500331</v>
      </c>
      <c r="D17" s="76">
        <f>D15+D16</f>
        <v>2658626</v>
      </c>
      <c r="E17" s="76">
        <f>E15+E16</f>
        <v>2382129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9.1266236320887706E-3</v>
      </c>
      <c r="D20" s="189">
        <f>IF(+D27=0,0,+D24/+D27)</f>
        <v>4.4651136483925109E-2</v>
      </c>
      <c r="E20" s="189">
        <f>IF(+E27=0,0,+E24/+E27)</f>
        <v>3.7035510177754805E-2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-2.4143107892703828E-3</v>
      </c>
      <c r="D21" s="189">
        <f>IF(D27=0,0,+D26/D27)</f>
        <v>-8.8826494586399726E-3</v>
      </c>
      <c r="E21" s="189">
        <f>IF(E27=0,0,+E26/E27)</f>
        <v>-5.0785476237059203E-3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6.7123128428183878E-3</v>
      </c>
      <c r="D22" s="189">
        <f>IF(D27=0,0,+D28/D27)</f>
        <v>3.5768487025285137E-2</v>
      </c>
      <c r="E22" s="189">
        <f>IF(E27=0,0,+E28/E27)</f>
        <v>3.1956962554048882E-2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680292</v>
      </c>
      <c r="D24" s="76">
        <f>+D15</f>
        <v>3318862</v>
      </c>
      <c r="E24" s="76">
        <f>+E15</f>
        <v>2760693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74719246</v>
      </c>
      <c r="D25" s="76">
        <f>+D13</f>
        <v>74988960</v>
      </c>
      <c r="E25" s="76">
        <f>+E13</f>
        <v>74920348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-179961</v>
      </c>
      <c r="D26" s="76">
        <f>+D16</f>
        <v>-660236</v>
      </c>
      <c r="E26" s="76">
        <f>+E16</f>
        <v>-378564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74539285</v>
      </c>
      <c r="D27" s="76">
        <f>+D25+D26</f>
        <v>74328724</v>
      </c>
      <c r="E27" s="76">
        <f>+E25+E26</f>
        <v>74541784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500331</v>
      </c>
      <c r="D28" s="76">
        <f>+D17</f>
        <v>2658626</v>
      </c>
      <c r="E28" s="76">
        <f>+E17</f>
        <v>2382129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17066097</v>
      </c>
      <c r="D31" s="76">
        <v>26773989</v>
      </c>
      <c r="E31" s="76">
        <v>24211838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21315011</v>
      </c>
      <c r="D32" s="76">
        <v>31052463</v>
      </c>
      <c r="E32" s="76">
        <v>28334302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-7702353</v>
      </c>
      <c r="D33" s="76">
        <f>+D32-C32</f>
        <v>9737452</v>
      </c>
      <c r="E33" s="76">
        <f>+E32-D32</f>
        <v>-2718161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0.73450000000000004</v>
      </c>
      <c r="D34" s="193">
        <f>IF(C32=0,0,+D33/C32)</f>
        <v>0.45683541988319876</v>
      </c>
      <c r="E34" s="193">
        <f>IF(D32=0,0,+E33/D32)</f>
        <v>-8.753447351342146E-2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0.37980204113753324</v>
      </c>
      <c r="D38" s="195">
        <f>IF((D40+D41)=0,0,+D39/(D40+D41))</f>
        <v>0.3133215685114204</v>
      </c>
      <c r="E38" s="195">
        <f>IF((E40+E41)=0,0,+E39/(E40+E41))</f>
        <v>0.30878136992588073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74038954</v>
      </c>
      <c r="D39" s="76">
        <v>71670098</v>
      </c>
      <c r="E39" s="196">
        <v>72159655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188069298</v>
      </c>
      <c r="D40" s="76">
        <v>222664628</v>
      </c>
      <c r="E40" s="196">
        <v>227300072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6871608</v>
      </c>
      <c r="D41" s="76">
        <v>6078316</v>
      </c>
      <c r="E41" s="196">
        <v>6391666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1.3668487643880496</v>
      </c>
      <c r="D43" s="197">
        <f>IF(D38=0,0,IF((D46-D47)=0,0,((+D44-D45)/(D46-D47)/D38)))</f>
        <v>1.4787409139183127</v>
      </c>
      <c r="E43" s="197">
        <f>IF(E38=0,0,IF((E46-E47)=0,0,((+E44-E45)/(E46-E47)/E38)))</f>
        <v>1.4800565940928627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33998505</v>
      </c>
      <c r="D44" s="76">
        <v>35414192</v>
      </c>
      <c r="E44" s="196">
        <v>37081867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257134</v>
      </c>
      <c r="D45" s="76">
        <v>177307</v>
      </c>
      <c r="E45" s="196">
        <v>247104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70753155</v>
      </c>
      <c r="D46" s="76">
        <v>81627015</v>
      </c>
      <c r="E46" s="196">
        <v>84821383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5757404</v>
      </c>
      <c r="D47" s="76">
        <v>5574229</v>
      </c>
      <c r="E47" s="76">
        <v>4222603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0.76185022561841642</v>
      </c>
      <c r="D49" s="198">
        <f>IF(D38=0,0,IF(D51=0,0,(D50/D51)/D38))</f>
        <v>0.82695748202529296</v>
      </c>
      <c r="E49" s="198">
        <f>IF(E38=0,0,IF(E51=0,0,(E50/E51)/E38))</f>
        <v>0.80757859787691044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24986318</v>
      </c>
      <c r="D50" s="199">
        <v>26977415</v>
      </c>
      <c r="E50" s="199">
        <v>24930464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86352590</v>
      </c>
      <c r="D51" s="199">
        <v>104118250</v>
      </c>
      <c r="E51" s="199">
        <v>99975704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0.51550392753860141</v>
      </c>
      <c r="D53" s="198">
        <f>IF(D38=0,0,IF(D55=0,0,(D54/D55)/D38))</f>
        <v>0.6539222924883562</v>
      </c>
      <c r="E53" s="198">
        <f>IF(E38=0,0,IF(E55=0,0,(E54/E55)/E38))</f>
        <v>0.58656213035281446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5921881</v>
      </c>
      <c r="D54" s="199">
        <v>7390717</v>
      </c>
      <c r="E54" s="199">
        <v>7446367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30246171</v>
      </c>
      <c r="D55" s="199">
        <v>36071993</v>
      </c>
      <c r="E55" s="199">
        <v>41113015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2089937.0715695452</v>
      </c>
      <c r="D57" s="88">
        <f>+D60*D38</f>
        <v>1691617.1952833571</v>
      </c>
      <c r="E57" s="88">
        <f>+E60*E38</f>
        <v>1231983.9380458971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2192753</v>
      </c>
      <c r="D58" s="199">
        <v>1271767</v>
      </c>
      <c r="E58" s="199">
        <v>1188543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3309948</v>
      </c>
      <c r="D59" s="199">
        <v>4127214</v>
      </c>
      <c r="E59" s="199">
        <v>2801283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5502701</v>
      </c>
      <c r="D60" s="76">
        <v>5398981</v>
      </c>
      <c r="E60" s="201">
        <v>3989826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2.8227533732709746E-2</v>
      </c>
      <c r="D62" s="202">
        <f>IF(D63=0,0,+D57/D63)</f>
        <v>2.3602830782837175E-2</v>
      </c>
      <c r="E62" s="202">
        <f>IF(E63=0,0,+E57/E63)</f>
        <v>1.7073029770526164E-2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74038954</v>
      </c>
      <c r="D63" s="199">
        <v>71670098</v>
      </c>
      <c r="E63" s="199">
        <v>72159655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1.1980512439745901</v>
      </c>
      <c r="D67" s="203">
        <f>IF(D69=0,0,D68/D69)</f>
        <v>1.3141824537748927</v>
      </c>
      <c r="E67" s="203">
        <f>IF(E69=0,0,E68/E69)</f>
        <v>1.588127546839212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16264552</v>
      </c>
      <c r="D68" s="204">
        <v>13879554</v>
      </c>
      <c r="E68" s="204">
        <v>14737641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13575840</v>
      </c>
      <c r="D69" s="204">
        <v>10561360</v>
      </c>
      <c r="E69" s="204">
        <v>9279885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7.6081190964125174</v>
      </c>
      <c r="D71" s="203">
        <f>IF((D77/365)=0,0,+D74/(D77/365))</f>
        <v>5.6771231133213629</v>
      </c>
      <c r="E71" s="203">
        <f>IF((E77/365)=0,0,+E74/(E77/365))</f>
        <v>9.3938270355827722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1463823</v>
      </c>
      <c r="D72" s="183">
        <v>1059290</v>
      </c>
      <c r="E72" s="183">
        <v>1772696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1463823</v>
      </c>
      <c r="D74" s="204">
        <f>+D72+D73</f>
        <v>1059290</v>
      </c>
      <c r="E74" s="204">
        <f>+E72+E73</f>
        <v>1772696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74038954</v>
      </c>
      <c r="D75" s="204">
        <f>+D14</f>
        <v>71670098</v>
      </c>
      <c r="E75" s="204">
        <f>+E14</f>
        <v>72159655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3811952</v>
      </c>
      <c r="D76" s="204">
        <v>3565031</v>
      </c>
      <c r="E76" s="204">
        <v>3281014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70227002</v>
      </c>
      <c r="D77" s="204">
        <f>+D75-D76</f>
        <v>68105067</v>
      </c>
      <c r="E77" s="204">
        <f>+E75-E76</f>
        <v>68878641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57.321934405439436</v>
      </c>
      <c r="D79" s="203">
        <f>IF((D84/365)=0,0,+D83/(D84/365))</f>
        <v>50.922855836320437</v>
      </c>
      <c r="E79" s="203">
        <f>IF((E84/365)=0,0,+E83/(E84/365))</f>
        <v>52.818838030476059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10959585</v>
      </c>
      <c r="D80" s="212">
        <v>10269970</v>
      </c>
      <c r="E80" s="212">
        <v>10900702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853555</v>
      </c>
      <c r="D81" s="212">
        <v>384274</v>
      </c>
      <c r="E81" s="212">
        <v>148435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1157913</v>
      </c>
      <c r="D82" s="212">
        <v>1040198</v>
      </c>
      <c r="E82" s="212">
        <v>1132410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10655227</v>
      </c>
      <c r="D83" s="212">
        <f>+D80+D81-D82</f>
        <v>9614046</v>
      </c>
      <c r="E83" s="212">
        <f>+E80+E81-E82</f>
        <v>9916727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67847638</v>
      </c>
      <c r="D84" s="204">
        <f>+D11</f>
        <v>68910644</v>
      </c>
      <c r="E84" s="204">
        <f>+E11</f>
        <v>68528682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70.559492202158935</v>
      </c>
      <c r="D86" s="203">
        <f>IF((D90/365)=0,0,+D87/(D90/365))</f>
        <v>56.602196720546509</v>
      </c>
      <c r="E86" s="203">
        <f>IF((E90/365)=0,0,+E87/(E90/365))</f>
        <v>49.175738310516316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13575840</v>
      </c>
      <c r="D87" s="76">
        <f>+D69</f>
        <v>10561360</v>
      </c>
      <c r="E87" s="76">
        <f>+E69</f>
        <v>9279885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74038954</v>
      </c>
      <c r="D88" s="76">
        <f t="shared" si="0"/>
        <v>71670098</v>
      </c>
      <c r="E88" s="76">
        <f t="shared" si="0"/>
        <v>72159655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3811952</v>
      </c>
      <c r="D89" s="201">
        <f t="shared" si="0"/>
        <v>3565031</v>
      </c>
      <c r="E89" s="201">
        <f t="shared" si="0"/>
        <v>3281014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70227002</v>
      </c>
      <c r="D90" s="76">
        <f>+D88-D89</f>
        <v>68105067</v>
      </c>
      <c r="E90" s="76">
        <f>+E88-E89</f>
        <v>68878641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26.687540323174865</v>
      </c>
      <c r="D94" s="214">
        <f>IF(D96=0,0,(D95/D96)*100)</f>
        <v>40.568198983030044</v>
      </c>
      <c r="E94" s="214">
        <f>IF(E96=0,0,(E95/E96)*100)</f>
        <v>37.886695331651801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21315011</v>
      </c>
      <c r="D95" s="76">
        <f>+D32</f>
        <v>31052463</v>
      </c>
      <c r="E95" s="76">
        <f>+E32</f>
        <v>28334302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79868773</v>
      </c>
      <c r="D96" s="76">
        <v>76543854</v>
      </c>
      <c r="E96" s="76">
        <v>74786945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11.357102005260796</v>
      </c>
      <c r="D98" s="214">
        <f>IF(D104=0,0,(D101/D104)*100)</f>
        <v>18.261575334294154</v>
      </c>
      <c r="E98" s="214">
        <f>IF(E104=0,0,(E101/E104)*100)</f>
        <v>17.333219719900651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500331</v>
      </c>
      <c r="D99" s="76">
        <f>+D28</f>
        <v>2658626</v>
      </c>
      <c r="E99" s="76">
        <f>+E28</f>
        <v>2382129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3811952</v>
      </c>
      <c r="D100" s="201">
        <f>+D76</f>
        <v>3565031</v>
      </c>
      <c r="E100" s="201">
        <f>+E76</f>
        <v>3281014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4312283</v>
      </c>
      <c r="D101" s="76">
        <f>+D99+D100</f>
        <v>6223657</v>
      </c>
      <c r="E101" s="76">
        <f>+E99+E100</f>
        <v>5663143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13575840</v>
      </c>
      <c r="D102" s="204">
        <f>+D69</f>
        <v>10561360</v>
      </c>
      <c r="E102" s="204">
        <f>+E69</f>
        <v>9279885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24394084</v>
      </c>
      <c r="D103" s="216">
        <v>23519254</v>
      </c>
      <c r="E103" s="216">
        <v>23392308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37969924</v>
      </c>
      <c r="D104" s="204">
        <f>+D102+D103</f>
        <v>34080614</v>
      </c>
      <c r="E104" s="204">
        <f>+E102+E103</f>
        <v>32672193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53.368118533084065</v>
      </c>
      <c r="D106" s="214">
        <f>IF(D109=0,0,(D107/D109)*100)</f>
        <v>43.097881637112501</v>
      </c>
      <c r="E106" s="214">
        <f>IF(E109=0,0,(E107/E109)*100)</f>
        <v>45.222967443642645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24394084</v>
      </c>
      <c r="D107" s="204">
        <f>+D103</f>
        <v>23519254</v>
      </c>
      <c r="E107" s="204">
        <f>+E103</f>
        <v>23392308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21315011</v>
      </c>
      <c r="D108" s="204">
        <f>+D32</f>
        <v>31052463</v>
      </c>
      <c r="E108" s="204">
        <f>+E32</f>
        <v>28334302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45709095</v>
      </c>
      <c r="D109" s="204">
        <f>+D107+D108</f>
        <v>54571717</v>
      </c>
      <c r="E109" s="204">
        <f>+E107+E108</f>
        <v>51726610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1.6568190552022752</v>
      </c>
      <c r="D111" s="214">
        <f>IF((+D113+D115)=0,0,((+D112+D113+D114)/(+D113+D115)))</f>
        <v>3.5257543585928954</v>
      </c>
      <c r="E111" s="214">
        <f>IF((+E113+E115)=0,0,((+E112+E113+E114)/(+E113+E115)))</f>
        <v>4.0601932626493085</v>
      </c>
    </row>
    <row r="112" spans="1:6" ht="24" customHeight="1" x14ac:dyDescent="0.2">
      <c r="A112" s="85">
        <v>16</v>
      </c>
      <c r="B112" s="75" t="s">
        <v>373</v>
      </c>
      <c r="C112" s="218">
        <f>+C17</f>
        <v>500331</v>
      </c>
      <c r="D112" s="76">
        <f>+D17</f>
        <v>2658626</v>
      </c>
      <c r="E112" s="76">
        <f>+E17</f>
        <v>2382129</v>
      </c>
    </row>
    <row r="113" spans="1:8" ht="24" customHeight="1" x14ac:dyDescent="0.2">
      <c r="A113" s="85">
        <v>17</v>
      </c>
      <c r="B113" s="75" t="s">
        <v>88</v>
      </c>
      <c r="C113" s="218">
        <v>719107</v>
      </c>
      <c r="D113" s="76">
        <v>682298</v>
      </c>
      <c r="E113" s="76">
        <v>689882</v>
      </c>
    </row>
    <row r="114" spans="1:8" ht="24" customHeight="1" x14ac:dyDescent="0.2">
      <c r="A114" s="85">
        <v>18</v>
      </c>
      <c r="B114" s="75" t="s">
        <v>374</v>
      </c>
      <c r="C114" s="218">
        <v>3811952</v>
      </c>
      <c r="D114" s="76">
        <v>3565031</v>
      </c>
      <c r="E114" s="76">
        <v>3281014</v>
      </c>
    </row>
    <row r="115" spans="1:8" ht="24" customHeight="1" x14ac:dyDescent="0.2">
      <c r="A115" s="85">
        <v>19</v>
      </c>
      <c r="B115" s="75" t="s">
        <v>104</v>
      </c>
      <c r="C115" s="218">
        <v>2317670</v>
      </c>
      <c r="D115" s="76">
        <v>1276419</v>
      </c>
      <c r="E115" s="76">
        <v>874828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16.565405335639063</v>
      </c>
      <c r="D119" s="214">
        <f>IF(+D121=0,0,(+D120)/(+D121))</f>
        <v>16.288979534820314</v>
      </c>
      <c r="E119" s="214">
        <f>IF(+E121=0,0,(+E120)/(+E121))</f>
        <v>18.701221939315101</v>
      </c>
    </row>
    <row r="120" spans="1:8" ht="24" customHeight="1" x14ac:dyDescent="0.2">
      <c r="A120" s="85">
        <v>21</v>
      </c>
      <c r="B120" s="75" t="s">
        <v>378</v>
      </c>
      <c r="C120" s="218">
        <v>63146530</v>
      </c>
      <c r="D120" s="218">
        <v>58070717</v>
      </c>
      <c r="E120" s="218">
        <v>61358971</v>
      </c>
    </row>
    <row r="121" spans="1:8" ht="24" customHeight="1" x14ac:dyDescent="0.2">
      <c r="A121" s="85">
        <v>22</v>
      </c>
      <c r="B121" s="75" t="s">
        <v>374</v>
      </c>
      <c r="C121" s="218">
        <v>3811952</v>
      </c>
      <c r="D121" s="218">
        <v>3565031</v>
      </c>
      <c r="E121" s="218">
        <v>3281014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13056</v>
      </c>
      <c r="D124" s="218">
        <v>12325</v>
      </c>
      <c r="E124" s="218">
        <v>11155</v>
      </c>
    </row>
    <row r="125" spans="1:8" ht="24" customHeight="1" x14ac:dyDescent="0.2">
      <c r="A125" s="85">
        <v>2</v>
      </c>
      <c r="B125" s="75" t="s">
        <v>381</v>
      </c>
      <c r="C125" s="218">
        <v>2519</v>
      </c>
      <c r="D125" s="218">
        <v>2567</v>
      </c>
      <c r="E125" s="218">
        <v>2341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5.1830091306073838</v>
      </c>
      <c r="D126" s="219">
        <f>IF(D125=0,0,D124/D125)</f>
        <v>4.8013245033112586</v>
      </c>
      <c r="E126" s="219">
        <f>IF(E125=0,0,E124/E125)</f>
        <v>4.7650576676633918</v>
      </c>
    </row>
    <row r="127" spans="1:8" ht="24" customHeight="1" x14ac:dyDescent="0.2">
      <c r="A127" s="85">
        <v>4</v>
      </c>
      <c r="B127" s="75" t="s">
        <v>383</v>
      </c>
      <c r="C127" s="218">
        <v>47</v>
      </c>
      <c r="D127" s="218">
        <v>47</v>
      </c>
      <c r="E127" s="218">
        <v>47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118</v>
      </c>
      <c r="E128" s="218">
        <v>118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118</v>
      </c>
      <c r="D129" s="218">
        <v>118</v>
      </c>
      <c r="E129" s="218">
        <v>118</v>
      </c>
    </row>
    <row r="130" spans="1:7" ht="24" customHeight="1" x14ac:dyDescent="0.2">
      <c r="A130" s="85">
        <v>7</v>
      </c>
      <c r="B130" s="75" t="s">
        <v>386</v>
      </c>
      <c r="C130" s="193">
        <v>0.76100000000000001</v>
      </c>
      <c r="D130" s="193">
        <v>0.71840000000000004</v>
      </c>
      <c r="E130" s="193">
        <v>0.6502</v>
      </c>
    </row>
    <row r="131" spans="1:7" ht="24" customHeight="1" x14ac:dyDescent="0.2">
      <c r="A131" s="85">
        <v>8</v>
      </c>
      <c r="B131" s="75" t="s">
        <v>387</v>
      </c>
      <c r="C131" s="193">
        <v>0.30309999999999998</v>
      </c>
      <c r="D131" s="193">
        <v>0.28610000000000002</v>
      </c>
      <c r="E131" s="193">
        <v>0.25890000000000002</v>
      </c>
    </row>
    <row r="132" spans="1:7" ht="24" customHeight="1" x14ac:dyDescent="0.2">
      <c r="A132" s="85">
        <v>9</v>
      </c>
      <c r="B132" s="75" t="s">
        <v>388</v>
      </c>
      <c r="C132" s="219">
        <v>376.6</v>
      </c>
      <c r="D132" s="219">
        <v>378.3</v>
      </c>
      <c r="E132" s="219">
        <v>422.7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0.34559469137806853</v>
      </c>
      <c r="D135" s="227">
        <f>IF(D149=0,0,D143/D149)</f>
        <v>0.34155755533833598</v>
      </c>
      <c r="E135" s="227">
        <f>IF(E149=0,0,E143/E149)</f>
        <v>0.35459196862902886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0.4591530404925529</v>
      </c>
      <c r="D136" s="227">
        <f>IF(D149=0,0,D144/D149)</f>
        <v>0.46760121234882446</v>
      </c>
      <c r="E136" s="227">
        <f>IF(E149=0,0,E144/E149)</f>
        <v>0.43984017743733933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0.16082460732107376</v>
      </c>
      <c r="D137" s="227">
        <f>IF(D149=0,0,D145/D149)</f>
        <v>0.16200145179772335</v>
      </c>
      <c r="E137" s="227">
        <f>IF(E149=0,0,E145/E149)</f>
        <v>0.18087550363820387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3.0613205138884499E-2</v>
      </c>
      <c r="D139" s="227">
        <f>IF(D149=0,0,D147/D149)</f>
        <v>2.5034191780115161E-2</v>
      </c>
      <c r="E139" s="227">
        <f>IF(E149=0,0,E147/E149)</f>
        <v>1.8577218048571494E-2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3.8144556694203217E-3</v>
      </c>
      <c r="D140" s="227">
        <f>IF(D149=0,0,D148/D149)</f>
        <v>3.8055887350010526E-3</v>
      </c>
      <c r="E140" s="227">
        <f>IF(E149=0,0,E148/E149)</f>
        <v>6.1151322468564811E-3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64995751</v>
      </c>
      <c r="D143" s="229">
        <f>+D46-D147</f>
        <v>76052786</v>
      </c>
      <c r="E143" s="229">
        <f>+E46-E147</f>
        <v>80598780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86352590</v>
      </c>
      <c r="D144" s="229">
        <f>+D51</f>
        <v>104118250</v>
      </c>
      <c r="E144" s="229">
        <f>+E51</f>
        <v>99975704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30246171</v>
      </c>
      <c r="D145" s="229">
        <f>+D55</f>
        <v>36071993</v>
      </c>
      <c r="E145" s="229">
        <f>+E55</f>
        <v>41113015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5757404</v>
      </c>
      <c r="D147" s="229">
        <f>+D47</f>
        <v>5574229</v>
      </c>
      <c r="E147" s="229">
        <f>+E47</f>
        <v>4222603</v>
      </c>
    </row>
    <row r="148" spans="1:7" ht="20.100000000000001" customHeight="1" x14ac:dyDescent="0.2">
      <c r="A148" s="226">
        <v>13</v>
      </c>
      <c r="B148" s="224" t="s">
        <v>402</v>
      </c>
      <c r="C148" s="230">
        <v>717382</v>
      </c>
      <c r="D148" s="229">
        <v>847370</v>
      </c>
      <c r="E148" s="229">
        <v>1389970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188069298</v>
      </c>
      <c r="D149" s="229">
        <f>SUM(D143:D148)</f>
        <v>222664628</v>
      </c>
      <c r="E149" s="229">
        <f>SUM(E143:E148)</f>
        <v>227300072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0.51639531353716783</v>
      </c>
      <c r="D152" s="227">
        <f>IF(D166=0,0,D160/D166)</f>
        <v>0.5031258887849851</v>
      </c>
      <c r="E152" s="227">
        <f>IF(E166=0,0,E160/E166)</f>
        <v>0.52807916108806141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0.38240347488397497</v>
      </c>
      <c r="D153" s="227">
        <f>IF(D166=0,0,D161/D166)</f>
        <v>0.38519397781604098</v>
      </c>
      <c r="E153" s="227">
        <f>IF(E166=0,0,E161/E166)</f>
        <v>0.35741396014021093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9.0631515705891064E-2</v>
      </c>
      <c r="D154" s="227">
        <f>IF(D166=0,0,D162/D166)</f>
        <v>0.10552751922831143</v>
      </c>
      <c r="E154" s="227">
        <f>IF(E166=0,0,E162/E166)</f>
        <v>0.1067543515486668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3.9353111215032167E-3</v>
      </c>
      <c r="D156" s="227">
        <f>IF(D166=0,0,D164/D166)</f>
        <v>2.5316580044688784E-3</v>
      </c>
      <c r="E156" s="227">
        <f>IF(E166=0,0,E164/E166)</f>
        <v>3.5425902705415622E-3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6.6343847514629432E-3</v>
      </c>
      <c r="D157" s="227">
        <f>IF(D166=0,0,D165/D166)</f>
        <v>3.6209561661936307E-3</v>
      </c>
      <c r="E157" s="227">
        <f>IF(E166=0,0,E165/E166)</f>
        <v>4.2099369525193499E-3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1.0000000000000002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33741371</v>
      </c>
      <c r="D160" s="229">
        <f>+D44-D164</f>
        <v>35236885</v>
      </c>
      <c r="E160" s="229">
        <f>+E44-E164</f>
        <v>36834763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24986318</v>
      </c>
      <c r="D161" s="229">
        <f>+D50</f>
        <v>26977415</v>
      </c>
      <c r="E161" s="229">
        <f>+E50</f>
        <v>24930464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5921881</v>
      </c>
      <c r="D162" s="229">
        <f>+D54</f>
        <v>7390717</v>
      </c>
      <c r="E162" s="229">
        <f>+E54</f>
        <v>7446367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257134</v>
      </c>
      <c r="D164" s="229">
        <f>+D45</f>
        <v>177307</v>
      </c>
      <c r="E164" s="229">
        <f>+E45</f>
        <v>247104</v>
      </c>
    </row>
    <row r="165" spans="1:6" ht="20.100000000000001" customHeight="1" x14ac:dyDescent="0.2">
      <c r="A165" s="226">
        <v>13</v>
      </c>
      <c r="B165" s="224" t="s">
        <v>417</v>
      </c>
      <c r="C165" s="230">
        <v>433492</v>
      </c>
      <c r="D165" s="229">
        <v>253597</v>
      </c>
      <c r="E165" s="229">
        <v>293653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65340196</v>
      </c>
      <c r="D166" s="229">
        <f>SUM(D160:D165)</f>
        <v>70035921</v>
      </c>
      <c r="E166" s="229">
        <f>SUM(E160:E165)</f>
        <v>69752351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594</v>
      </c>
      <c r="D169" s="218">
        <v>561</v>
      </c>
      <c r="E169" s="218">
        <v>489</v>
      </c>
    </row>
    <row r="170" spans="1:6" ht="20.100000000000001" customHeight="1" x14ac:dyDescent="0.2">
      <c r="A170" s="226">
        <v>2</v>
      </c>
      <c r="B170" s="224" t="s">
        <v>420</v>
      </c>
      <c r="C170" s="218">
        <v>1655</v>
      </c>
      <c r="D170" s="218">
        <v>1707</v>
      </c>
      <c r="E170" s="218">
        <v>1524</v>
      </c>
    </row>
    <row r="171" spans="1:6" ht="20.100000000000001" customHeight="1" x14ac:dyDescent="0.2">
      <c r="A171" s="226">
        <v>3</v>
      </c>
      <c r="B171" s="224" t="s">
        <v>421</v>
      </c>
      <c r="C171" s="218">
        <v>266</v>
      </c>
      <c r="D171" s="218">
        <v>292</v>
      </c>
      <c r="E171" s="218">
        <v>317</v>
      </c>
    </row>
    <row r="172" spans="1:6" ht="20.100000000000001" customHeight="1" x14ac:dyDescent="0.2">
      <c r="A172" s="226">
        <v>4</v>
      </c>
      <c r="B172" s="224" t="s">
        <v>422</v>
      </c>
      <c r="C172" s="218">
        <v>266</v>
      </c>
      <c r="D172" s="218">
        <v>292</v>
      </c>
      <c r="E172" s="218">
        <v>317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</v>
      </c>
      <c r="D174" s="218">
        <v>7</v>
      </c>
      <c r="E174" s="218">
        <v>11</v>
      </c>
    </row>
    <row r="175" spans="1:6" ht="20.100000000000001" customHeight="1" x14ac:dyDescent="0.2">
      <c r="A175" s="226">
        <v>7</v>
      </c>
      <c r="B175" s="224" t="s">
        <v>425</v>
      </c>
      <c r="C175" s="218">
        <v>58</v>
      </c>
      <c r="D175" s="218">
        <v>48</v>
      </c>
      <c r="E175" s="218">
        <v>26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2519</v>
      </c>
      <c r="D176" s="218">
        <f>+D169+D170+D171+D174</f>
        <v>2567</v>
      </c>
      <c r="E176" s="218">
        <f>+E169+E170+E171+E174</f>
        <v>2341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1.6539200000000001</v>
      </c>
      <c r="D179" s="231">
        <v>1.67222</v>
      </c>
      <c r="E179" s="231">
        <v>1.61446</v>
      </c>
    </row>
    <row r="180" spans="1:6" ht="20.100000000000001" customHeight="1" x14ac:dyDescent="0.2">
      <c r="A180" s="226">
        <v>2</v>
      </c>
      <c r="B180" s="224" t="s">
        <v>420</v>
      </c>
      <c r="C180" s="231">
        <v>1.49234</v>
      </c>
      <c r="D180" s="231">
        <v>1.5663100000000001</v>
      </c>
      <c r="E180" s="231">
        <v>1.5733299999999999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1.18327</v>
      </c>
      <c r="D181" s="231">
        <v>1.42516</v>
      </c>
      <c r="E181" s="231">
        <v>1.3605</v>
      </c>
    </row>
    <row r="182" spans="1:6" ht="20.100000000000001" customHeight="1" x14ac:dyDescent="0.2">
      <c r="A182" s="226">
        <v>4</v>
      </c>
      <c r="B182" s="224" t="s">
        <v>422</v>
      </c>
      <c r="C182" s="231">
        <v>1.18327</v>
      </c>
      <c r="D182" s="231">
        <v>1.42516</v>
      </c>
      <c r="E182" s="231">
        <v>1.3605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1.29484</v>
      </c>
      <c r="D184" s="231">
        <v>1.70347</v>
      </c>
      <c r="E184" s="231">
        <v>1.3385899999999999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1.12859</v>
      </c>
      <c r="D185" s="231">
        <v>1.1844399999999999</v>
      </c>
      <c r="E185" s="231">
        <v>1.0972500000000001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1.4974909999999999</v>
      </c>
      <c r="D186" s="231">
        <v>1.5737730000000001</v>
      </c>
      <c r="E186" s="231">
        <v>1.551998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2144</v>
      </c>
      <c r="D189" s="218">
        <v>2465</v>
      </c>
      <c r="E189" s="218">
        <v>2089</v>
      </c>
    </row>
    <row r="190" spans="1:6" ht="20.100000000000001" customHeight="1" x14ac:dyDescent="0.2">
      <c r="A190" s="226">
        <v>2</v>
      </c>
      <c r="B190" s="224" t="s">
        <v>433</v>
      </c>
      <c r="C190" s="218">
        <v>24278</v>
      </c>
      <c r="D190" s="218">
        <v>22671</v>
      </c>
      <c r="E190" s="218">
        <v>19262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26422</v>
      </c>
      <c r="D191" s="218">
        <f>+D190+D189</f>
        <v>25136</v>
      </c>
      <c r="E191" s="218">
        <f>+E190+E189</f>
        <v>21351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FILING&amp;RROCKVILLE GENERAL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312176</v>
      </c>
      <c r="D14" s="258">
        <v>112649</v>
      </c>
      <c r="E14" s="258">
        <f t="shared" ref="E14:E24" si="0">D14-C14</f>
        <v>-199527</v>
      </c>
      <c r="F14" s="259">
        <f t="shared" ref="F14:F24" si="1">IF(C14=0,0,E14/C14)</f>
        <v>-0.63914906975552255</v>
      </c>
    </row>
    <row r="15" spans="1:7" ht="20.25" customHeight="1" x14ac:dyDescent="0.3">
      <c r="A15" s="256">
        <v>2</v>
      </c>
      <c r="B15" s="257" t="s">
        <v>442</v>
      </c>
      <c r="C15" s="258">
        <v>124850</v>
      </c>
      <c r="D15" s="258">
        <v>27268</v>
      </c>
      <c r="E15" s="258">
        <f t="shared" si="0"/>
        <v>-97582</v>
      </c>
      <c r="F15" s="259">
        <f t="shared" si="1"/>
        <v>-0.78159391269523426</v>
      </c>
    </row>
    <row r="16" spans="1:7" ht="20.25" customHeight="1" x14ac:dyDescent="0.3">
      <c r="A16" s="256">
        <v>3</v>
      </c>
      <c r="B16" s="257" t="s">
        <v>443</v>
      </c>
      <c r="C16" s="258">
        <v>521517</v>
      </c>
      <c r="D16" s="258">
        <v>229904</v>
      </c>
      <c r="E16" s="258">
        <f t="shared" si="0"/>
        <v>-291613</v>
      </c>
      <c r="F16" s="259">
        <f t="shared" si="1"/>
        <v>-0.5591629803055318</v>
      </c>
    </row>
    <row r="17" spans="1:6" ht="20.25" customHeight="1" x14ac:dyDescent="0.3">
      <c r="A17" s="256">
        <v>4</v>
      </c>
      <c r="B17" s="257" t="s">
        <v>444</v>
      </c>
      <c r="C17" s="258">
        <v>171175</v>
      </c>
      <c r="D17" s="258">
        <v>57511</v>
      </c>
      <c r="E17" s="258">
        <f t="shared" si="0"/>
        <v>-113664</v>
      </c>
      <c r="F17" s="259">
        <f t="shared" si="1"/>
        <v>-0.66402219950343211</v>
      </c>
    </row>
    <row r="18" spans="1:6" ht="20.25" customHeight="1" x14ac:dyDescent="0.3">
      <c r="A18" s="256">
        <v>5</v>
      </c>
      <c r="B18" s="257" t="s">
        <v>381</v>
      </c>
      <c r="C18" s="260">
        <v>12</v>
      </c>
      <c r="D18" s="260">
        <v>3</v>
      </c>
      <c r="E18" s="260">
        <f t="shared" si="0"/>
        <v>-9</v>
      </c>
      <c r="F18" s="259">
        <f t="shared" si="1"/>
        <v>-0.75</v>
      </c>
    </row>
    <row r="19" spans="1:6" ht="20.25" customHeight="1" x14ac:dyDescent="0.3">
      <c r="A19" s="256">
        <v>6</v>
      </c>
      <c r="B19" s="257" t="s">
        <v>380</v>
      </c>
      <c r="C19" s="260">
        <v>58</v>
      </c>
      <c r="D19" s="260">
        <v>19</v>
      </c>
      <c r="E19" s="260">
        <f t="shared" si="0"/>
        <v>-39</v>
      </c>
      <c r="F19" s="259">
        <f t="shared" si="1"/>
        <v>-0.67241379310344829</v>
      </c>
    </row>
    <row r="20" spans="1:6" ht="20.25" customHeight="1" x14ac:dyDescent="0.3">
      <c r="A20" s="256">
        <v>7</v>
      </c>
      <c r="B20" s="257" t="s">
        <v>445</v>
      </c>
      <c r="C20" s="260">
        <v>379</v>
      </c>
      <c r="D20" s="260">
        <v>191</v>
      </c>
      <c r="E20" s="260">
        <f t="shared" si="0"/>
        <v>-188</v>
      </c>
      <c r="F20" s="259">
        <f t="shared" si="1"/>
        <v>-0.49604221635883905</v>
      </c>
    </row>
    <row r="21" spans="1:6" ht="20.25" customHeight="1" x14ac:dyDescent="0.3">
      <c r="A21" s="256">
        <v>8</v>
      </c>
      <c r="B21" s="257" t="s">
        <v>446</v>
      </c>
      <c r="C21" s="260">
        <v>57</v>
      </c>
      <c r="D21" s="260">
        <v>19</v>
      </c>
      <c r="E21" s="260">
        <f t="shared" si="0"/>
        <v>-38</v>
      </c>
      <c r="F21" s="259">
        <f t="shared" si="1"/>
        <v>-0.66666666666666663</v>
      </c>
    </row>
    <row r="22" spans="1:6" ht="20.25" customHeight="1" x14ac:dyDescent="0.3">
      <c r="A22" s="256">
        <v>9</v>
      </c>
      <c r="B22" s="257" t="s">
        <v>447</v>
      </c>
      <c r="C22" s="260">
        <v>12</v>
      </c>
      <c r="D22" s="260">
        <v>3</v>
      </c>
      <c r="E22" s="260">
        <f t="shared" si="0"/>
        <v>-9</v>
      </c>
      <c r="F22" s="259">
        <f t="shared" si="1"/>
        <v>-0.75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833693</v>
      </c>
      <c r="D23" s="263">
        <f>+D14+D16</f>
        <v>342553</v>
      </c>
      <c r="E23" s="263">
        <f t="shared" si="0"/>
        <v>-491140</v>
      </c>
      <c r="F23" s="264">
        <f t="shared" si="1"/>
        <v>-0.5891137385104589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296025</v>
      </c>
      <c r="D24" s="263">
        <f>+D15+D17</f>
        <v>84779</v>
      </c>
      <c r="E24" s="263">
        <f t="shared" si="0"/>
        <v>-211246</v>
      </c>
      <c r="F24" s="264">
        <f t="shared" si="1"/>
        <v>-0.71360864791825018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5883834</v>
      </c>
      <c r="D40" s="258">
        <v>7555638</v>
      </c>
      <c r="E40" s="258">
        <f t="shared" ref="E40:E50" si="4">D40-C40</f>
        <v>1671804</v>
      </c>
      <c r="F40" s="259">
        <f t="shared" ref="F40:F50" si="5">IF(C40=0,0,E40/C40)</f>
        <v>0.28413514045433641</v>
      </c>
    </row>
    <row r="41" spans="1:6" ht="20.25" customHeight="1" x14ac:dyDescent="0.3">
      <c r="A41" s="256">
        <v>2</v>
      </c>
      <c r="B41" s="257" t="s">
        <v>442</v>
      </c>
      <c r="C41" s="258">
        <v>1634381</v>
      </c>
      <c r="D41" s="258">
        <v>2133894</v>
      </c>
      <c r="E41" s="258">
        <f t="shared" si="4"/>
        <v>499513</v>
      </c>
      <c r="F41" s="259">
        <f t="shared" si="5"/>
        <v>0.30562824702440861</v>
      </c>
    </row>
    <row r="42" spans="1:6" ht="20.25" customHeight="1" x14ac:dyDescent="0.3">
      <c r="A42" s="256">
        <v>3</v>
      </c>
      <c r="B42" s="257" t="s">
        <v>443</v>
      </c>
      <c r="C42" s="258">
        <v>6509991</v>
      </c>
      <c r="D42" s="258">
        <v>7006405</v>
      </c>
      <c r="E42" s="258">
        <f t="shared" si="4"/>
        <v>496414</v>
      </c>
      <c r="F42" s="259">
        <f t="shared" si="5"/>
        <v>7.6254176081042208E-2</v>
      </c>
    </row>
    <row r="43" spans="1:6" ht="20.25" customHeight="1" x14ac:dyDescent="0.3">
      <c r="A43" s="256">
        <v>4</v>
      </c>
      <c r="B43" s="257" t="s">
        <v>444</v>
      </c>
      <c r="C43" s="258">
        <v>1375607</v>
      </c>
      <c r="D43" s="258">
        <v>1397369</v>
      </c>
      <c r="E43" s="258">
        <f t="shared" si="4"/>
        <v>21762</v>
      </c>
      <c r="F43" s="259">
        <f t="shared" si="5"/>
        <v>1.5819925312970929E-2</v>
      </c>
    </row>
    <row r="44" spans="1:6" ht="20.25" customHeight="1" x14ac:dyDescent="0.3">
      <c r="A44" s="256">
        <v>5</v>
      </c>
      <c r="B44" s="257" t="s">
        <v>381</v>
      </c>
      <c r="C44" s="260">
        <v>196</v>
      </c>
      <c r="D44" s="260">
        <v>207</v>
      </c>
      <c r="E44" s="260">
        <f t="shared" si="4"/>
        <v>11</v>
      </c>
      <c r="F44" s="259">
        <f t="shared" si="5"/>
        <v>5.6122448979591837E-2</v>
      </c>
    </row>
    <row r="45" spans="1:6" ht="20.25" customHeight="1" x14ac:dyDescent="0.3">
      <c r="A45" s="256">
        <v>6</v>
      </c>
      <c r="B45" s="257" t="s">
        <v>380</v>
      </c>
      <c r="C45" s="260">
        <v>925</v>
      </c>
      <c r="D45" s="260">
        <v>1201</v>
      </c>
      <c r="E45" s="260">
        <f t="shared" si="4"/>
        <v>276</v>
      </c>
      <c r="F45" s="259">
        <f t="shared" si="5"/>
        <v>0.29837837837837838</v>
      </c>
    </row>
    <row r="46" spans="1:6" ht="20.25" customHeight="1" x14ac:dyDescent="0.3">
      <c r="A46" s="256">
        <v>7</v>
      </c>
      <c r="B46" s="257" t="s">
        <v>445</v>
      </c>
      <c r="C46" s="260">
        <v>4358</v>
      </c>
      <c r="D46" s="260">
        <v>4761</v>
      </c>
      <c r="E46" s="260">
        <f t="shared" si="4"/>
        <v>403</v>
      </c>
      <c r="F46" s="259">
        <f t="shared" si="5"/>
        <v>9.2473611748508489E-2</v>
      </c>
    </row>
    <row r="47" spans="1:6" ht="20.25" customHeight="1" x14ac:dyDescent="0.3">
      <c r="A47" s="256">
        <v>8</v>
      </c>
      <c r="B47" s="257" t="s">
        <v>446</v>
      </c>
      <c r="C47" s="260">
        <v>433</v>
      </c>
      <c r="D47" s="260">
        <v>394</v>
      </c>
      <c r="E47" s="260">
        <f t="shared" si="4"/>
        <v>-39</v>
      </c>
      <c r="F47" s="259">
        <f t="shared" si="5"/>
        <v>-9.0069284064665134E-2</v>
      </c>
    </row>
    <row r="48" spans="1:6" ht="20.25" customHeight="1" x14ac:dyDescent="0.3">
      <c r="A48" s="256">
        <v>9</v>
      </c>
      <c r="B48" s="257" t="s">
        <v>447</v>
      </c>
      <c r="C48" s="260">
        <v>171</v>
      </c>
      <c r="D48" s="260">
        <v>200</v>
      </c>
      <c r="E48" s="260">
        <f t="shared" si="4"/>
        <v>29</v>
      </c>
      <c r="F48" s="259">
        <f t="shared" si="5"/>
        <v>0.16959064327485379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12393825</v>
      </c>
      <c r="D49" s="263">
        <f>+D40+D42</f>
        <v>14562043</v>
      </c>
      <c r="E49" s="263">
        <f t="shared" si="4"/>
        <v>2168218</v>
      </c>
      <c r="F49" s="264">
        <f t="shared" si="5"/>
        <v>0.17494340931875349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3009988</v>
      </c>
      <c r="D50" s="263">
        <f>+D41+D43</f>
        <v>3531263</v>
      </c>
      <c r="E50" s="263">
        <f t="shared" si="4"/>
        <v>521275</v>
      </c>
      <c r="F50" s="264">
        <f t="shared" si="5"/>
        <v>0.17318175354851914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198752</v>
      </c>
      <c r="E66" s="258">
        <f t="shared" ref="E66:E76" si="8">D66-C66</f>
        <v>198752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86720</v>
      </c>
      <c r="E67" s="258">
        <f t="shared" si="8"/>
        <v>86720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75378</v>
      </c>
      <c r="D68" s="258">
        <v>39281</v>
      </c>
      <c r="E68" s="258">
        <f t="shared" si="8"/>
        <v>-36097</v>
      </c>
      <c r="F68" s="259">
        <f t="shared" si="9"/>
        <v>-0.47887977924593383</v>
      </c>
    </row>
    <row r="69" spans="1:6" ht="20.25" customHeight="1" x14ac:dyDescent="0.3">
      <c r="A69" s="256">
        <v>4</v>
      </c>
      <c r="B69" s="257" t="s">
        <v>444</v>
      </c>
      <c r="C69" s="258">
        <v>18451</v>
      </c>
      <c r="D69" s="258">
        <v>5679</v>
      </c>
      <c r="E69" s="258">
        <f t="shared" si="8"/>
        <v>-12772</v>
      </c>
      <c r="F69" s="259">
        <f t="shared" si="9"/>
        <v>-0.69221180423825268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5</v>
      </c>
      <c r="E70" s="260">
        <f t="shared" si="8"/>
        <v>5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23</v>
      </c>
      <c r="E71" s="260">
        <f t="shared" si="8"/>
        <v>23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26</v>
      </c>
      <c r="D72" s="260">
        <v>49</v>
      </c>
      <c r="E72" s="260">
        <f t="shared" si="8"/>
        <v>23</v>
      </c>
      <c r="F72" s="259">
        <f t="shared" si="9"/>
        <v>0.88461538461538458</v>
      </c>
    </row>
    <row r="73" spans="1:6" ht="20.25" customHeight="1" x14ac:dyDescent="0.3">
      <c r="A73" s="256">
        <v>8</v>
      </c>
      <c r="B73" s="257" t="s">
        <v>446</v>
      </c>
      <c r="C73" s="260">
        <v>22</v>
      </c>
      <c r="D73" s="260">
        <v>15</v>
      </c>
      <c r="E73" s="260">
        <f t="shared" si="8"/>
        <v>-7</v>
      </c>
      <c r="F73" s="259">
        <f t="shared" si="9"/>
        <v>-0.31818181818181818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4</v>
      </c>
      <c r="E74" s="260">
        <f t="shared" si="8"/>
        <v>4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75378</v>
      </c>
      <c r="D75" s="263">
        <f>+D66+D68</f>
        <v>238033</v>
      </c>
      <c r="E75" s="263">
        <f t="shared" si="8"/>
        <v>162655</v>
      </c>
      <c r="F75" s="264">
        <f t="shared" si="9"/>
        <v>2.1578577303722573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18451</v>
      </c>
      <c r="D76" s="263">
        <f>+D67+D69</f>
        <v>92399</v>
      </c>
      <c r="E76" s="263">
        <f t="shared" si="8"/>
        <v>73948</v>
      </c>
      <c r="F76" s="264">
        <f t="shared" si="9"/>
        <v>4.0078044550430869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3157578</v>
      </c>
      <c r="D92" s="258">
        <v>5010031</v>
      </c>
      <c r="E92" s="258">
        <f t="shared" ref="E92:E102" si="12">D92-C92</f>
        <v>1852453</v>
      </c>
      <c r="F92" s="259">
        <f t="shared" ref="F92:F102" si="13">IF(C92=0,0,E92/C92)</f>
        <v>0.58666895956331089</v>
      </c>
    </row>
    <row r="93" spans="1:6" ht="20.25" customHeight="1" x14ac:dyDescent="0.3">
      <c r="A93" s="256">
        <v>2</v>
      </c>
      <c r="B93" s="257" t="s">
        <v>442</v>
      </c>
      <c r="C93" s="258">
        <v>1020337</v>
      </c>
      <c r="D93" s="258">
        <v>1472897</v>
      </c>
      <c r="E93" s="258">
        <f t="shared" si="12"/>
        <v>452560</v>
      </c>
      <c r="F93" s="259">
        <f t="shared" si="13"/>
        <v>0.4435397324609418</v>
      </c>
    </row>
    <row r="94" spans="1:6" ht="20.25" customHeight="1" x14ac:dyDescent="0.3">
      <c r="A94" s="256">
        <v>3</v>
      </c>
      <c r="B94" s="257" t="s">
        <v>443</v>
      </c>
      <c r="C94" s="258">
        <v>3280891</v>
      </c>
      <c r="D94" s="258">
        <v>3369925</v>
      </c>
      <c r="E94" s="258">
        <f t="shared" si="12"/>
        <v>89034</v>
      </c>
      <c r="F94" s="259">
        <f t="shared" si="13"/>
        <v>2.7137140490190011E-2</v>
      </c>
    </row>
    <row r="95" spans="1:6" ht="20.25" customHeight="1" x14ac:dyDescent="0.3">
      <c r="A95" s="256">
        <v>4</v>
      </c>
      <c r="B95" s="257" t="s">
        <v>444</v>
      </c>
      <c r="C95" s="258">
        <v>622616</v>
      </c>
      <c r="D95" s="258">
        <v>663507</v>
      </c>
      <c r="E95" s="258">
        <f t="shared" si="12"/>
        <v>40891</v>
      </c>
      <c r="F95" s="259">
        <f t="shared" si="13"/>
        <v>6.5676114972952837E-2</v>
      </c>
    </row>
    <row r="96" spans="1:6" ht="20.25" customHeight="1" x14ac:dyDescent="0.3">
      <c r="A96" s="256">
        <v>5</v>
      </c>
      <c r="B96" s="257" t="s">
        <v>381</v>
      </c>
      <c r="C96" s="260">
        <v>98</v>
      </c>
      <c r="D96" s="260">
        <v>127</v>
      </c>
      <c r="E96" s="260">
        <f t="shared" si="12"/>
        <v>29</v>
      </c>
      <c r="F96" s="259">
        <f t="shared" si="13"/>
        <v>0.29591836734693877</v>
      </c>
    </row>
    <row r="97" spans="1:6" ht="20.25" customHeight="1" x14ac:dyDescent="0.3">
      <c r="A97" s="256">
        <v>6</v>
      </c>
      <c r="B97" s="257" t="s">
        <v>380</v>
      </c>
      <c r="C97" s="260">
        <v>467</v>
      </c>
      <c r="D97" s="260">
        <v>723</v>
      </c>
      <c r="E97" s="260">
        <f t="shared" si="12"/>
        <v>256</v>
      </c>
      <c r="F97" s="259">
        <f t="shared" si="13"/>
        <v>0.54817987152034264</v>
      </c>
    </row>
    <row r="98" spans="1:6" ht="20.25" customHeight="1" x14ac:dyDescent="0.3">
      <c r="A98" s="256">
        <v>7</v>
      </c>
      <c r="B98" s="257" t="s">
        <v>445</v>
      </c>
      <c r="C98" s="260">
        <v>1835</v>
      </c>
      <c r="D98" s="260">
        <v>1891</v>
      </c>
      <c r="E98" s="260">
        <f t="shared" si="12"/>
        <v>56</v>
      </c>
      <c r="F98" s="259">
        <f t="shared" si="13"/>
        <v>3.0517711171662125E-2</v>
      </c>
    </row>
    <row r="99" spans="1:6" ht="20.25" customHeight="1" x14ac:dyDescent="0.3">
      <c r="A99" s="256">
        <v>8</v>
      </c>
      <c r="B99" s="257" t="s">
        <v>446</v>
      </c>
      <c r="C99" s="260">
        <v>290</v>
      </c>
      <c r="D99" s="260">
        <v>235</v>
      </c>
      <c r="E99" s="260">
        <f t="shared" si="12"/>
        <v>-55</v>
      </c>
      <c r="F99" s="259">
        <f t="shared" si="13"/>
        <v>-0.18965517241379309</v>
      </c>
    </row>
    <row r="100" spans="1:6" ht="20.25" customHeight="1" x14ac:dyDescent="0.3">
      <c r="A100" s="256">
        <v>9</v>
      </c>
      <c r="B100" s="257" t="s">
        <v>447</v>
      </c>
      <c r="C100" s="260">
        <v>88</v>
      </c>
      <c r="D100" s="260">
        <v>118</v>
      </c>
      <c r="E100" s="260">
        <f t="shared" si="12"/>
        <v>30</v>
      </c>
      <c r="F100" s="259">
        <f t="shared" si="13"/>
        <v>0.34090909090909088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6438469</v>
      </c>
      <c r="D101" s="263">
        <f>+D92+D94</f>
        <v>8379956</v>
      </c>
      <c r="E101" s="263">
        <f t="shared" si="12"/>
        <v>1941487</v>
      </c>
      <c r="F101" s="264">
        <f t="shared" si="13"/>
        <v>0.30154482377720543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1642953</v>
      </c>
      <c r="D102" s="263">
        <f>+D93+D95</f>
        <v>2136404</v>
      </c>
      <c r="E102" s="263">
        <f t="shared" si="12"/>
        <v>493451</v>
      </c>
      <c r="F102" s="264">
        <f t="shared" si="13"/>
        <v>0.30034395384408441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564061</v>
      </c>
      <c r="D105" s="258">
        <v>673775</v>
      </c>
      <c r="E105" s="258">
        <f t="shared" ref="E105:E115" si="14">D105-C105</f>
        <v>109714</v>
      </c>
      <c r="F105" s="259">
        <f t="shared" ref="F105:F115" si="15">IF(C105=0,0,E105/C105)</f>
        <v>0.19450733165384596</v>
      </c>
    </row>
    <row r="106" spans="1:6" ht="20.25" customHeight="1" x14ac:dyDescent="0.3">
      <c r="A106" s="256">
        <v>2</v>
      </c>
      <c r="B106" s="257" t="s">
        <v>442</v>
      </c>
      <c r="C106" s="258">
        <v>162084</v>
      </c>
      <c r="D106" s="258">
        <v>154222</v>
      </c>
      <c r="E106" s="258">
        <f t="shared" si="14"/>
        <v>-7862</v>
      </c>
      <c r="F106" s="259">
        <f t="shared" si="15"/>
        <v>-4.850571308704129E-2</v>
      </c>
    </row>
    <row r="107" spans="1:6" ht="20.25" customHeight="1" x14ac:dyDescent="0.3">
      <c r="A107" s="256">
        <v>3</v>
      </c>
      <c r="B107" s="257" t="s">
        <v>443</v>
      </c>
      <c r="C107" s="258">
        <v>866281</v>
      </c>
      <c r="D107" s="258">
        <v>1080739</v>
      </c>
      <c r="E107" s="258">
        <f t="shared" si="14"/>
        <v>214458</v>
      </c>
      <c r="F107" s="259">
        <f t="shared" si="15"/>
        <v>0.24756170341956016</v>
      </c>
    </row>
    <row r="108" spans="1:6" ht="20.25" customHeight="1" x14ac:dyDescent="0.3">
      <c r="A108" s="256">
        <v>4</v>
      </c>
      <c r="B108" s="257" t="s">
        <v>444</v>
      </c>
      <c r="C108" s="258">
        <v>197573</v>
      </c>
      <c r="D108" s="258">
        <v>184874</v>
      </c>
      <c r="E108" s="258">
        <f t="shared" si="14"/>
        <v>-12699</v>
      </c>
      <c r="F108" s="259">
        <f t="shared" si="15"/>
        <v>-6.4274976844001963E-2</v>
      </c>
    </row>
    <row r="109" spans="1:6" ht="20.25" customHeight="1" x14ac:dyDescent="0.3">
      <c r="A109" s="256">
        <v>5</v>
      </c>
      <c r="B109" s="257" t="s">
        <v>381</v>
      </c>
      <c r="C109" s="260">
        <v>19</v>
      </c>
      <c r="D109" s="260">
        <v>25</v>
      </c>
      <c r="E109" s="260">
        <f t="shared" si="14"/>
        <v>6</v>
      </c>
      <c r="F109" s="259">
        <f t="shared" si="15"/>
        <v>0.31578947368421051</v>
      </c>
    </row>
    <row r="110" spans="1:6" ht="20.25" customHeight="1" x14ac:dyDescent="0.3">
      <c r="A110" s="256">
        <v>6</v>
      </c>
      <c r="B110" s="257" t="s">
        <v>380</v>
      </c>
      <c r="C110" s="260">
        <v>110</v>
      </c>
      <c r="D110" s="260">
        <v>86</v>
      </c>
      <c r="E110" s="260">
        <f t="shared" si="14"/>
        <v>-24</v>
      </c>
      <c r="F110" s="259">
        <f t="shared" si="15"/>
        <v>-0.21818181818181817</v>
      </c>
    </row>
    <row r="111" spans="1:6" ht="20.25" customHeight="1" x14ac:dyDescent="0.3">
      <c r="A111" s="256">
        <v>7</v>
      </c>
      <c r="B111" s="257" t="s">
        <v>445</v>
      </c>
      <c r="C111" s="260">
        <v>422</v>
      </c>
      <c r="D111" s="260">
        <v>566</v>
      </c>
      <c r="E111" s="260">
        <f t="shared" si="14"/>
        <v>144</v>
      </c>
      <c r="F111" s="259">
        <f t="shared" si="15"/>
        <v>0.34123222748815168</v>
      </c>
    </row>
    <row r="112" spans="1:6" ht="20.25" customHeight="1" x14ac:dyDescent="0.3">
      <c r="A112" s="256">
        <v>8</v>
      </c>
      <c r="B112" s="257" t="s">
        <v>446</v>
      </c>
      <c r="C112" s="260">
        <v>140</v>
      </c>
      <c r="D112" s="260">
        <v>108</v>
      </c>
      <c r="E112" s="260">
        <f t="shared" si="14"/>
        <v>-32</v>
      </c>
      <c r="F112" s="259">
        <f t="shared" si="15"/>
        <v>-0.22857142857142856</v>
      </c>
    </row>
    <row r="113" spans="1:6" ht="20.25" customHeight="1" x14ac:dyDescent="0.3">
      <c r="A113" s="256">
        <v>9</v>
      </c>
      <c r="B113" s="257" t="s">
        <v>447</v>
      </c>
      <c r="C113" s="260">
        <v>17</v>
      </c>
      <c r="D113" s="260">
        <v>25</v>
      </c>
      <c r="E113" s="260">
        <f t="shared" si="14"/>
        <v>8</v>
      </c>
      <c r="F113" s="259">
        <f t="shared" si="15"/>
        <v>0.47058823529411764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1430342</v>
      </c>
      <c r="D114" s="263">
        <f>+D105+D107</f>
        <v>1754514</v>
      </c>
      <c r="E114" s="263">
        <f t="shared" si="14"/>
        <v>324172</v>
      </c>
      <c r="F114" s="264">
        <f t="shared" si="15"/>
        <v>0.22663950299998181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359657</v>
      </c>
      <c r="D115" s="263">
        <f>+D106+D108</f>
        <v>339096</v>
      </c>
      <c r="E115" s="263">
        <f t="shared" si="14"/>
        <v>-20561</v>
      </c>
      <c r="F115" s="264">
        <f t="shared" si="15"/>
        <v>-5.7168357629630455E-2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1209138</v>
      </c>
      <c r="D118" s="258">
        <v>1015791</v>
      </c>
      <c r="E118" s="258">
        <f t="shared" ref="E118:E128" si="16">D118-C118</f>
        <v>-193347</v>
      </c>
      <c r="F118" s="259">
        <f t="shared" ref="F118:F128" si="17">IF(C118=0,0,E118/C118)</f>
        <v>-0.15990482475945675</v>
      </c>
    </row>
    <row r="119" spans="1:6" ht="20.25" customHeight="1" x14ac:dyDescent="0.3">
      <c r="A119" s="256">
        <v>2</v>
      </c>
      <c r="B119" s="257" t="s">
        <v>442</v>
      </c>
      <c r="C119" s="258">
        <v>319586</v>
      </c>
      <c r="D119" s="258">
        <v>280573</v>
      </c>
      <c r="E119" s="258">
        <f t="shared" si="16"/>
        <v>-39013</v>
      </c>
      <c r="F119" s="259">
        <f t="shared" si="17"/>
        <v>-0.12207355766522938</v>
      </c>
    </row>
    <row r="120" spans="1:6" ht="20.25" customHeight="1" x14ac:dyDescent="0.3">
      <c r="A120" s="256">
        <v>3</v>
      </c>
      <c r="B120" s="257" t="s">
        <v>443</v>
      </c>
      <c r="C120" s="258">
        <v>1226226</v>
      </c>
      <c r="D120" s="258">
        <v>1409443</v>
      </c>
      <c r="E120" s="258">
        <f t="shared" si="16"/>
        <v>183217</v>
      </c>
      <c r="F120" s="259">
        <f t="shared" si="17"/>
        <v>0.14941536062683389</v>
      </c>
    </row>
    <row r="121" spans="1:6" ht="20.25" customHeight="1" x14ac:dyDescent="0.3">
      <c r="A121" s="256">
        <v>4</v>
      </c>
      <c r="B121" s="257" t="s">
        <v>444</v>
      </c>
      <c r="C121" s="258">
        <v>307089</v>
      </c>
      <c r="D121" s="258">
        <v>282311</v>
      </c>
      <c r="E121" s="258">
        <f t="shared" si="16"/>
        <v>-24778</v>
      </c>
      <c r="F121" s="259">
        <f t="shared" si="17"/>
        <v>-8.0686706459690838E-2</v>
      </c>
    </row>
    <row r="122" spans="1:6" ht="20.25" customHeight="1" x14ac:dyDescent="0.3">
      <c r="A122" s="256">
        <v>5</v>
      </c>
      <c r="B122" s="257" t="s">
        <v>381</v>
      </c>
      <c r="C122" s="260">
        <v>41</v>
      </c>
      <c r="D122" s="260">
        <v>36</v>
      </c>
      <c r="E122" s="260">
        <f t="shared" si="16"/>
        <v>-5</v>
      </c>
      <c r="F122" s="259">
        <f t="shared" si="17"/>
        <v>-0.12195121951219512</v>
      </c>
    </row>
    <row r="123" spans="1:6" ht="20.25" customHeight="1" x14ac:dyDescent="0.3">
      <c r="A123" s="256">
        <v>6</v>
      </c>
      <c r="B123" s="257" t="s">
        <v>380</v>
      </c>
      <c r="C123" s="260">
        <v>201</v>
      </c>
      <c r="D123" s="260">
        <v>157</v>
      </c>
      <c r="E123" s="260">
        <f t="shared" si="16"/>
        <v>-44</v>
      </c>
      <c r="F123" s="259">
        <f t="shared" si="17"/>
        <v>-0.21890547263681592</v>
      </c>
    </row>
    <row r="124" spans="1:6" ht="20.25" customHeight="1" x14ac:dyDescent="0.3">
      <c r="A124" s="256">
        <v>7</v>
      </c>
      <c r="B124" s="257" t="s">
        <v>445</v>
      </c>
      <c r="C124" s="260">
        <v>851</v>
      </c>
      <c r="D124" s="260">
        <v>1104</v>
      </c>
      <c r="E124" s="260">
        <f t="shared" si="16"/>
        <v>253</v>
      </c>
      <c r="F124" s="259">
        <f t="shared" si="17"/>
        <v>0.29729729729729731</v>
      </c>
    </row>
    <row r="125" spans="1:6" ht="20.25" customHeight="1" x14ac:dyDescent="0.3">
      <c r="A125" s="256">
        <v>8</v>
      </c>
      <c r="B125" s="257" t="s">
        <v>446</v>
      </c>
      <c r="C125" s="260">
        <v>83</v>
      </c>
      <c r="D125" s="260">
        <v>64</v>
      </c>
      <c r="E125" s="260">
        <f t="shared" si="16"/>
        <v>-19</v>
      </c>
      <c r="F125" s="259">
        <f t="shared" si="17"/>
        <v>-0.2289156626506024</v>
      </c>
    </row>
    <row r="126" spans="1:6" ht="20.25" customHeight="1" x14ac:dyDescent="0.3">
      <c r="A126" s="256">
        <v>9</v>
      </c>
      <c r="B126" s="257" t="s">
        <v>447</v>
      </c>
      <c r="C126" s="260">
        <v>36</v>
      </c>
      <c r="D126" s="260">
        <v>34</v>
      </c>
      <c r="E126" s="260">
        <f t="shared" si="16"/>
        <v>-2</v>
      </c>
      <c r="F126" s="259">
        <f t="shared" si="17"/>
        <v>-5.5555555555555552E-2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2435364</v>
      </c>
      <c r="D127" s="263">
        <f>+D118+D120</f>
        <v>2425234</v>
      </c>
      <c r="E127" s="263">
        <f t="shared" si="16"/>
        <v>-10130</v>
      </c>
      <c r="F127" s="264">
        <f t="shared" si="17"/>
        <v>-4.1595424749647277E-3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626675</v>
      </c>
      <c r="D128" s="263">
        <f>+D119+D121</f>
        <v>562884</v>
      </c>
      <c r="E128" s="263">
        <f t="shared" si="16"/>
        <v>-63791</v>
      </c>
      <c r="F128" s="264">
        <f t="shared" si="17"/>
        <v>-0.10179279530857302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13986</v>
      </c>
      <c r="E131" s="258">
        <f t="shared" ref="E131:E141" si="18">D131-C131</f>
        <v>13986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4240</v>
      </c>
      <c r="E132" s="258">
        <f t="shared" si="18"/>
        <v>4240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76806</v>
      </c>
      <c r="D133" s="258">
        <v>71736</v>
      </c>
      <c r="E133" s="258">
        <f t="shared" si="18"/>
        <v>-5070</v>
      </c>
      <c r="F133" s="259">
        <f t="shared" si="19"/>
        <v>-6.6010467932192798E-2</v>
      </c>
    </row>
    <row r="134" spans="1:6" ht="20.25" customHeight="1" x14ac:dyDescent="0.3">
      <c r="A134" s="256">
        <v>4</v>
      </c>
      <c r="B134" s="257" t="s">
        <v>444</v>
      </c>
      <c r="C134" s="258">
        <v>10833</v>
      </c>
      <c r="D134" s="258">
        <v>11714</v>
      </c>
      <c r="E134" s="258">
        <f t="shared" si="18"/>
        <v>881</v>
      </c>
      <c r="F134" s="259">
        <f t="shared" si="19"/>
        <v>8.1325579248592267E-2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1</v>
      </c>
      <c r="E135" s="260">
        <f t="shared" si="18"/>
        <v>1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3</v>
      </c>
      <c r="E136" s="260">
        <f t="shared" si="18"/>
        <v>3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60</v>
      </c>
      <c r="D137" s="260">
        <v>88</v>
      </c>
      <c r="E137" s="260">
        <f t="shared" si="18"/>
        <v>28</v>
      </c>
      <c r="F137" s="259">
        <f t="shared" si="19"/>
        <v>0.46666666666666667</v>
      </c>
    </row>
    <row r="138" spans="1:6" ht="20.25" customHeight="1" x14ac:dyDescent="0.3">
      <c r="A138" s="256">
        <v>8</v>
      </c>
      <c r="B138" s="257" t="s">
        <v>446</v>
      </c>
      <c r="C138" s="260">
        <v>3</v>
      </c>
      <c r="D138" s="260">
        <v>10</v>
      </c>
      <c r="E138" s="260">
        <f t="shared" si="18"/>
        <v>7</v>
      </c>
      <c r="F138" s="259">
        <f t="shared" si="19"/>
        <v>2.3333333333333335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1</v>
      </c>
      <c r="E139" s="260">
        <f t="shared" si="18"/>
        <v>1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76806</v>
      </c>
      <c r="D140" s="263">
        <f>+D131+D133</f>
        <v>85722</v>
      </c>
      <c r="E140" s="263">
        <f t="shared" si="18"/>
        <v>8916</v>
      </c>
      <c r="F140" s="264">
        <f t="shared" si="19"/>
        <v>0.11608468088430592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10833</v>
      </c>
      <c r="D141" s="263">
        <f>+D132+D134</f>
        <v>15954</v>
      </c>
      <c r="E141" s="263">
        <f t="shared" si="18"/>
        <v>5121</v>
      </c>
      <c r="F141" s="264">
        <f t="shared" si="19"/>
        <v>0.47272223760731097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11126787</v>
      </c>
      <c r="D198" s="263">
        <f t="shared" si="28"/>
        <v>14580622</v>
      </c>
      <c r="E198" s="263">
        <f t="shared" ref="E198:E208" si="29">D198-C198</f>
        <v>3453835</v>
      </c>
      <c r="F198" s="273">
        <f t="shared" ref="F198:F208" si="30">IF(C198=0,0,E198/C198)</f>
        <v>0.31040721818436895</v>
      </c>
    </row>
    <row r="199" spans="1:9" ht="20.25" customHeight="1" x14ac:dyDescent="0.3">
      <c r="A199" s="271"/>
      <c r="B199" s="272" t="s">
        <v>466</v>
      </c>
      <c r="C199" s="263">
        <f t="shared" si="28"/>
        <v>3261238</v>
      </c>
      <c r="D199" s="263">
        <f t="shared" si="28"/>
        <v>4159814</v>
      </c>
      <c r="E199" s="263">
        <f t="shared" si="29"/>
        <v>898576</v>
      </c>
      <c r="F199" s="273">
        <f t="shared" si="30"/>
        <v>0.27553217520463086</v>
      </c>
    </row>
    <row r="200" spans="1:9" ht="20.25" customHeight="1" x14ac:dyDescent="0.3">
      <c r="A200" s="271"/>
      <c r="B200" s="272" t="s">
        <v>467</v>
      </c>
      <c r="C200" s="263">
        <f t="shared" si="28"/>
        <v>12557090</v>
      </c>
      <c r="D200" s="263">
        <f t="shared" si="28"/>
        <v>13207433</v>
      </c>
      <c r="E200" s="263">
        <f t="shared" si="29"/>
        <v>650343</v>
      </c>
      <c r="F200" s="273">
        <f t="shared" si="30"/>
        <v>5.1790900598785231E-2</v>
      </c>
    </row>
    <row r="201" spans="1:9" ht="20.25" customHeight="1" x14ac:dyDescent="0.3">
      <c r="A201" s="271"/>
      <c r="B201" s="272" t="s">
        <v>468</v>
      </c>
      <c r="C201" s="263">
        <f t="shared" si="28"/>
        <v>2703344</v>
      </c>
      <c r="D201" s="263">
        <f t="shared" si="28"/>
        <v>2602965</v>
      </c>
      <c r="E201" s="263">
        <f t="shared" si="29"/>
        <v>-100379</v>
      </c>
      <c r="F201" s="273">
        <f t="shared" si="30"/>
        <v>-3.7131419456791291E-2</v>
      </c>
    </row>
    <row r="202" spans="1:9" ht="20.25" customHeight="1" x14ac:dyDescent="0.3">
      <c r="A202" s="271"/>
      <c r="B202" s="272" t="s">
        <v>138</v>
      </c>
      <c r="C202" s="274">
        <f t="shared" si="28"/>
        <v>366</v>
      </c>
      <c r="D202" s="274">
        <f t="shared" si="28"/>
        <v>404</v>
      </c>
      <c r="E202" s="274">
        <f t="shared" si="29"/>
        <v>38</v>
      </c>
      <c r="F202" s="273">
        <f t="shared" si="30"/>
        <v>0.10382513661202186</v>
      </c>
    </row>
    <row r="203" spans="1:9" ht="20.25" customHeight="1" x14ac:dyDescent="0.3">
      <c r="A203" s="271"/>
      <c r="B203" s="272" t="s">
        <v>140</v>
      </c>
      <c r="C203" s="274">
        <f t="shared" si="28"/>
        <v>1761</v>
      </c>
      <c r="D203" s="274">
        <f t="shared" si="28"/>
        <v>2212</v>
      </c>
      <c r="E203" s="274">
        <f t="shared" si="29"/>
        <v>451</v>
      </c>
      <c r="F203" s="273">
        <f t="shared" si="30"/>
        <v>0.25610448608745029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7931</v>
      </c>
      <c r="D204" s="274">
        <f t="shared" si="28"/>
        <v>8650</v>
      </c>
      <c r="E204" s="274">
        <f t="shared" si="29"/>
        <v>719</v>
      </c>
      <c r="F204" s="273">
        <f t="shared" si="30"/>
        <v>9.0656915899634344E-2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1028</v>
      </c>
      <c r="D205" s="274">
        <f t="shared" si="28"/>
        <v>845</v>
      </c>
      <c r="E205" s="274">
        <f t="shared" si="29"/>
        <v>-183</v>
      </c>
      <c r="F205" s="273">
        <f t="shared" si="30"/>
        <v>-0.17801556420233464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324</v>
      </c>
      <c r="D206" s="274">
        <f t="shared" si="28"/>
        <v>385</v>
      </c>
      <c r="E206" s="274">
        <f t="shared" si="29"/>
        <v>61</v>
      </c>
      <c r="F206" s="273">
        <f t="shared" si="30"/>
        <v>0.18827160493827161</v>
      </c>
    </row>
    <row r="207" spans="1:9" ht="20.25" customHeight="1" x14ac:dyDescent="0.3">
      <c r="A207" s="271"/>
      <c r="B207" s="262" t="s">
        <v>471</v>
      </c>
      <c r="C207" s="263">
        <f>+C198+C200</f>
        <v>23683877</v>
      </c>
      <c r="D207" s="263">
        <f>+D198+D200</f>
        <v>27788055</v>
      </c>
      <c r="E207" s="263">
        <f t="shared" si="29"/>
        <v>4104178</v>
      </c>
      <c r="F207" s="273">
        <f t="shared" si="30"/>
        <v>0.17328995586322291</v>
      </c>
    </row>
    <row r="208" spans="1:9" ht="20.25" customHeight="1" x14ac:dyDescent="0.3">
      <c r="A208" s="271"/>
      <c r="B208" s="262" t="s">
        <v>472</v>
      </c>
      <c r="C208" s="263">
        <f>+C199+C201</f>
        <v>5964582</v>
      </c>
      <c r="D208" s="263">
        <f>+D199+D201</f>
        <v>6762779</v>
      </c>
      <c r="E208" s="263">
        <f t="shared" si="29"/>
        <v>798197</v>
      </c>
      <c r="F208" s="273">
        <f t="shared" si="30"/>
        <v>0.13382278925832522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FILING&amp;RROCKVILLE GENERAL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FILING&amp;RROCKVILLE GENERAL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22439356</v>
      </c>
      <c r="D13" s="22">
        <v>20733601</v>
      </c>
      <c r="E13" s="22">
        <f t="shared" ref="E13:E22" si="0">D13-C13</f>
        <v>-1705755</v>
      </c>
      <c r="F13" s="306">
        <f t="shared" ref="F13:F22" si="1">IF(C13=0,0,E13/C13)</f>
        <v>-7.601621900378959E-2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46524143</v>
      </c>
      <c r="D15" s="22">
        <v>44610272</v>
      </c>
      <c r="E15" s="22">
        <f t="shared" si="0"/>
        <v>-1913871</v>
      </c>
      <c r="F15" s="306">
        <f t="shared" si="1"/>
        <v>-4.1137157539903532E-2</v>
      </c>
    </row>
    <row r="16" spans="1:8" ht="35.1" customHeight="1" x14ac:dyDescent="0.2">
      <c r="A16" s="304">
        <v>4</v>
      </c>
      <c r="B16" s="305" t="s">
        <v>19</v>
      </c>
      <c r="C16" s="22">
        <v>1850531</v>
      </c>
      <c r="D16" s="22">
        <v>1163916</v>
      </c>
      <c r="E16" s="22">
        <f t="shared" si="0"/>
        <v>-686615</v>
      </c>
      <c r="F16" s="306">
        <f t="shared" si="1"/>
        <v>-0.37103674566921602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3463096</v>
      </c>
      <c r="D18" s="22">
        <v>3602585</v>
      </c>
      <c r="E18" s="22">
        <f t="shared" si="0"/>
        <v>139489</v>
      </c>
      <c r="F18" s="306">
        <f t="shared" si="1"/>
        <v>4.0278698598017498E-2</v>
      </c>
    </row>
    <row r="19" spans="1:11" ht="24" customHeight="1" x14ac:dyDescent="0.2">
      <c r="A19" s="304">
        <v>7</v>
      </c>
      <c r="B19" s="305" t="s">
        <v>22</v>
      </c>
      <c r="C19" s="22">
        <v>5065716</v>
      </c>
      <c r="D19" s="22">
        <v>5437285</v>
      </c>
      <c r="E19" s="22">
        <f t="shared" si="0"/>
        <v>371569</v>
      </c>
      <c r="F19" s="306">
        <f t="shared" si="1"/>
        <v>7.334974957143274E-2</v>
      </c>
    </row>
    <row r="20" spans="1:11" ht="24" customHeight="1" x14ac:dyDescent="0.2">
      <c r="A20" s="304">
        <v>8</v>
      </c>
      <c r="B20" s="305" t="s">
        <v>23</v>
      </c>
      <c r="C20" s="22">
        <v>5046865</v>
      </c>
      <c r="D20" s="22">
        <v>5686236</v>
      </c>
      <c r="E20" s="22">
        <f t="shared" si="0"/>
        <v>639371</v>
      </c>
      <c r="F20" s="306">
        <f t="shared" si="1"/>
        <v>0.12668676495210393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84389707</v>
      </c>
      <c r="D22" s="309">
        <f>SUM(D13:D21)</f>
        <v>81233895</v>
      </c>
      <c r="E22" s="309">
        <f t="shared" si="0"/>
        <v>-3155812</v>
      </c>
      <c r="F22" s="310">
        <f t="shared" si="1"/>
        <v>-3.7395698032225658E-2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12824429</v>
      </c>
      <c r="D25" s="22">
        <v>16980766</v>
      </c>
      <c r="E25" s="22">
        <f>D25-C25</f>
        <v>4156337</v>
      </c>
      <c r="F25" s="306">
        <f>IF(C25=0,0,E25/C25)</f>
        <v>0.32409528720537967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42139177</v>
      </c>
      <c r="D28" s="22">
        <v>49083777</v>
      </c>
      <c r="E28" s="22">
        <f>D28-C28</f>
        <v>6944600</v>
      </c>
      <c r="F28" s="306">
        <f>IF(C28=0,0,E28/C28)</f>
        <v>0.16480151000576021</v>
      </c>
    </row>
    <row r="29" spans="1:11" ht="35.1" customHeight="1" x14ac:dyDescent="0.25">
      <c r="A29" s="307"/>
      <c r="B29" s="308" t="s">
        <v>32</v>
      </c>
      <c r="C29" s="309">
        <f>SUM(C25:C28)</f>
        <v>54963606</v>
      </c>
      <c r="D29" s="309">
        <f>SUM(D25:D28)</f>
        <v>66064543</v>
      </c>
      <c r="E29" s="309">
        <f>D29-C29</f>
        <v>11100937</v>
      </c>
      <c r="F29" s="310">
        <f>IF(C29=0,0,E29/C29)</f>
        <v>0.20196886281442306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26741383</v>
      </c>
      <c r="D32" s="22">
        <v>21701079</v>
      </c>
      <c r="E32" s="22">
        <f>D32-C32</f>
        <v>-5040304</v>
      </c>
      <c r="F32" s="306">
        <f>IF(C32=0,0,E32/C32)</f>
        <v>-0.18848329572184055</v>
      </c>
    </row>
    <row r="33" spans="1:8" ht="24" customHeight="1" x14ac:dyDescent="0.2">
      <c r="A33" s="304">
        <v>7</v>
      </c>
      <c r="B33" s="305" t="s">
        <v>35</v>
      </c>
      <c r="C33" s="22">
        <v>20183543</v>
      </c>
      <c r="D33" s="22">
        <v>13022113</v>
      </c>
      <c r="E33" s="22">
        <f>D33-C33</f>
        <v>-7161430</v>
      </c>
      <c r="F33" s="306">
        <f>IF(C33=0,0,E33/C33)</f>
        <v>-0.35481530670804429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302185099</v>
      </c>
      <c r="D36" s="22">
        <v>309457919</v>
      </c>
      <c r="E36" s="22">
        <f>D36-C36</f>
        <v>7272820</v>
      </c>
      <c r="F36" s="306">
        <f>IF(C36=0,0,E36/C36)</f>
        <v>2.4067434244995647E-2</v>
      </c>
    </row>
    <row r="37" spans="1:8" ht="24" customHeight="1" x14ac:dyDescent="0.2">
      <c r="A37" s="304">
        <v>2</v>
      </c>
      <c r="B37" s="305" t="s">
        <v>39</v>
      </c>
      <c r="C37" s="22">
        <v>206928185</v>
      </c>
      <c r="D37" s="22">
        <v>218033560</v>
      </c>
      <c r="E37" s="22">
        <f>D37-C37</f>
        <v>11105375</v>
      </c>
      <c r="F37" s="22">
        <f>IF(C37=0,0,E37/C37)</f>
        <v>5.3667773677133448E-2</v>
      </c>
    </row>
    <row r="38" spans="1:8" ht="24" customHeight="1" x14ac:dyDescent="0.25">
      <c r="A38" s="307"/>
      <c r="B38" s="308" t="s">
        <v>40</v>
      </c>
      <c r="C38" s="309">
        <f>C36-C37</f>
        <v>95256914</v>
      </c>
      <c r="D38" s="309">
        <f>D36-D37</f>
        <v>91424359</v>
      </c>
      <c r="E38" s="309">
        <f>D38-C38</f>
        <v>-3832555</v>
      </c>
      <c r="F38" s="310">
        <f>IF(C38=0,0,E38/C38)</f>
        <v>-4.0233877406526106E-2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931583</v>
      </c>
      <c r="D40" s="22">
        <v>2641200</v>
      </c>
      <c r="E40" s="22">
        <f>D40-C40</f>
        <v>1709617</v>
      </c>
      <c r="F40" s="306">
        <f>IF(C40=0,0,E40/C40)</f>
        <v>1.8351741068697045</v>
      </c>
    </row>
    <row r="41" spans="1:8" ht="24" customHeight="1" x14ac:dyDescent="0.25">
      <c r="A41" s="307"/>
      <c r="B41" s="308" t="s">
        <v>42</v>
      </c>
      <c r="C41" s="309">
        <f>+C38+C40</f>
        <v>96188497</v>
      </c>
      <c r="D41" s="309">
        <f>+D38+D40</f>
        <v>94065559</v>
      </c>
      <c r="E41" s="309">
        <f>D41-C41</f>
        <v>-2122938</v>
      </c>
      <c r="F41" s="310">
        <f>IF(C41=0,0,E41/C41)</f>
        <v>-2.2070601643770355E-2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282466736</v>
      </c>
      <c r="D43" s="309">
        <f>D22+D29+D31+D32+D33+D41</f>
        <v>276087189</v>
      </c>
      <c r="E43" s="309">
        <f>D43-C43</f>
        <v>-6379547</v>
      </c>
      <c r="F43" s="310">
        <f>IF(C43=0,0,E43/C43)</f>
        <v>-2.2585126625317042E-2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29240555</v>
      </c>
      <c r="D49" s="22">
        <v>30917763</v>
      </c>
      <c r="E49" s="22">
        <f t="shared" ref="E49:E56" si="2">D49-C49</f>
        <v>1677208</v>
      </c>
      <c r="F49" s="306">
        <f t="shared" ref="F49:F56" si="3">IF(C49=0,0,E49/C49)</f>
        <v>5.7358965997738418E-2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5634280</v>
      </c>
      <c r="D50" s="22">
        <v>5046852</v>
      </c>
      <c r="E50" s="22">
        <f t="shared" si="2"/>
        <v>-587428</v>
      </c>
      <c r="F50" s="306">
        <f t="shared" si="3"/>
        <v>-0.10425963920855903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4512361</v>
      </c>
      <c r="D51" s="22">
        <v>5743160</v>
      </c>
      <c r="E51" s="22">
        <f t="shared" si="2"/>
        <v>1230799</v>
      </c>
      <c r="F51" s="306">
        <f t="shared" si="3"/>
        <v>0.27276164296252009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8925357</v>
      </c>
      <c r="D53" s="22">
        <v>8123279</v>
      </c>
      <c r="E53" s="22">
        <f t="shared" si="2"/>
        <v>-802078</v>
      </c>
      <c r="F53" s="306">
        <f t="shared" si="3"/>
        <v>-8.9865088869834561E-2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4406965</v>
      </c>
      <c r="D54" s="22">
        <v>3941203</v>
      </c>
      <c r="E54" s="22">
        <f t="shared" si="2"/>
        <v>-465762</v>
      </c>
      <c r="F54" s="306">
        <f t="shared" si="3"/>
        <v>-0.10568770117302952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11625999</v>
      </c>
      <c r="D55" s="22">
        <v>7180735</v>
      </c>
      <c r="E55" s="22">
        <f t="shared" si="2"/>
        <v>-4445264</v>
      </c>
      <c r="F55" s="306">
        <f t="shared" si="3"/>
        <v>-0.38235544317524883</v>
      </c>
    </row>
    <row r="56" spans="1:6" ht="24" customHeight="1" x14ac:dyDescent="0.25">
      <c r="A56" s="307"/>
      <c r="B56" s="308" t="s">
        <v>54</v>
      </c>
      <c r="C56" s="309">
        <f>SUM(C49:C55)</f>
        <v>64345517</v>
      </c>
      <c r="D56" s="309">
        <f>SUM(D49:D55)</f>
        <v>60952992</v>
      </c>
      <c r="E56" s="309">
        <f t="shared" si="2"/>
        <v>-3392525</v>
      </c>
      <c r="F56" s="310">
        <f t="shared" si="3"/>
        <v>-5.2723564253901324E-2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72082455</v>
      </c>
      <c r="D59" s="22">
        <v>69571034</v>
      </c>
      <c r="E59" s="22">
        <f>D59-C59</f>
        <v>-2511421</v>
      </c>
      <c r="F59" s="306">
        <f>IF(C59=0,0,E59/C59)</f>
        <v>-3.4840947079285797E-2</v>
      </c>
    </row>
    <row r="60" spans="1:6" ht="24" customHeight="1" x14ac:dyDescent="0.2">
      <c r="A60" s="304">
        <v>2</v>
      </c>
      <c r="B60" s="305" t="s">
        <v>57</v>
      </c>
      <c r="C60" s="22">
        <v>12333551</v>
      </c>
      <c r="D60" s="22">
        <v>13024380</v>
      </c>
      <c r="E60" s="22">
        <f>D60-C60</f>
        <v>690829</v>
      </c>
      <c r="F60" s="306">
        <f>IF(C60=0,0,E60/C60)</f>
        <v>5.6012173622989846E-2</v>
      </c>
    </row>
    <row r="61" spans="1:6" ht="24" customHeight="1" x14ac:dyDescent="0.25">
      <c r="A61" s="307"/>
      <c r="B61" s="308" t="s">
        <v>58</v>
      </c>
      <c r="C61" s="309">
        <f>SUM(C59:C60)</f>
        <v>84416006</v>
      </c>
      <c r="D61" s="309">
        <f>SUM(D59:D60)</f>
        <v>82595414</v>
      </c>
      <c r="E61" s="309">
        <f>D61-C61</f>
        <v>-1820592</v>
      </c>
      <c r="F61" s="310">
        <f>IF(C61=0,0,E61/C61)</f>
        <v>-2.1566905214634297E-2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38111463</v>
      </c>
      <c r="D63" s="22">
        <v>44676486</v>
      </c>
      <c r="E63" s="22">
        <f>D63-C63</f>
        <v>6565023</v>
      </c>
      <c r="F63" s="306">
        <f>IF(C63=0,0,E63/C63)</f>
        <v>0.17225848821390036</v>
      </c>
    </row>
    <row r="64" spans="1:6" ht="24" customHeight="1" x14ac:dyDescent="0.2">
      <c r="A64" s="304">
        <v>4</v>
      </c>
      <c r="B64" s="305" t="s">
        <v>60</v>
      </c>
      <c r="C64" s="22">
        <v>9744601</v>
      </c>
      <c r="D64" s="22">
        <v>10168508</v>
      </c>
      <c r="E64" s="22">
        <f>D64-C64</f>
        <v>423907</v>
      </c>
      <c r="F64" s="306">
        <f>IF(C64=0,0,E64/C64)</f>
        <v>4.3501729829676969E-2</v>
      </c>
    </row>
    <row r="65" spans="1:6" ht="24" customHeight="1" x14ac:dyDescent="0.25">
      <c r="A65" s="307"/>
      <c r="B65" s="308" t="s">
        <v>61</v>
      </c>
      <c r="C65" s="309">
        <f>SUM(C61:C64)</f>
        <v>132272070</v>
      </c>
      <c r="D65" s="309">
        <f>SUM(D61:D64)</f>
        <v>137440408</v>
      </c>
      <c r="E65" s="309">
        <f>D65-C65</f>
        <v>5168338</v>
      </c>
      <c r="F65" s="310">
        <f>IF(C65=0,0,E65/C65)</f>
        <v>3.907353986370668E-2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70965928</v>
      </c>
      <c r="D70" s="22">
        <v>59544873</v>
      </c>
      <c r="E70" s="22">
        <f>D70-C70</f>
        <v>-11421055</v>
      </c>
      <c r="F70" s="306">
        <f>IF(C70=0,0,E70/C70)</f>
        <v>-0.16093716128111507</v>
      </c>
    </row>
    <row r="71" spans="1:6" ht="24" customHeight="1" x14ac:dyDescent="0.2">
      <c r="A71" s="304">
        <v>2</v>
      </c>
      <c r="B71" s="305" t="s">
        <v>65</v>
      </c>
      <c r="C71" s="22">
        <v>2587301</v>
      </c>
      <c r="D71" s="22">
        <v>2096313</v>
      </c>
      <c r="E71" s="22">
        <f>D71-C71</f>
        <v>-490988</v>
      </c>
      <c r="F71" s="306">
        <f>IF(C71=0,0,E71/C71)</f>
        <v>-0.18976841117442461</v>
      </c>
    </row>
    <row r="72" spans="1:6" ht="24" customHeight="1" x14ac:dyDescent="0.2">
      <c r="A72" s="304">
        <v>3</v>
      </c>
      <c r="B72" s="305" t="s">
        <v>66</v>
      </c>
      <c r="C72" s="22">
        <v>12295920</v>
      </c>
      <c r="D72" s="22">
        <v>16052603</v>
      </c>
      <c r="E72" s="22">
        <f>D72-C72</f>
        <v>3756683</v>
      </c>
      <c r="F72" s="306">
        <f>IF(C72=0,0,E72/C72)</f>
        <v>0.30552272623764631</v>
      </c>
    </row>
    <row r="73" spans="1:6" ht="24" customHeight="1" x14ac:dyDescent="0.25">
      <c r="A73" s="304"/>
      <c r="B73" s="308" t="s">
        <v>67</v>
      </c>
      <c r="C73" s="309">
        <f>SUM(C70:C72)</f>
        <v>85849149</v>
      </c>
      <c r="D73" s="309">
        <f>SUM(D70:D72)</f>
        <v>77693789</v>
      </c>
      <c r="E73" s="309">
        <f>D73-C73</f>
        <v>-8155360</v>
      </c>
      <c r="F73" s="310">
        <f>IF(C73=0,0,E73/C73)</f>
        <v>-9.4996398857721931E-2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282466736</v>
      </c>
      <c r="D75" s="309">
        <f>D56+D65+D67+D73</f>
        <v>276087189</v>
      </c>
      <c r="E75" s="309">
        <f>D75-C75</f>
        <v>-6379547</v>
      </c>
      <c r="F75" s="310">
        <f>IF(C75=0,0,E75/C75)</f>
        <v>-2.2585126625317042E-2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FILING&amp;REASTERN CT HEALTH NETWORK , INC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900707906</v>
      </c>
      <c r="D11" s="76">
        <v>925914801</v>
      </c>
      <c r="E11" s="76">
        <f t="shared" ref="E11:E20" si="0">D11-C11</f>
        <v>25206895</v>
      </c>
      <c r="F11" s="77">
        <f t="shared" ref="F11:F20" si="1">IF(C11=0,0,E11/C11)</f>
        <v>2.7985648657113043E-2</v>
      </c>
    </row>
    <row r="12" spans="1:7" ht="23.1" customHeight="1" x14ac:dyDescent="0.2">
      <c r="A12" s="74">
        <v>2</v>
      </c>
      <c r="B12" s="75" t="s">
        <v>72</v>
      </c>
      <c r="C12" s="76">
        <v>585405098</v>
      </c>
      <c r="D12" s="76">
        <v>612343685</v>
      </c>
      <c r="E12" s="76">
        <f t="shared" si="0"/>
        <v>26938587</v>
      </c>
      <c r="F12" s="77">
        <f t="shared" si="1"/>
        <v>4.6017001034042923E-2</v>
      </c>
    </row>
    <row r="13" spans="1:7" ht="23.1" customHeight="1" x14ac:dyDescent="0.2">
      <c r="A13" s="74">
        <v>3</v>
      </c>
      <c r="B13" s="75" t="s">
        <v>73</v>
      </c>
      <c r="C13" s="76">
        <v>5180649</v>
      </c>
      <c r="D13" s="76">
        <v>3599806</v>
      </c>
      <c r="E13" s="76">
        <f t="shared" si="0"/>
        <v>-1580843</v>
      </c>
      <c r="F13" s="77">
        <f t="shared" si="1"/>
        <v>-0.30514381499306359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310122159</v>
      </c>
      <c r="D15" s="79">
        <f>D11-D12-D13-D14</f>
        <v>309971310</v>
      </c>
      <c r="E15" s="79">
        <f t="shared" si="0"/>
        <v>-150849</v>
      </c>
      <c r="F15" s="80">
        <f t="shared" si="1"/>
        <v>-4.8641799891506623E-4</v>
      </c>
    </row>
    <row r="16" spans="1:7" ht="23.1" customHeight="1" x14ac:dyDescent="0.2">
      <c r="A16" s="74">
        <v>5</v>
      </c>
      <c r="B16" s="75" t="s">
        <v>76</v>
      </c>
      <c r="C16" s="76">
        <v>11142202</v>
      </c>
      <c r="D16" s="76">
        <v>10216094</v>
      </c>
      <c r="E16" s="76">
        <f t="shared" si="0"/>
        <v>-926108</v>
      </c>
      <c r="F16" s="77">
        <f t="shared" si="1"/>
        <v>-8.3117143272039049E-2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298979957</v>
      </c>
      <c r="D17" s="79">
        <f>D15-D16</f>
        <v>299755216</v>
      </c>
      <c r="E17" s="79">
        <f t="shared" si="0"/>
        <v>775259</v>
      </c>
      <c r="F17" s="80">
        <f t="shared" si="1"/>
        <v>2.5930132834957897E-3</v>
      </c>
    </row>
    <row r="18" spans="1:7" ht="23.1" customHeight="1" x14ac:dyDescent="0.2">
      <c r="A18" s="74">
        <v>6</v>
      </c>
      <c r="B18" s="75" t="s">
        <v>78</v>
      </c>
      <c r="C18" s="76">
        <v>27116509</v>
      </c>
      <c r="D18" s="76">
        <v>28166459</v>
      </c>
      <c r="E18" s="76">
        <f t="shared" si="0"/>
        <v>1049950</v>
      </c>
      <c r="F18" s="77">
        <f t="shared" si="1"/>
        <v>3.8719954696233204E-2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1871227</v>
      </c>
      <c r="D19" s="76">
        <v>833650</v>
      </c>
      <c r="E19" s="76">
        <f t="shared" si="0"/>
        <v>-1037577</v>
      </c>
      <c r="F19" s="77">
        <f t="shared" si="1"/>
        <v>-0.55449018211045475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327967693</v>
      </c>
      <c r="D20" s="79">
        <f>SUM(D17:D19)</f>
        <v>328755325</v>
      </c>
      <c r="E20" s="79">
        <f t="shared" si="0"/>
        <v>787632</v>
      </c>
      <c r="F20" s="80">
        <f t="shared" si="1"/>
        <v>2.4015536188803817E-3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163729402</v>
      </c>
      <c r="D23" s="76">
        <v>162727445</v>
      </c>
      <c r="E23" s="76">
        <f t="shared" ref="E23:E32" si="2">D23-C23</f>
        <v>-1001957</v>
      </c>
      <c r="F23" s="77">
        <f t="shared" ref="F23:F32" si="3">IF(C23=0,0,E23/C23)</f>
        <v>-6.1195911532126645E-3</v>
      </c>
    </row>
    <row r="24" spans="1:7" ht="23.1" customHeight="1" x14ac:dyDescent="0.2">
      <c r="A24" s="74">
        <v>2</v>
      </c>
      <c r="B24" s="75" t="s">
        <v>83</v>
      </c>
      <c r="C24" s="76">
        <v>47592094</v>
      </c>
      <c r="D24" s="76">
        <v>43859398</v>
      </c>
      <c r="E24" s="76">
        <f t="shared" si="2"/>
        <v>-3732696</v>
      </c>
      <c r="F24" s="77">
        <f t="shared" si="3"/>
        <v>-7.8431009990861084E-2</v>
      </c>
    </row>
    <row r="25" spans="1:7" ht="23.1" customHeight="1" x14ac:dyDescent="0.2">
      <c r="A25" s="74">
        <v>3</v>
      </c>
      <c r="B25" s="75" t="s">
        <v>84</v>
      </c>
      <c r="C25" s="76">
        <v>11330248</v>
      </c>
      <c r="D25" s="76">
        <v>14478331</v>
      </c>
      <c r="E25" s="76">
        <f t="shared" si="2"/>
        <v>3148083</v>
      </c>
      <c r="F25" s="77">
        <f t="shared" si="3"/>
        <v>0.2778476693537511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36699785</v>
      </c>
      <c r="D26" s="76">
        <v>34194649</v>
      </c>
      <c r="E26" s="76">
        <f t="shared" si="2"/>
        <v>-2505136</v>
      </c>
      <c r="F26" s="77">
        <f t="shared" si="3"/>
        <v>-6.826023640192988E-2</v>
      </c>
    </row>
    <row r="27" spans="1:7" ht="23.1" customHeight="1" x14ac:dyDescent="0.2">
      <c r="A27" s="74">
        <v>5</v>
      </c>
      <c r="B27" s="75" t="s">
        <v>86</v>
      </c>
      <c r="C27" s="76">
        <v>12290822</v>
      </c>
      <c r="D27" s="76">
        <v>12196877</v>
      </c>
      <c r="E27" s="76">
        <f t="shared" si="2"/>
        <v>-93945</v>
      </c>
      <c r="F27" s="77">
        <f t="shared" si="3"/>
        <v>-7.6435083023739178E-3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3907765</v>
      </c>
      <c r="D29" s="76">
        <v>3764488</v>
      </c>
      <c r="E29" s="76">
        <f t="shared" si="2"/>
        <v>-143277</v>
      </c>
      <c r="F29" s="77">
        <f t="shared" si="3"/>
        <v>-3.6664691965867954E-2</v>
      </c>
    </row>
    <row r="30" spans="1:7" ht="23.1" customHeight="1" x14ac:dyDescent="0.2">
      <c r="A30" s="74">
        <v>8</v>
      </c>
      <c r="B30" s="75" t="s">
        <v>89</v>
      </c>
      <c r="C30" s="76">
        <v>8373093</v>
      </c>
      <c r="D30" s="76">
        <v>3807147</v>
      </c>
      <c r="E30" s="76">
        <f t="shared" si="2"/>
        <v>-4565946</v>
      </c>
      <c r="F30" s="77">
        <f t="shared" si="3"/>
        <v>-0.54531175038901392</v>
      </c>
    </row>
    <row r="31" spans="1:7" ht="23.1" customHeight="1" x14ac:dyDescent="0.2">
      <c r="A31" s="74">
        <v>9</v>
      </c>
      <c r="B31" s="75" t="s">
        <v>90</v>
      </c>
      <c r="C31" s="76">
        <v>43931989</v>
      </c>
      <c r="D31" s="76">
        <v>51554269</v>
      </c>
      <c r="E31" s="76">
        <f t="shared" si="2"/>
        <v>7622280</v>
      </c>
      <c r="F31" s="77">
        <f t="shared" si="3"/>
        <v>0.17350181891377603</v>
      </c>
    </row>
    <row r="32" spans="1:7" ht="23.1" customHeight="1" x14ac:dyDescent="0.25">
      <c r="A32" s="71"/>
      <c r="B32" s="78" t="s">
        <v>91</v>
      </c>
      <c r="C32" s="79">
        <f>SUM(C23:C31)</f>
        <v>327855198</v>
      </c>
      <c r="D32" s="79">
        <f>SUM(D23:D31)</f>
        <v>326582604</v>
      </c>
      <c r="E32" s="79">
        <f t="shared" si="2"/>
        <v>-1272594</v>
      </c>
      <c r="F32" s="80">
        <f t="shared" si="3"/>
        <v>-3.8815733523919912E-3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112495</v>
      </c>
      <c r="D34" s="79">
        <f>+D20-D32</f>
        <v>2172721</v>
      </c>
      <c r="E34" s="79">
        <f>D34-C34</f>
        <v>2060226</v>
      </c>
      <c r="F34" s="80">
        <f>IF(C34=0,0,E34/C34)</f>
        <v>18.313933952620115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2784</v>
      </c>
      <c r="D37" s="76">
        <v>645</v>
      </c>
      <c r="E37" s="76">
        <f>D37-C37</f>
        <v>-2139</v>
      </c>
      <c r="F37" s="77">
        <f>IF(C37=0,0,E37/C37)</f>
        <v>-0.76831896551724133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-2141373</v>
      </c>
      <c r="D39" s="76">
        <v>-2126396</v>
      </c>
      <c r="E39" s="76">
        <f>D39-C39</f>
        <v>14977</v>
      </c>
      <c r="F39" s="77">
        <f>IF(C39=0,0,E39/C39)</f>
        <v>-6.9941107877982958E-3</v>
      </c>
    </row>
    <row r="40" spans="1:6" ht="23.1" customHeight="1" x14ac:dyDescent="0.25">
      <c r="A40" s="83"/>
      <c r="B40" s="78" t="s">
        <v>97</v>
      </c>
      <c r="C40" s="79">
        <f>SUM(C37:C39)</f>
        <v>-2138589</v>
      </c>
      <c r="D40" s="79">
        <f>SUM(D37:D39)</f>
        <v>-2125751</v>
      </c>
      <c r="E40" s="79">
        <f>D40-C40</f>
        <v>12838</v>
      </c>
      <c r="F40" s="80">
        <f>IF(C40=0,0,E40/C40)</f>
        <v>-6.0030234888517617E-3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-2026094</v>
      </c>
      <c r="D42" s="79">
        <f>D34+D40</f>
        <v>46970</v>
      </c>
      <c r="E42" s="79">
        <f>D42-C42</f>
        <v>2073064</v>
      </c>
      <c r="F42" s="80">
        <f>IF(C42=0,0,E42/C42)</f>
        <v>-1.0231825374340973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-2026094</v>
      </c>
      <c r="D49" s="79">
        <f>D42+D47</f>
        <v>46970</v>
      </c>
      <c r="E49" s="79">
        <f>D49-C49</f>
        <v>2073064</v>
      </c>
      <c r="F49" s="80">
        <f>IF(C49=0,0,E49/C49)</f>
        <v>-1.0231825374340973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FILING&amp;R&amp;8EASTERN CT HEALTH NETWORK , INC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2015-07-08T12:11:32Z</cp:lastPrinted>
  <dcterms:created xsi:type="dcterms:W3CDTF">2015-07-07T13:44:22Z</dcterms:created>
  <dcterms:modified xsi:type="dcterms:W3CDTF">2015-07-08T12:11:39Z</dcterms:modified>
</cp:coreProperties>
</file>