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 s="1"/>
  <c r="E92" i="22"/>
  <c r="D92" i="22"/>
  <c r="C92" i="22"/>
  <c r="E91" i="22"/>
  <c r="E93" i="22" s="1"/>
  <c r="D91" i="22"/>
  <c r="D93" i="22" s="1"/>
  <c r="C91" i="22"/>
  <c r="E87" i="22"/>
  <c r="E88" i="22" s="1"/>
  <c r="D87" i="22"/>
  <c r="C87" i="22"/>
  <c r="E86" i="22"/>
  <c r="D86" i="22"/>
  <c r="D88" i="22" s="1"/>
  <c r="C86" i="22"/>
  <c r="C88" i="22"/>
  <c r="E83" i="22"/>
  <c r="D83" i="22"/>
  <c r="D102" i="22"/>
  <c r="C83" i="22"/>
  <c r="C101" i="22" s="1"/>
  <c r="E76" i="22"/>
  <c r="D76" i="22"/>
  <c r="C76" i="22"/>
  <c r="E75" i="22"/>
  <c r="E77" i="22" s="1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E21" i="22"/>
  <c r="D21" i="22"/>
  <c r="C21" i="22"/>
  <c r="E12" i="22"/>
  <c r="E33" i="22" s="1"/>
  <c r="D12" i="22"/>
  <c r="D33" i="22"/>
  <c r="C12" i="22"/>
  <c r="C33" i="22" s="1"/>
  <c r="D21" i="21"/>
  <c r="C21" i="21"/>
  <c r="E21" i="21" s="1"/>
  <c r="D19" i="21"/>
  <c r="E19" i="21" s="1"/>
  <c r="C19" i="21"/>
  <c r="F17" i="21"/>
  <c r="E17" i="21"/>
  <c r="E15" i="21"/>
  <c r="F15" i="21" s="1"/>
  <c r="D45" i="20"/>
  <c r="E45" i="20" s="1"/>
  <c r="F45" i="20" s="1"/>
  <c r="C45" i="20"/>
  <c r="D44" i="20"/>
  <c r="E44" i="20" s="1"/>
  <c r="F44" i="20" s="1"/>
  <c r="C44" i="20"/>
  <c r="D43" i="20"/>
  <c r="C43" i="20"/>
  <c r="C46" i="20"/>
  <c r="D36" i="20"/>
  <c r="D40" i="20" s="1"/>
  <c r="C36" i="20"/>
  <c r="F36" i="20" s="1"/>
  <c r="C40" i="20"/>
  <c r="E35" i="20"/>
  <c r="F35" i="20" s="1"/>
  <c r="F34" i="20"/>
  <c r="E34" i="20"/>
  <c r="E33" i="20"/>
  <c r="F33" i="20" s="1"/>
  <c r="E36" i="20"/>
  <c r="E30" i="20"/>
  <c r="F30" i="20" s="1"/>
  <c r="F29" i="20"/>
  <c r="E29" i="20"/>
  <c r="E28" i="20"/>
  <c r="F28" i="20" s="1"/>
  <c r="E27" i="20"/>
  <c r="F27" i="20" s="1"/>
  <c r="D25" i="20"/>
  <c r="D39" i="20"/>
  <c r="C25" i="20"/>
  <c r="E24" i="20"/>
  <c r="F24" i="20" s="1"/>
  <c r="F23" i="20"/>
  <c r="E23" i="20"/>
  <c r="E22" i="20"/>
  <c r="F22" i="20" s="1"/>
  <c r="E25" i="20"/>
  <c r="D19" i="20"/>
  <c r="D20" i="20"/>
  <c r="C19" i="20"/>
  <c r="F18" i="20"/>
  <c r="E18" i="20"/>
  <c r="D16" i="20"/>
  <c r="C16" i="20"/>
  <c r="F15" i="20"/>
  <c r="E15" i="20"/>
  <c r="F13" i="20"/>
  <c r="E13" i="20"/>
  <c r="E12" i="20"/>
  <c r="F12" i="20" s="1"/>
  <c r="C115" i="19"/>
  <c r="C105" i="19"/>
  <c r="C137" i="19"/>
  <c r="C139" i="19" s="1"/>
  <c r="C143" i="19" s="1"/>
  <c r="C96" i="19"/>
  <c r="C95" i="19"/>
  <c r="C89" i="19"/>
  <c r="C88" i="19"/>
  <c r="C83" i="19"/>
  <c r="C77" i="19"/>
  <c r="C78" i="19" s="1"/>
  <c r="C64" i="19"/>
  <c r="C63" i="19"/>
  <c r="C59" i="19"/>
  <c r="C60" i="19" s="1"/>
  <c r="C49" i="19"/>
  <c r="C48" i="19"/>
  <c r="C36" i="19"/>
  <c r="C32" i="19"/>
  <c r="C33" i="19"/>
  <c r="C21" i="19"/>
  <c r="E328" i="18"/>
  <c r="E325" i="18"/>
  <c r="D324" i="18"/>
  <c r="D326" i="18"/>
  <c r="C324" i="18"/>
  <c r="C326" i="18" s="1"/>
  <c r="C330" i="18"/>
  <c r="E330" i="18" s="1"/>
  <c r="E318" i="18"/>
  <c r="E315" i="18"/>
  <c r="D314" i="18"/>
  <c r="D316" i="18" s="1"/>
  <c r="C314" i="18"/>
  <c r="C316" i="18"/>
  <c r="C320" i="18" s="1"/>
  <c r="E308" i="18"/>
  <c r="E305" i="18"/>
  <c r="D301" i="18"/>
  <c r="C301" i="18"/>
  <c r="D293" i="18"/>
  <c r="E293" i="18"/>
  <c r="C293" i="18"/>
  <c r="D292" i="18"/>
  <c r="C292" i="18"/>
  <c r="E292" i="18"/>
  <c r="D291" i="18"/>
  <c r="E291" i="18" s="1"/>
  <c r="C291" i="18"/>
  <c r="D290" i="18"/>
  <c r="C290" i="18"/>
  <c r="E290" i="18" s="1"/>
  <c r="D288" i="18"/>
  <c r="C288" i="18"/>
  <c r="E288" i="18"/>
  <c r="D287" i="18"/>
  <c r="C287" i="18"/>
  <c r="E287" i="18" s="1"/>
  <c r="D282" i="18"/>
  <c r="C282" i="18"/>
  <c r="D281" i="18"/>
  <c r="E281" i="18" s="1"/>
  <c r="C281" i="18"/>
  <c r="D280" i="18"/>
  <c r="C280" i="18"/>
  <c r="E280" i="18"/>
  <c r="D279" i="18"/>
  <c r="E279" i="18" s="1"/>
  <c r="C279" i="18"/>
  <c r="D278" i="18"/>
  <c r="E278" i="18" s="1"/>
  <c r="C278" i="18"/>
  <c r="D277" i="18"/>
  <c r="E277" i="18"/>
  <c r="C277" i="18"/>
  <c r="D276" i="18"/>
  <c r="C276" i="18"/>
  <c r="E276" i="18" s="1"/>
  <c r="E270" i="18"/>
  <c r="D265" i="18"/>
  <c r="D302" i="18"/>
  <c r="C265" i="18"/>
  <c r="C302" i="18" s="1"/>
  <c r="D262" i="18"/>
  <c r="C262" i="18"/>
  <c r="E262" i="18" s="1"/>
  <c r="D251" i="18"/>
  <c r="C251" i="18"/>
  <c r="E251" i="18"/>
  <c r="D233" i="18"/>
  <c r="C233" i="18"/>
  <c r="D232" i="18"/>
  <c r="E232" i="18"/>
  <c r="C232" i="18"/>
  <c r="D231" i="18"/>
  <c r="C231" i="18"/>
  <c r="D230" i="18"/>
  <c r="E230" i="18" s="1"/>
  <c r="C230" i="18"/>
  <c r="D228" i="18"/>
  <c r="E228" i="18"/>
  <c r="C228" i="18"/>
  <c r="D227" i="18"/>
  <c r="C227" i="18"/>
  <c r="E227" i="18"/>
  <c r="D221" i="18"/>
  <c r="E221" i="18" s="1"/>
  <c r="C221" i="18"/>
  <c r="C245" i="18"/>
  <c r="E245" i="18" s="1"/>
  <c r="D220" i="18"/>
  <c r="D244" i="18" s="1"/>
  <c r="C220" i="18"/>
  <c r="C244" i="18" s="1"/>
  <c r="D219" i="18"/>
  <c r="C219" i="18"/>
  <c r="D218" i="18"/>
  <c r="D242" i="18" s="1"/>
  <c r="C218" i="18"/>
  <c r="D216" i="18"/>
  <c r="D240" i="18" s="1"/>
  <c r="C216" i="18"/>
  <c r="C240" i="18"/>
  <c r="C253" i="18" s="1"/>
  <c r="D215" i="18"/>
  <c r="E215" i="18" s="1"/>
  <c r="C215" i="18"/>
  <c r="C239" i="18" s="1"/>
  <c r="D210" i="18"/>
  <c r="D211" i="18" s="1"/>
  <c r="D181" i="18" s="1"/>
  <c r="E209" i="18"/>
  <c r="E208" i="18"/>
  <c r="E207" i="18"/>
  <c r="E206" i="18"/>
  <c r="D205" i="18"/>
  <c r="D229" i="18"/>
  <c r="C205" i="18"/>
  <c r="C210" i="18"/>
  <c r="C234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E179" i="18" s="1"/>
  <c r="C179" i="18"/>
  <c r="D178" i="18"/>
  <c r="C178" i="18"/>
  <c r="D177" i="18"/>
  <c r="E177" i="18"/>
  <c r="C177" i="18"/>
  <c r="D176" i="18"/>
  <c r="C176" i="18"/>
  <c r="E176" i="18"/>
  <c r="D175" i="18"/>
  <c r="D174" i="18"/>
  <c r="C174" i="18"/>
  <c r="E174" i="18"/>
  <c r="D173" i="18"/>
  <c r="E173" i="18" s="1"/>
  <c r="C173" i="18"/>
  <c r="D167" i="18"/>
  <c r="C167" i="18"/>
  <c r="E167" i="18"/>
  <c r="D166" i="18"/>
  <c r="C166" i="18"/>
  <c r="E166" i="18" s="1"/>
  <c r="D165" i="18"/>
  <c r="C165" i="18"/>
  <c r="E165" i="18"/>
  <c r="D164" i="18"/>
  <c r="E164" i="18" s="1"/>
  <c r="C164" i="18"/>
  <c r="D162" i="18"/>
  <c r="E162" i="18"/>
  <c r="C162" i="18"/>
  <c r="D161" i="18"/>
  <c r="C161" i="18"/>
  <c r="E161" i="18"/>
  <c r="E155" i="18"/>
  <c r="E154" i="18"/>
  <c r="E153" i="18"/>
  <c r="E152" i="18"/>
  <c r="D151" i="18"/>
  <c r="D156" i="18" s="1"/>
  <c r="C151" i="18"/>
  <c r="E150" i="18"/>
  <c r="E149" i="18"/>
  <c r="D144" i="18"/>
  <c r="E143" i="18"/>
  <c r="E142" i="18"/>
  <c r="E141" i="18"/>
  <c r="E140" i="18"/>
  <c r="D139" i="18"/>
  <c r="D163" i="18"/>
  <c r="C139" i="18"/>
  <c r="E138" i="18"/>
  <c r="E137" i="18"/>
  <c r="D75" i="18"/>
  <c r="E75" i="18"/>
  <c r="C75" i="18"/>
  <c r="D74" i="18"/>
  <c r="E74" i="18" s="1"/>
  <c r="C74" i="18"/>
  <c r="C76" i="18" s="1"/>
  <c r="D73" i="18"/>
  <c r="C73" i="18"/>
  <c r="E73" i="18" s="1"/>
  <c r="D72" i="18"/>
  <c r="E72" i="18" s="1"/>
  <c r="C72" i="18"/>
  <c r="D71" i="18"/>
  <c r="E71" i="18" s="1"/>
  <c r="D70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4" i="18"/>
  <c r="D55" i="18" s="1"/>
  <c r="C54" i="18"/>
  <c r="C55" i="18" s="1"/>
  <c r="E53" i="18"/>
  <c r="E52" i="18"/>
  <c r="E51" i="18"/>
  <c r="E50" i="18"/>
  <c r="E49" i="18"/>
  <c r="E48" i="18"/>
  <c r="E47" i="18"/>
  <c r="D42" i="18"/>
  <c r="E42" i="18" s="1"/>
  <c r="C42" i="18"/>
  <c r="D41" i="18"/>
  <c r="E41" i="18" s="1"/>
  <c r="C41" i="18"/>
  <c r="D40" i="18"/>
  <c r="C40" i="18"/>
  <c r="D39" i="18"/>
  <c r="C39" i="18"/>
  <c r="E39" i="18" s="1"/>
  <c r="D38" i="18"/>
  <c r="C38" i="18"/>
  <c r="D37" i="18"/>
  <c r="C37" i="18"/>
  <c r="D36" i="18"/>
  <c r="C36" i="18"/>
  <c r="C33" i="18"/>
  <c r="D32" i="18"/>
  <c r="C32" i="18"/>
  <c r="E31" i="18"/>
  <c r="E30" i="18"/>
  <c r="E29" i="18"/>
  <c r="E28" i="18"/>
  <c r="E27" i="18"/>
  <c r="E26" i="18"/>
  <c r="E25" i="18"/>
  <c r="D22" i="18"/>
  <c r="D21" i="18"/>
  <c r="C21" i="18"/>
  <c r="C283" i="18" s="1"/>
  <c r="E20" i="18"/>
  <c r="E19" i="18"/>
  <c r="E18" i="18"/>
  <c r="E17" i="18"/>
  <c r="E16" i="18"/>
  <c r="E15" i="18"/>
  <c r="E14" i="18"/>
  <c r="E335" i="17"/>
  <c r="F335" i="17" s="1"/>
  <c r="F334" i="17"/>
  <c r="E334" i="17"/>
  <c r="F333" i="17"/>
  <c r="E333" i="17"/>
  <c r="F332" i="17"/>
  <c r="E332" i="17"/>
  <c r="E331" i="17"/>
  <c r="F331" i="17" s="1"/>
  <c r="E330" i="17"/>
  <c r="F330" i="17" s="1"/>
  <c r="F329" i="17"/>
  <c r="E329" i="17"/>
  <c r="F316" i="17"/>
  <c r="E316" i="17"/>
  <c r="D311" i="17"/>
  <c r="C311" i="17"/>
  <c r="F311" i="17" s="1"/>
  <c r="F308" i="17"/>
  <c r="E308" i="17"/>
  <c r="D307" i="17"/>
  <c r="E307" i="17"/>
  <c r="F307" i="17" s="1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 s="1"/>
  <c r="C250" i="17"/>
  <c r="C306" i="17" s="1"/>
  <c r="E249" i="17"/>
  <c r="F249" i="17"/>
  <c r="E248" i="17"/>
  <c r="F248" i="17" s="1"/>
  <c r="F245" i="17"/>
  <c r="E245" i="17"/>
  <c r="E244" i="17"/>
  <c r="F244" i="17"/>
  <c r="E243" i="17"/>
  <c r="F243" i="17"/>
  <c r="D238" i="17"/>
  <c r="D239" i="17" s="1"/>
  <c r="C238" i="17"/>
  <c r="D237" i="17"/>
  <c r="C237" i="17"/>
  <c r="C239" i="17" s="1"/>
  <c r="E234" i="17"/>
  <c r="F234" i="17"/>
  <c r="E233" i="17"/>
  <c r="F233" i="17" s="1"/>
  <c r="D230" i="17"/>
  <c r="C230" i="17"/>
  <c r="D229" i="17"/>
  <c r="C229" i="17"/>
  <c r="E228" i="17"/>
  <c r="F228" i="17"/>
  <c r="D226" i="17"/>
  <c r="D227" i="17" s="1"/>
  <c r="C226" i="17"/>
  <c r="E226" i="17" s="1"/>
  <c r="C227" i="17"/>
  <c r="E225" i="17"/>
  <c r="F225" i="17" s="1"/>
  <c r="E224" i="17"/>
  <c r="F224" i="17"/>
  <c r="D223" i="17"/>
  <c r="C223" i="17"/>
  <c r="E222" i="17"/>
  <c r="F222" i="17"/>
  <c r="E221" i="17"/>
  <c r="F221" i="17" s="1"/>
  <c r="D204" i="17"/>
  <c r="C204" i="17"/>
  <c r="C285" i="17" s="1"/>
  <c r="D203" i="17"/>
  <c r="C203" i="17"/>
  <c r="D198" i="17"/>
  <c r="C198" i="17"/>
  <c r="C290" i="17"/>
  <c r="D191" i="17"/>
  <c r="C191" i="17"/>
  <c r="D189" i="17"/>
  <c r="E189" i="17"/>
  <c r="C189" i="17"/>
  <c r="D188" i="17"/>
  <c r="C188" i="17"/>
  <c r="F180" i="17"/>
  <c r="D180" i="17"/>
  <c r="C180" i="17"/>
  <c r="C181" i="17" s="1"/>
  <c r="F179" i="17"/>
  <c r="D179" i="17"/>
  <c r="C179" i="17"/>
  <c r="F181" i="17"/>
  <c r="F171" i="17"/>
  <c r="D171" i="17"/>
  <c r="D172" i="17"/>
  <c r="C171" i="17"/>
  <c r="C172" i="17" s="1"/>
  <c r="D170" i="17"/>
  <c r="E170" i="17" s="1"/>
  <c r="C170" i="17"/>
  <c r="F170" i="17" s="1"/>
  <c r="F169" i="17"/>
  <c r="E169" i="17"/>
  <c r="F168" i="17"/>
  <c r="E168" i="17"/>
  <c r="D165" i="17"/>
  <c r="E165" i="17" s="1"/>
  <c r="C165" i="17"/>
  <c r="F165" i="17" s="1"/>
  <c r="F164" i="17"/>
  <c r="D164" i="17"/>
  <c r="E164" i="17" s="1"/>
  <c r="C164" i="17"/>
  <c r="F163" i="17"/>
  <c r="E163" i="17"/>
  <c r="F158" i="17"/>
  <c r="D158" i="17"/>
  <c r="D159" i="17" s="1"/>
  <c r="C158" i="17"/>
  <c r="C159" i="17"/>
  <c r="F159" i="17" s="1"/>
  <c r="F157" i="17"/>
  <c r="E157" i="17"/>
  <c r="F156" i="17"/>
  <c r="E156" i="17"/>
  <c r="F155" i="17"/>
  <c r="D155" i="17"/>
  <c r="E155" i="17" s="1"/>
  <c r="C155" i="17"/>
  <c r="F154" i="17"/>
  <c r="E154" i="17"/>
  <c r="F153" i="17"/>
  <c r="E153" i="17"/>
  <c r="D145" i="17"/>
  <c r="E145" i="17"/>
  <c r="F145" i="17" s="1"/>
  <c r="C145" i="17"/>
  <c r="D144" i="17"/>
  <c r="D146" i="17"/>
  <c r="E146" i="17" s="1"/>
  <c r="C144" i="17"/>
  <c r="C146" i="17" s="1"/>
  <c r="D136" i="17"/>
  <c r="D137" i="17" s="1"/>
  <c r="C136" i="17"/>
  <c r="C137" i="17"/>
  <c r="D135" i="17"/>
  <c r="E135" i="17" s="1"/>
  <c r="F135" i="17" s="1"/>
  <c r="C135" i="17"/>
  <c r="E134" i="17"/>
  <c r="F134" i="17" s="1"/>
  <c r="E133" i="17"/>
  <c r="F133" i="17"/>
  <c r="D130" i="17"/>
  <c r="E130" i="17"/>
  <c r="F130" i="17" s="1"/>
  <c r="C130" i="17"/>
  <c r="D129" i="17"/>
  <c r="E129" i="17" s="1"/>
  <c r="C129" i="17"/>
  <c r="E128" i="17"/>
  <c r="F128" i="17"/>
  <c r="D123" i="17"/>
  <c r="C123" i="17"/>
  <c r="C193" i="17"/>
  <c r="E122" i="17"/>
  <c r="F122" i="17" s="1"/>
  <c r="E121" i="17"/>
  <c r="F121" i="17"/>
  <c r="D120" i="17"/>
  <c r="E120" i="17"/>
  <c r="C120" i="17"/>
  <c r="E119" i="17"/>
  <c r="F119" i="17" s="1"/>
  <c r="E118" i="17"/>
  <c r="F118" i="17"/>
  <c r="D110" i="17"/>
  <c r="C110" i="17"/>
  <c r="D109" i="17"/>
  <c r="D111" i="17" s="1"/>
  <c r="C109" i="17"/>
  <c r="D101" i="17"/>
  <c r="D102" i="17" s="1"/>
  <c r="C101" i="17"/>
  <c r="D100" i="17"/>
  <c r="F100" i="17"/>
  <c r="C100" i="17"/>
  <c r="E100" i="17" s="1"/>
  <c r="E99" i="17"/>
  <c r="F99" i="17" s="1"/>
  <c r="E98" i="17"/>
  <c r="F98" i="17"/>
  <c r="D95" i="17"/>
  <c r="E95" i="17" s="1"/>
  <c r="F95" i="17" s="1"/>
  <c r="C95" i="17"/>
  <c r="D94" i="17"/>
  <c r="E94" i="17" s="1"/>
  <c r="C94" i="17"/>
  <c r="E93" i="17"/>
  <c r="F93" i="17"/>
  <c r="D88" i="17"/>
  <c r="D89" i="17" s="1"/>
  <c r="C88" i="17"/>
  <c r="C89" i="17"/>
  <c r="C90" i="17" s="1"/>
  <c r="E87" i="17"/>
  <c r="F87" i="17" s="1"/>
  <c r="E86" i="17"/>
  <c r="F86" i="17"/>
  <c r="D85" i="17"/>
  <c r="E85" i="17" s="1"/>
  <c r="C85" i="17"/>
  <c r="E84" i="17"/>
  <c r="F84" i="17" s="1"/>
  <c r="E83" i="17"/>
  <c r="F83" i="17"/>
  <c r="D76" i="17"/>
  <c r="D77" i="17"/>
  <c r="C76" i="17"/>
  <c r="C77" i="17" s="1"/>
  <c r="E74" i="17"/>
  <c r="F74" i="17" s="1"/>
  <c r="E73" i="17"/>
  <c r="F73" i="17"/>
  <c r="D67" i="17"/>
  <c r="C67" i="17"/>
  <c r="D66" i="17"/>
  <c r="D68" i="17" s="1"/>
  <c r="E68" i="17" s="1"/>
  <c r="F68" i="17" s="1"/>
  <c r="C66" i="17"/>
  <c r="C68" i="17"/>
  <c r="D59" i="17"/>
  <c r="E59" i="17" s="1"/>
  <c r="C59" i="17"/>
  <c r="C60" i="17"/>
  <c r="D58" i="17"/>
  <c r="E58" i="17" s="1"/>
  <c r="F58" i="17" s="1"/>
  <c r="C58" i="17"/>
  <c r="E57" i="17"/>
  <c r="F57" i="17"/>
  <c r="E56" i="17"/>
  <c r="F56" i="17" s="1"/>
  <c r="D53" i="17"/>
  <c r="C53" i="17"/>
  <c r="D52" i="17"/>
  <c r="E52" i="17" s="1"/>
  <c r="F52" i="17" s="1"/>
  <c r="C52" i="17"/>
  <c r="E51" i="17"/>
  <c r="F51" i="17"/>
  <c r="D47" i="17"/>
  <c r="D48" i="17" s="1"/>
  <c r="C47" i="17"/>
  <c r="C48" i="17"/>
  <c r="E46" i="17"/>
  <c r="F46" i="17" s="1"/>
  <c r="E45" i="17"/>
  <c r="F45" i="17"/>
  <c r="D44" i="17"/>
  <c r="C44" i="17"/>
  <c r="E43" i="17"/>
  <c r="F43" i="17"/>
  <c r="E42" i="17"/>
  <c r="F42" i="17" s="1"/>
  <c r="D36" i="17"/>
  <c r="C36" i="17"/>
  <c r="D35" i="17"/>
  <c r="D37" i="17" s="1"/>
  <c r="C35" i="17"/>
  <c r="D30" i="17"/>
  <c r="E30" i="17" s="1"/>
  <c r="C30" i="17"/>
  <c r="C31" i="17" s="1"/>
  <c r="D29" i="17"/>
  <c r="C29" i="17"/>
  <c r="E28" i="17"/>
  <c r="F28" i="17" s="1"/>
  <c r="E27" i="17"/>
  <c r="F27" i="17"/>
  <c r="D24" i="17"/>
  <c r="C24" i="17"/>
  <c r="D23" i="17"/>
  <c r="C23" i="17"/>
  <c r="E23" i="17" s="1"/>
  <c r="E22" i="17"/>
  <c r="F22" i="17" s="1"/>
  <c r="D20" i="17"/>
  <c r="C20" i="17"/>
  <c r="E19" i="17"/>
  <c r="F19" i="17" s="1"/>
  <c r="E18" i="17"/>
  <c r="F18" i="17" s="1"/>
  <c r="D17" i="17"/>
  <c r="C17" i="17"/>
  <c r="E16" i="17"/>
  <c r="F16" i="17" s="1"/>
  <c r="E15" i="17"/>
  <c r="F15" i="17" s="1"/>
  <c r="D21" i="16"/>
  <c r="E21" i="16"/>
  <c r="F21" i="16"/>
  <c r="C21" i="16"/>
  <c r="E20" i="16"/>
  <c r="F20" i="16" s="1"/>
  <c r="D17" i="16"/>
  <c r="C17" i="16"/>
  <c r="F16" i="16"/>
  <c r="E16" i="16"/>
  <c r="D13" i="16"/>
  <c r="E13" i="16"/>
  <c r="F13" i="16" s="1"/>
  <c r="C13" i="16"/>
  <c r="F12" i="16"/>
  <c r="E12" i="16"/>
  <c r="D107" i="15"/>
  <c r="E107" i="15" s="1"/>
  <c r="C107" i="15"/>
  <c r="F106" i="15"/>
  <c r="E106" i="15"/>
  <c r="E105" i="15"/>
  <c r="F105" i="15" s="1"/>
  <c r="F104" i="15"/>
  <c r="E104" i="15"/>
  <c r="D100" i="15"/>
  <c r="E100" i="15"/>
  <c r="F100" i="15" s="1"/>
  <c r="C100" i="15"/>
  <c r="E99" i="15"/>
  <c r="F99" i="15" s="1"/>
  <c r="F98" i="15"/>
  <c r="E98" i="15"/>
  <c r="F97" i="15"/>
  <c r="E97" i="15"/>
  <c r="F96" i="15"/>
  <c r="E96" i="15"/>
  <c r="E95" i="15"/>
  <c r="F95" i="15" s="1"/>
  <c r="D92" i="15"/>
  <c r="E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E73" i="15"/>
  <c r="D70" i="15"/>
  <c r="F70" i="15"/>
  <c r="C70" i="15"/>
  <c r="E70" i="15" s="1"/>
  <c r="E69" i="15"/>
  <c r="F69" i="15" s="1"/>
  <c r="F68" i="15"/>
  <c r="E68" i="15"/>
  <c r="D65" i="15"/>
  <c r="C65" i="15"/>
  <c r="E64" i="15"/>
  <c r="F64" i="15" s="1"/>
  <c r="F63" i="15"/>
  <c r="E63" i="15"/>
  <c r="D60" i="15"/>
  <c r="C60" i="15"/>
  <c r="F60" i="15" s="1"/>
  <c r="F59" i="15"/>
  <c r="E59" i="15"/>
  <c r="F58" i="15"/>
  <c r="E58" i="15"/>
  <c r="E60" i="15" s="1"/>
  <c r="D55" i="15"/>
  <c r="E55" i="15" s="1"/>
  <c r="C55" i="15"/>
  <c r="F55" i="15" s="1"/>
  <c r="F54" i="15"/>
  <c r="E54" i="15"/>
  <c r="F53" i="15"/>
  <c r="E53" i="15"/>
  <c r="D50" i="15"/>
  <c r="E50" i="15"/>
  <c r="C50" i="15"/>
  <c r="F50" i="15" s="1"/>
  <c r="F49" i="15"/>
  <c r="E49" i="15"/>
  <c r="F48" i="15"/>
  <c r="E48" i="15"/>
  <c r="D45" i="15"/>
  <c r="E45" i="15" s="1"/>
  <c r="C45" i="15"/>
  <c r="F45" i="15" s="1"/>
  <c r="F44" i="15"/>
  <c r="E44" i="15"/>
  <c r="F43" i="15"/>
  <c r="E43" i="15"/>
  <c r="D37" i="15"/>
  <c r="E37" i="15"/>
  <c r="C37" i="15"/>
  <c r="F37" i="15" s="1"/>
  <c r="F36" i="15"/>
  <c r="E36" i="15"/>
  <c r="F35" i="15"/>
  <c r="E35" i="15"/>
  <c r="F34" i="15"/>
  <c r="E34" i="15"/>
  <c r="F33" i="15"/>
  <c r="E33" i="15"/>
  <c r="D30" i="15"/>
  <c r="E30" i="15" s="1"/>
  <c r="C30" i="15"/>
  <c r="F30" i="15" s="1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E20" i="15"/>
  <c r="F20" i="15" s="1"/>
  <c r="F19" i="15"/>
  <c r="E19" i="15"/>
  <c r="D16" i="15"/>
  <c r="E16" i="15"/>
  <c r="F16" i="15"/>
  <c r="C16" i="15"/>
  <c r="F15" i="15"/>
  <c r="E15" i="15"/>
  <c r="F14" i="15"/>
  <c r="E14" i="15"/>
  <c r="E13" i="15"/>
  <c r="F13" i="15" s="1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F33" i="14"/>
  <c r="E17" i="14"/>
  <c r="E31" i="14"/>
  <c r="D17" i="14"/>
  <c r="D33" i="14"/>
  <c r="D36" i="14"/>
  <c r="D38" i="14" s="1"/>
  <c r="D40" i="14" s="1"/>
  <c r="C17" i="14"/>
  <c r="C33" i="14" s="1"/>
  <c r="C31" i="14"/>
  <c r="I16" i="14"/>
  <c r="H16" i="14"/>
  <c r="I15" i="14"/>
  <c r="H15" i="14"/>
  <c r="I13" i="14"/>
  <c r="H13" i="14"/>
  <c r="I11" i="14"/>
  <c r="H11" i="14"/>
  <c r="E79" i="13"/>
  <c r="D79" i="13"/>
  <c r="C79" i="13"/>
  <c r="C80" i="13" s="1"/>
  <c r="E78" i="13"/>
  <c r="D78" i="13"/>
  <c r="D80" i="13"/>
  <c r="D77" i="13"/>
  <c r="C78" i="13"/>
  <c r="C77" i="13"/>
  <c r="E73" i="13"/>
  <c r="E75" i="13" s="1"/>
  <c r="D73" i="13"/>
  <c r="D75" i="13" s="1"/>
  <c r="C73" i="13"/>
  <c r="C75" i="13" s="1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9" i="13"/>
  <c r="E61" i="13"/>
  <c r="E57" i="13" s="1"/>
  <c r="C57" i="13"/>
  <c r="E58" i="13"/>
  <c r="D58" i="13"/>
  <c r="C58" i="13"/>
  <c r="E55" i="13"/>
  <c r="D55" i="13"/>
  <c r="D50" i="13" s="1"/>
  <c r="C55" i="13"/>
  <c r="E54" i="13"/>
  <c r="E50" i="13"/>
  <c r="D54" i="13"/>
  <c r="C54" i="13"/>
  <c r="C50" i="13"/>
  <c r="E48" i="13"/>
  <c r="E42" i="13" s="1"/>
  <c r="C48" i="13"/>
  <c r="C42" i="13" s="1"/>
  <c r="E46" i="13"/>
  <c r="D46" i="13"/>
  <c r="D59" i="13"/>
  <c r="D61" i="13" s="1"/>
  <c r="D57" i="13" s="1"/>
  <c r="C46" i="13"/>
  <c r="C59" i="13" s="1"/>
  <c r="C61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25" i="13"/>
  <c r="E27" i="13" s="1"/>
  <c r="E15" i="13"/>
  <c r="E13" i="13"/>
  <c r="D13" i="13"/>
  <c r="D25" i="13" s="1"/>
  <c r="D27" i="13"/>
  <c r="C13" i="13"/>
  <c r="D47" i="12"/>
  <c r="C47" i="12"/>
  <c r="F47" i="12" s="1"/>
  <c r="F46" i="12"/>
  <c r="E46" i="12"/>
  <c r="F45" i="12"/>
  <c r="E45" i="12"/>
  <c r="D40" i="12"/>
  <c r="E40" i="12" s="1"/>
  <c r="C40" i="12"/>
  <c r="F39" i="12"/>
  <c r="E39" i="12"/>
  <c r="F38" i="12"/>
  <c r="E38" i="12"/>
  <c r="F37" i="12"/>
  <c r="E37" i="12"/>
  <c r="D32" i="12"/>
  <c r="E32" i="12"/>
  <c r="F32" i="12"/>
  <c r="C32" i="12"/>
  <c r="E31" i="12"/>
  <c r="F31" i="12" s="1"/>
  <c r="E30" i="12"/>
  <c r="F30" i="12" s="1"/>
  <c r="F29" i="12"/>
  <c r="E29" i="12"/>
  <c r="F28" i="12"/>
  <c r="E28" i="12"/>
  <c r="F27" i="12"/>
  <c r="E27" i="12"/>
  <c r="E26" i="12"/>
  <c r="F26" i="12" s="1"/>
  <c r="F25" i="12"/>
  <c r="E25" i="12"/>
  <c r="F24" i="12"/>
  <c r="E24" i="12"/>
  <c r="F23" i="12"/>
  <c r="E23" i="12"/>
  <c r="E19" i="12"/>
  <c r="F19" i="12" s="1"/>
  <c r="E18" i="12"/>
  <c r="F18" i="12" s="1"/>
  <c r="F16" i="12"/>
  <c r="E16" i="12"/>
  <c r="D15" i="12"/>
  <c r="E15" i="12" s="1"/>
  <c r="C15" i="12"/>
  <c r="C17" i="12" s="1"/>
  <c r="F14" i="12"/>
  <c r="E14" i="12"/>
  <c r="F13" i="12"/>
  <c r="E13" i="12"/>
  <c r="E12" i="12"/>
  <c r="F12" i="12" s="1"/>
  <c r="F11" i="12"/>
  <c r="E11" i="12"/>
  <c r="D73" i="11"/>
  <c r="C73" i="11"/>
  <c r="E72" i="11"/>
  <c r="F72" i="11" s="1"/>
  <c r="F71" i="11"/>
  <c r="E71" i="11"/>
  <c r="E70" i="11"/>
  <c r="F70" i="11" s="1"/>
  <c r="F67" i="11"/>
  <c r="E67" i="11"/>
  <c r="E64" i="11"/>
  <c r="F64" i="11" s="1"/>
  <c r="F63" i="11"/>
  <c r="E63" i="11"/>
  <c r="D61" i="11"/>
  <c r="D65" i="11"/>
  <c r="D75" i="11" s="1"/>
  <c r="E65" i="11"/>
  <c r="C61" i="11"/>
  <c r="C65" i="11" s="1"/>
  <c r="E60" i="11"/>
  <c r="F60" i="11" s="1"/>
  <c r="F59" i="11"/>
  <c r="E59" i="11"/>
  <c r="D56" i="11"/>
  <c r="C56" i="11"/>
  <c r="F55" i="11"/>
  <c r="E55" i="11"/>
  <c r="E54" i="11"/>
  <c r="F54" i="11"/>
  <c r="F53" i="11"/>
  <c r="E53" i="11"/>
  <c r="F52" i="11"/>
  <c r="E52" i="11"/>
  <c r="F51" i="11"/>
  <c r="E51" i="11"/>
  <c r="A52" i="11"/>
  <c r="A53" i="11" s="1"/>
  <c r="A54" i="11"/>
  <c r="A55" i="11" s="1"/>
  <c r="E50" i="11"/>
  <c r="F50" i="11" s="1"/>
  <c r="A50" i="11"/>
  <c r="A51" i="11" s="1"/>
  <c r="E49" i="11"/>
  <c r="F49" i="11" s="1"/>
  <c r="E40" i="11"/>
  <c r="F40" i="11" s="1"/>
  <c r="D38" i="11"/>
  <c r="D41" i="11"/>
  <c r="E41" i="11"/>
  <c r="C38" i="11"/>
  <c r="C41" i="11" s="1"/>
  <c r="E37" i="11"/>
  <c r="F37" i="11" s="1"/>
  <c r="F36" i="11"/>
  <c r="E36" i="11"/>
  <c r="E33" i="11"/>
  <c r="F33" i="11" s="1"/>
  <c r="F32" i="11"/>
  <c r="E32" i="11"/>
  <c r="F31" i="11"/>
  <c r="E31" i="11"/>
  <c r="D29" i="11"/>
  <c r="E29" i="11" s="1"/>
  <c r="F29" i="11"/>
  <c r="C29" i="11"/>
  <c r="F28" i="11"/>
  <c r="E28" i="11"/>
  <c r="F27" i="11"/>
  <c r="E27" i="11"/>
  <c r="F26" i="11"/>
  <c r="E26" i="11"/>
  <c r="F25" i="11"/>
  <c r="E25" i="11"/>
  <c r="D22" i="11"/>
  <c r="D43" i="11" s="1"/>
  <c r="E43" i="11" s="1"/>
  <c r="F43" i="11" s="1"/>
  <c r="C22" i="11"/>
  <c r="C43" i="11" s="1"/>
  <c r="F21" i="11"/>
  <c r="E21" i="11"/>
  <c r="F20" i="11"/>
  <c r="E20" i="11"/>
  <c r="E19" i="11"/>
  <c r="F19" i="11" s="1"/>
  <c r="F18" i="11"/>
  <c r="E18" i="11"/>
  <c r="F17" i="11"/>
  <c r="E17" i="11"/>
  <c r="F16" i="11"/>
  <c r="E16" i="11"/>
  <c r="E15" i="11"/>
  <c r="F15" i="11" s="1"/>
  <c r="F14" i="11"/>
  <c r="E14" i="11"/>
  <c r="E13" i="11"/>
  <c r="F13" i="11" s="1"/>
  <c r="D120" i="10"/>
  <c r="E120" i="10" s="1"/>
  <c r="C120" i="10"/>
  <c r="D119" i="10"/>
  <c r="E119" i="10" s="1"/>
  <c r="F119" i="10" s="1"/>
  <c r="C119" i="10"/>
  <c r="D118" i="10"/>
  <c r="E118" i="10" s="1"/>
  <c r="C118" i="10"/>
  <c r="D117" i="10"/>
  <c r="E117" i="10" s="1"/>
  <c r="F117" i="10" s="1"/>
  <c r="C117" i="10"/>
  <c r="D116" i="10"/>
  <c r="E116" i="10"/>
  <c r="C116" i="10"/>
  <c r="D115" i="10"/>
  <c r="E115" i="10"/>
  <c r="F115" i="10" s="1"/>
  <c r="C115" i="10"/>
  <c r="D114" i="10"/>
  <c r="E114" i="10"/>
  <c r="C114" i="10"/>
  <c r="F114" i="10" s="1"/>
  <c r="D113" i="10"/>
  <c r="D122" i="10" s="1"/>
  <c r="E122" i="10" s="1"/>
  <c r="F122" i="10" s="1"/>
  <c r="C113" i="10"/>
  <c r="C122" i="10"/>
  <c r="D112" i="10"/>
  <c r="D121" i="10" s="1"/>
  <c r="C112" i="10"/>
  <c r="C121" i="10" s="1"/>
  <c r="D108" i="10"/>
  <c r="C108" i="10"/>
  <c r="D107" i="10"/>
  <c r="F107" i="10"/>
  <c r="C107" i="10"/>
  <c r="E107" i="10" s="1"/>
  <c r="F106" i="10"/>
  <c r="E106" i="10"/>
  <c r="F105" i="10"/>
  <c r="E105" i="10"/>
  <c r="E104" i="10"/>
  <c r="F104" i="10" s="1"/>
  <c r="F103" i="10"/>
  <c r="E103" i="10"/>
  <c r="F102" i="10"/>
  <c r="E102" i="10"/>
  <c r="F101" i="10"/>
  <c r="E101" i="10"/>
  <c r="E100" i="10"/>
  <c r="F100" i="10" s="1"/>
  <c r="E99" i="10"/>
  <c r="F99" i="10" s="1"/>
  <c r="F98" i="10"/>
  <c r="E98" i="10"/>
  <c r="D96" i="10"/>
  <c r="E96" i="10" s="1"/>
  <c r="C96" i="10"/>
  <c r="D95" i="10"/>
  <c r="E95" i="10"/>
  <c r="F95" i="10"/>
  <c r="C95" i="10"/>
  <c r="E94" i="10"/>
  <c r="F94" i="10" s="1"/>
  <c r="E93" i="10"/>
  <c r="F93" i="10" s="1"/>
  <c r="F92" i="10"/>
  <c r="E92" i="10"/>
  <c r="F91" i="10"/>
  <c r="E91" i="10"/>
  <c r="F90" i="10"/>
  <c r="E90" i="10"/>
  <c r="E89" i="10"/>
  <c r="F89" i="10" s="1"/>
  <c r="F88" i="10"/>
  <c r="E88" i="10"/>
  <c r="F87" i="10"/>
  <c r="E87" i="10"/>
  <c r="E86" i="10"/>
  <c r="F86" i="10" s="1"/>
  <c r="D84" i="10"/>
  <c r="C84" i="10"/>
  <c r="D83" i="10"/>
  <c r="C83" i="10"/>
  <c r="F83" i="10" s="1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 s="1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D59" i="10"/>
  <c r="E59" i="10"/>
  <c r="C59" i="10"/>
  <c r="F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 s="1"/>
  <c r="C48" i="10"/>
  <c r="F47" i="10"/>
  <c r="D47" i="10"/>
  <c r="E47" i="10" s="1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E35" i="10" s="1"/>
  <c r="C35" i="10"/>
  <c r="E34" i="10"/>
  <c r="F34" i="10" s="1"/>
  <c r="F33" i="10"/>
  <c r="E33" i="10"/>
  <c r="F32" i="10"/>
  <c r="E32" i="10"/>
  <c r="F31" i="10"/>
  <c r="E31" i="10"/>
  <c r="E30" i="10"/>
  <c r="F30" i="10" s="1"/>
  <c r="F29" i="10"/>
  <c r="E29" i="10"/>
  <c r="F28" i="10"/>
  <c r="E28" i="10"/>
  <c r="E27" i="10"/>
  <c r="F27" i="10" s="1"/>
  <c r="E26" i="10"/>
  <c r="F26" i="10" s="1"/>
  <c r="F24" i="10"/>
  <c r="D24" i="10"/>
  <c r="E24" i="10" s="1"/>
  <c r="C24" i="10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C205" i="9"/>
  <c r="D204" i="9"/>
  <c r="E204" i="9" s="1"/>
  <c r="C204" i="9"/>
  <c r="D203" i="9"/>
  <c r="E203" i="9" s="1"/>
  <c r="C203" i="9"/>
  <c r="D202" i="9"/>
  <c r="C202" i="9"/>
  <c r="D201" i="9"/>
  <c r="E201" i="9" s="1"/>
  <c r="C201" i="9"/>
  <c r="D200" i="9"/>
  <c r="E200" i="9"/>
  <c r="C200" i="9"/>
  <c r="D199" i="9"/>
  <c r="C199" i="9"/>
  <c r="C208" i="9"/>
  <c r="D198" i="9"/>
  <c r="C198" i="9"/>
  <c r="D193" i="9"/>
  <c r="E193" i="9" s="1"/>
  <c r="C193" i="9"/>
  <c r="F193" i="9" s="1"/>
  <c r="F192" i="9"/>
  <c r="D192" i="9"/>
  <c r="E192" i="9" s="1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 s="1"/>
  <c r="C180" i="9"/>
  <c r="F179" i="9"/>
  <c r="D179" i="9"/>
  <c r="C179" i="9"/>
  <c r="E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 s="1"/>
  <c r="C167" i="9"/>
  <c r="D166" i="9"/>
  <c r="E166" i="9" s="1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F141" i="9"/>
  <c r="C141" i="9"/>
  <c r="E141" i="9" s="1"/>
  <c r="D140" i="9"/>
  <c r="E140" i="9"/>
  <c r="F140" i="9"/>
  <c r="C140" i="9"/>
  <c r="E139" i="9"/>
  <c r="F139" i="9" s="1"/>
  <c r="E138" i="9"/>
  <c r="F138" i="9" s="1"/>
  <c r="E137" i="9"/>
  <c r="F137" i="9" s="1"/>
  <c r="F136" i="9"/>
  <c r="E136" i="9"/>
  <c r="E135" i="9"/>
  <c r="F135" i="9" s="1"/>
  <c r="F134" i="9"/>
  <c r="E134" i="9"/>
  <c r="E133" i="9"/>
  <c r="F133" i="9" s="1"/>
  <c r="F132" i="9"/>
  <c r="E132" i="9"/>
  <c r="E131" i="9"/>
  <c r="F131" i="9" s="1"/>
  <c r="D128" i="9"/>
  <c r="E128" i="9"/>
  <c r="C128" i="9"/>
  <c r="D127" i="9"/>
  <c r="E127" i="9" s="1"/>
  <c r="C127" i="9"/>
  <c r="F126" i="9"/>
  <c r="E126" i="9"/>
  <c r="E125" i="9"/>
  <c r="F125" i="9" s="1"/>
  <c r="F124" i="9"/>
  <c r="E124" i="9"/>
  <c r="E123" i="9"/>
  <c r="F123" i="9" s="1"/>
  <c r="F122" i="9"/>
  <c r="E122" i="9"/>
  <c r="E121" i="9"/>
  <c r="F121" i="9" s="1"/>
  <c r="F120" i="9"/>
  <c r="E120" i="9"/>
  <c r="E119" i="9"/>
  <c r="F119" i="9" s="1"/>
  <c r="F118" i="9"/>
  <c r="E118" i="9"/>
  <c r="D115" i="9"/>
  <c r="E115" i="9"/>
  <c r="F115" i="9"/>
  <c r="C115" i="9"/>
  <c r="D114" i="9"/>
  <c r="C114" i="9"/>
  <c r="E113" i="9"/>
  <c r="F113" i="9" s="1"/>
  <c r="F112" i="9"/>
  <c r="E112" i="9"/>
  <c r="E111" i="9"/>
  <c r="F111" i="9" s="1"/>
  <c r="F110" i="9"/>
  <c r="E110" i="9"/>
  <c r="E109" i="9"/>
  <c r="F109" i="9" s="1"/>
  <c r="F108" i="9"/>
  <c r="E108" i="9"/>
  <c r="E107" i="9"/>
  <c r="F107" i="9" s="1"/>
  <c r="E106" i="9"/>
  <c r="F106" i="9" s="1"/>
  <c r="E105" i="9"/>
  <c r="F105" i="9" s="1"/>
  <c r="D102" i="9"/>
  <c r="C102" i="9"/>
  <c r="D101" i="9"/>
  <c r="E101" i="9" s="1"/>
  <c r="C101" i="9"/>
  <c r="F100" i="9"/>
  <c r="E100" i="9"/>
  <c r="E99" i="9"/>
  <c r="F99" i="9" s="1"/>
  <c r="E98" i="9"/>
  <c r="F98" i="9" s="1"/>
  <c r="E97" i="9"/>
  <c r="F97" i="9" s="1"/>
  <c r="F96" i="9"/>
  <c r="E96" i="9"/>
  <c r="E95" i="9"/>
  <c r="F95" i="9" s="1"/>
  <c r="F94" i="9"/>
  <c r="E94" i="9"/>
  <c r="E93" i="9"/>
  <c r="F93" i="9" s="1"/>
  <c r="F92" i="9"/>
  <c r="E92" i="9"/>
  <c r="D89" i="9"/>
  <c r="C89" i="9"/>
  <c r="F89" i="9" s="1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C76" i="9"/>
  <c r="D75" i="9"/>
  <c r="E75" i="9" s="1"/>
  <c r="C75" i="9"/>
  <c r="E74" i="9"/>
  <c r="F74" i="9" s="1"/>
  <c r="E73" i="9"/>
  <c r="F73" i="9" s="1"/>
  <c r="F72" i="9"/>
  <c r="E72" i="9"/>
  <c r="E71" i="9"/>
  <c r="F71" i="9" s="1"/>
  <c r="F70" i="9"/>
  <c r="E70" i="9"/>
  <c r="E69" i="9"/>
  <c r="F69" i="9" s="1"/>
  <c r="F68" i="9"/>
  <c r="E68" i="9"/>
  <c r="E67" i="9"/>
  <c r="F67" i="9" s="1"/>
  <c r="E66" i="9"/>
  <c r="F66" i="9" s="1"/>
  <c r="F63" i="9"/>
  <c r="D63" i="9"/>
  <c r="E63" i="9"/>
  <c r="C63" i="9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E49" i="9" s="1"/>
  <c r="C49" i="9"/>
  <c r="F48" i="9"/>
  <c r="E48" i="9"/>
  <c r="E47" i="9"/>
  <c r="F47" i="9" s="1"/>
  <c r="E46" i="9"/>
  <c r="F46" i="9" s="1"/>
  <c r="E45" i="9"/>
  <c r="F45" i="9" s="1"/>
  <c r="F44" i="9"/>
  <c r="E44" i="9"/>
  <c r="E43" i="9"/>
  <c r="F43" i="9" s="1"/>
  <c r="F42" i="9"/>
  <c r="E42" i="9"/>
  <c r="E41" i="9"/>
  <c r="F41" i="9" s="1"/>
  <c r="F40" i="9"/>
  <c r="E40" i="9"/>
  <c r="D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C24" i="9"/>
  <c r="D23" i="9"/>
  <c r="C23" i="9"/>
  <c r="F22" i="9"/>
  <c r="E22" i="9"/>
  <c r="E21" i="9"/>
  <c r="F21" i="9" s="1"/>
  <c r="F20" i="9"/>
  <c r="E20" i="9"/>
  <c r="E19" i="9"/>
  <c r="F19" i="9" s="1"/>
  <c r="E18" i="9"/>
  <c r="F18" i="9" s="1"/>
  <c r="E17" i="9"/>
  <c r="F17" i="9" s="1"/>
  <c r="F16" i="9"/>
  <c r="E16" i="9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D164" i="8"/>
  <c r="D160" i="8" s="1"/>
  <c r="D166" i="8" s="1"/>
  <c r="D154" i="8" s="1"/>
  <c r="C164" i="8"/>
  <c r="C160" i="8" s="1"/>
  <c r="C166" i="8" s="1"/>
  <c r="C155" i="8" s="1"/>
  <c r="E162" i="8"/>
  <c r="D162" i="8"/>
  <c r="C162" i="8"/>
  <c r="E161" i="8"/>
  <c r="D161" i="8"/>
  <c r="C161" i="8"/>
  <c r="E166" i="8"/>
  <c r="E147" i="8"/>
  <c r="E143" i="8" s="1"/>
  <c r="E149" i="8" s="1"/>
  <c r="D147" i="8"/>
  <c r="D143" i="8" s="1"/>
  <c r="D149" i="8" s="1"/>
  <c r="D138" i="8" s="1"/>
  <c r="C147" i="8"/>
  <c r="E145" i="8"/>
  <c r="D145" i="8"/>
  <c r="C145" i="8"/>
  <c r="E144" i="8"/>
  <c r="D144" i="8"/>
  <c r="C144" i="8"/>
  <c r="C143" i="8"/>
  <c r="C149" i="8" s="1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/>
  <c r="D106" i="8" s="1"/>
  <c r="C107" i="8"/>
  <c r="C109" i="8" s="1"/>
  <c r="C106" i="8"/>
  <c r="E104" i="8"/>
  <c r="C104" i="8"/>
  <c r="E102" i="8"/>
  <c r="D102" i="8"/>
  <c r="D104" i="8"/>
  <c r="C102" i="8"/>
  <c r="E100" i="8"/>
  <c r="D100" i="8"/>
  <c r="C100" i="8"/>
  <c r="E95" i="8"/>
  <c r="E94" i="8" s="1"/>
  <c r="D95" i="8"/>
  <c r="D94" i="8" s="1"/>
  <c r="C95" i="8"/>
  <c r="C94" i="8" s="1"/>
  <c r="E89" i="8"/>
  <c r="D89" i="8"/>
  <c r="C89" i="8"/>
  <c r="C90" i="8" s="1"/>
  <c r="C86" i="8" s="1"/>
  <c r="E87" i="8"/>
  <c r="D87" i="8"/>
  <c r="C87" i="8"/>
  <c r="E84" i="8"/>
  <c r="D84" i="8"/>
  <c r="C84" i="8"/>
  <c r="C79" i="8" s="1"/>
  <c r="E83" i="8"/>
  <c r="E79" i="8"/>
  <c r="D83" i="8"/>
  <c r="D79" i="8" s="1"/>
  <c r="C83" i="8"/>
  <c r="E71" i="8"/>
  <c r="C77" i="8"/>
  <c r="C71" i="8" s="1"/>
  <c r="E75" i="8"/>
  <c r="E77" i="8" s="1"/>
  <c r="E88" i="8"/>
  <c r="E90" i="8"/>
  <c r="E86" i="8" s="1"/>
  <c r="D75" i="8"/>
  <c r="D88" i="8"/>
  <c r="D90" i="8"/>
  <c r="D86" i="8"/>
  <c r="C75" i="8"/>
  <c r="C88" i="8"/>
  <c r="E74" i="8"/>
  <c r="D74" i="8"/>
  <c r="C74" i="8"/>
  <c r="E67" i="8"/>
  <c r="D67" i="8"/>
  <c r="C67" i="8"/>
  <c r="E38" i="8"/>
  <c r="E57" i="8"/>
  <c r="E62" i="8" s="1"/>
  <c r="D38" i="8"/>
  <c r="D53" i="8" s="1"/>
  <c r="C38" i="8"/>
  <c r="E33" i="8"/>
  <c r="E34" i="8" s="1"/>
  <c r="D33" i="8"/>
  <c r="D34" i="8" s="1"/>
  <c r="E26" i="8"/>
  <c r="D26" i="8"/>
  <c r="C26" i="8"/>
  <c r="E27" i="8"/>
  <c r="E22" i="8" s="1"/>
  <c r="C25" i="8"/>
  <c r="C27" i="8"/>
  <c r="E15" i="8"/>
  <c r="E24" i="8"/>
  <c r="C15" i="8"/>
  <c r="E13" i="8"/>
  <c r="E25" i="8" s="1"/>
  <c r="D13" i="8"/>
  <c r="D25" i="8"/>
  <c r="D27" i="8"/>
  <c r="C13" i="8"/>
  <c r="F186" i="7"/>
  <c r="E186" i="7"/>
  <c r="D183" i="7"/>
  <c r="C183" i="7"/>
  <c r="E182" i="7"/>
  <c r="F182" i="7" s="1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E170" i="7"/>
  <c r="F170" i="7" s="1"/>
  <c r="D167" i="7"/>
  <c r="C167" i="7"/>
  <c r="C188" i="7" s="1"/>
  <c r="E166" i="7"/>
  <c r="F166" i="7" s="1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E157" i="7"/>
  <c r="F157" i="7" s="1"/>
  <c r="F156" i="7"/>
  <c r="E156" i="7"/>
  <c r="E155" i="7"/>
  <c r="F155" i="7" s="1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E146" i="7"/>
  <c r="F146" i="7" s="1"/>
  <c r="E145" i="7"/>
  <c r="F145" i="7" s="1"/>
  <c r="F144" i="7"/>
  <c r="E144" i="7"/>
  <c r="F143" i="7"/>
  <c r="E143" i="7"/>
  <c r="F142" i="7"/>
  <c r="E142" i="7"/>
  <c r="E141" i="7"/>
  <c r="F141" i="7" s="1"/>
  <c r="F140" i="7"/>
  <c r="E140" i="7"/>
  <c r="F139" i="7"/>
  <c r="E139" i="7"/>
  <c r="E138" i="7"/>
  <c r="F138" i="7" s="1"/>
  <c r="E137" i="7"/>
  <c r="F137" i="7" s="1"/>
  <c r="F136" i="7"/>
  <c r="E136" i="7"/>
  <c r="E135" i="7"/>
  <c r="F135" i="7" s="1"/>
  <c r="F134" i="7"/>
  <c r="E134" i="7"/>
  <c r="E133" i="7"/>
  <c r="F133" i="7" s="1"/>
  <c r="D130" i="7"/>
  <c r="C130" i="7"/>
  <c r="F129" i="7"/>
  <c r="E129" i="7"/>
  <c r="E128" i="7"/>
  <c r="F128" i="7" s="1"/>
  <c r="F127" i="7"/>
  <c r="E127" i="7"/>
  <c r="E126" i="7"/>
  <c r="F126" i="7" s="1"/>
  <c r="F125" i="7"/>
  <c r="E125" i="7"/>
  <c r="E124" i="7"/>
  <c r="F124" i="7" s="1"/>
  <c r="D121" i="7"/>
  <c r="C121" i="7"/>
  <c r="F120" i="7"/>
  <c r="E120" i="7"/>
  <c r="E119" i="7"/>
  <c r="F119" i="7" s="1"/>
  <c r="F118" i="7"/>
  <c r="E118" i="7"/>
  <c r="E117" i="7"/>
  <c r="F117" i="7" s="1"/>
  <c r="E116" i="7"/>
  <c r="F116" i="7" s="1"/>
  <c r="E115" i="7"/>
  <c r="F115" i="7" s="1"/>
  <c r="F114" i="7"/>
  <c r="E114" i="7"/>
  <c r="E113" i="7"/>
  <c r="F113" i="7" s="1"/>
  <c r="E112" i="7"/>
  <c r="F112" i="7" s="1"/>
  <c r="E111" i="7"/>
  <c r="F111" i="7" s="1"/>
  <c r="F110" i="7"/>
  <c r="E110" i="7"/>
  <c r="E109" i="7"/>
  <c r="F109" i="7" s="1"/>
  <c r="E108" i="7"/>
  <c r="F108" i="7" s="1"/>
  <c r="E107" i="7"/>
  <c r="F107" i="7" s="1"/>
  <c r="F106" i="7"/>
  <c r="E106" i="7"/>
  <c r="E105" i="7"/>
  <c r="F105" i="7" s="1"/>
  <c r="F104" i="7"/>
  <c r="E104" i="7"/>
  <c r="E103" i="7"/>
  <c r="F103" i="7" s="1"/>
  <c r="F93" i="7"/>
  <c r="E93" i="7"/>
  <c r="D90" i="7"/>
  <c r="C90" i="7"/>
  <c r="F89" i="7"/>
  <c r="E89" i="7"/>
  <c r="E88" i="7"/>
  <c r="F88" i="7" s="1"/>
  <c r="E87" i="7"/>
  <c r="F87" i="7" s="1"/>
  <c r="F86" i="7"/>
  <c r="E86" i="7"/>
  <c r="F85" i="7"/>
  <c r="E85" i="7"/>
  <c r="E84" i="7"/>
  <c r="F84" i="7" s="1"/>
  <c r="F83" i="7"/>
  <c r="E83" i="7"/>
  <c r="F82" i="7"/>
  <c r="E82" i="7"/>
  <c r="F81" i="7"/>
  <c r="E81" i="7"/>
  <c r="E80" i="7"/>
  <c r="F80" i="7" s="1"/>
  <c r="F79" i="7"/>
  <c r="E79" i="7"/>
  <c r="F78" i="7"/>
  <c r="E78" i="7"/>
  <c r="F77" i="7"/>
  <c r="E77" i="7"/>
  <c r="E76" i="7"/>
  <c r="F76" i="7" s="1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C41" i="7"/>
  <c r="F40" i="7"/>
  <c r="E40" i="7"/>
  <c r="E39" i="7"/>
  <c r="F39" i="7" s="1"/>
  <c r="F38" i="7"/>
  <c r="E38" i="7"/>
  <c r="D35" i="7"/>
  <c r="E35" i="7" s="1"/>
  <c r="F35" i="7" s="1"/>
  <c r="C35" i="7"/>
  <c r="E34" i="7"/>
  <c r="F34" i="7" s="1"/>
  <c r="F33" i="7"/>
  <c r="E33" i="7"/>
  <c r="D30" i="7"/>
  <c r="E30" i="7"/>
  <c r="F30" i="7" s="1"/>
  <c r="C30" i="7"/>
  <c r="F29" i="7"/>
  <c r="E29" i="7"/>
  <c r="F28" i="7"/>
  <c r="E28" i="7"/>
  <c r="F27" i="7"/>
  <c r="E27" i="7"/>
  <c r="D24" i="7"/>
  <c r="C24" i="7"/>
  <c r="F23" i="7"/>
  <c r="E23" i="7"/>
  <c r="F22" i="7"/>
  <c r="E22" i="7"/>
  <c r="F21" i="7"/>
  <c r="E21" i="7"/>
  <c r="D18" i="7"/>
  <c r="E18" i="7" s="1"/>
  <c r="F18" i="7" s="1"/>
  <c r="C18" i="7"/>
  <c r="F17" i="7"/>
  <c r="E17" i="7"/>
  <c r="F16" i="7"/>
  <c r="E16" i="7"/>
  <c r="E15" i="7"/>
  <c r="F15" i="7" s="1"/>
  <c r="D179" i="6"/>
  <c r="C179" i="6"/>
  <c r="F178" i="6"/>
  <c r="E178" i="6"/>
  <c r="F177" i="6"/>
  <c r="E177" i="6"/>
  <c r="F176" i="6"/>
  <c r="E176" i="6"/>
  <c r="E175" i="6"/>
  <c r="F175" i="6" s="1"/>
  <c r="F174" i="6"/>
  <c r="E174" i="6"/>
  <c r="E173" i="6"/>
  <c r="F173" i="6" s="1"/>
  <c r="F172" i="6"/>
  <c r="E172" i="6"/>
  <c r="E171" i="6"/>
  <c r="F171" i="6" s="1"/>
  <c r="F170" i="6"/>
  <c r="E170" i="6"/>
  <c r="E169" i="6"/>
  <c r="F169" i="6" s="1"/>
  <c r="F168" i="6"/>
  <c r="E168" i="6"/>
  <c r="D166" i="6"/>
  <c r="E166" i="6"/>
  <c r="F166" i="6" s="1"/>
  <c r="C166" i="6"/>
  <c r="E165" i="6"/>
  <c r="F165" i="6" s="1"/>
  <c r="F164" i="6"/>
  <c r="E164" i="6"/>
  <c r="E163" i="6"/>
  <c r="F163" i="6" s="1"/>
  <c r="F162" i="6"/>
  <c r="E162" i="6"/>
  <c r="E161" i="6"/>
  <c r="F161" i="6" s="1"/>
  <c r="F160" i="6"/>
  <c r="E160" i="6"/>
  <c r="E159" i="6"/>
  <c r="F159" i="6" s="1"/>
  <c r="F158" i="6"/>
  <c r="E158" i="6"/>
  <c r="E157" i="6"/>
  <c r="F157" i="6" s="1"/>
  <c r="F156" i="6"/>
  <c r="E156" i="6"/>
  <c r="E155" i="6"/>
  <c r="F155" i="6" s="1"/>
  <c r="D153" i="6"/>
  <c r="E153" i="6" s="1"/>
  <c r="C153" i="6"/>
  <c r="F153" i="6" s="1"/>
  <c r="F152" i="6"/>
  <c r="E152" i="6"/>
  <c r="F151" i="6"/>
  <c r="E151" i="6"/>
  <c r="F150" i="6"/>
  <c r="E150" i="6"/>
  <c r="E149" i="6"/>
  <c r="F149" i="6" s="1"/>
  <c r="F148" i="6"/>
  <c r="E148" i="6"/>
  <c r="F147" i="6"/>
  <c r="E147" i="6"/>
  <c r="F146" i="6"/>
  <c r="E146" i="6"/>
  <c r="E145" i="6"/>
  <c r="F145" i="6" s="1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E134" i="6"/>
  <c r="F134" i="6" s="1"/>
  <c r="F133" i="6"/>
  <c r="E133" i="6"/>
  <c r="F132" i="6"/>
  <c r="E132" i="6"/>
  <c r="F131" i="6"/>
  <c r="E131" i="6"/>
  <c r="E130" i="6"/>
  <c r="F130" i="6" s="1"/>
  <c r="F129" i="6"/>
  <c r="E129" i="6"/>
  <c r="F128" i="6"/>
  <c r="E128" i="6"/>
  <c r="F127" i="6"/>
  <c r="E127" i="6"/>
  <c r="E126" i="6"/>
  <c r="F126" i="6" s="1"/>
  <c r="D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 s="1"/>
  <c r="F111" i="6" s="1"/>
  <c r="C111" i="6"/>
  <c r="F110" i="6"/>
  <c r="E110" i="6"/>
  <c r="F109" i="6"/>
  <c r="E109" i="6"/>
  <c r="E108" i="6"/>
  <c r="F108" i="6" s="1"/>
  <c r="F107" i="6"/>
  <c r="E107" i="6"/>
  <c r="F106" i="6"/>
  <c r="E106" i="6"/>
  <c r="F105" i="6"/>
  <c r="E105" i="6"/>
  <c r="E104" i="6"/>
  <c r="F104" i="6" s="1"/>
  <c r="F103" i="6"/>
  <c r="E103" i="6"/>
  <c r="E102" i="6"/>
  <c r="F102" i="6" s="1"/>
  <c r="F101" i="6"/>
  <c r="E101" i="6"/>
  <c r="E100" i="6"/>
  <c r="F100" i="6" s="1"/>
  <c r="D94" i="6"/>
  <c r="C94" i="6"/>
  <c r="F93" i="6"/>
  <c r="D93" i="6"/>
  <c r="C93" i="6"/>
  <c r="E93" i="6" s="1"/>
  <c r="D92" i="6"/>
  <c r="E92" i="6" s="1"/>
  <c r="F92" i="6" s="1"/>
  <c r="C92" i="6"/>
  <c r="D91" i="6"/>
  <c r="E91" i="6" s="1"/>
  <c r="F91" i="6"/>
  <c r="C91" i="6"/>
  <c r="D90" i="6"/>
  <c r="C90" i="6"/>
  <c r="D89" i="6"/>
  <c r="C89" i="6"/>
  <c r="D88" i="6"/>
  <c r="E88" i="6" s="1"/>
  <c r="C88" i="6"/>
  <c r="F88" i="6" s="1"/>
  <c r="D87" i="6"/>
  <c r="E87" i="6" s="1"/>
  <c r="F87" i="6"/>
  <c r="C87" i="6"/>
  <c r="D86" i="6"/>
  <c r="C86" i="6"/>
  <c r="D85" i="6"/>
  <c r="C85" i="6"/>
  <c r="D84" i="6"/>
  <c r="C84" i="6"/>
  <c r="D81" i="6"/>
  <c r="E81" i="6" s="1"/>
  <c r="F81" i="6" s="1"/>
  <c r="C81" i="6"/>
  <c r="F80" i="6"/>
  <c r="E80" i="6"/>
  <c r="F79" i="6"/>
  <c r="E79" i="6"/>
  <c r="F78" i="6"/>
  <c r="E78" i="6"/>
  <c r="F77" i="6"/>
  <c r="E77" i="6"/>
  <c r="F76" i="6"/>
  <c r="E76" i="6"/>
  <c r="E75" i="6"/>
  <c r="F75" i="6" s="1"/>
  <c r="F74" i="6"/>
  <c r="E74" i="6"/>
  <c r="F73" i="6"/>
  <c r="E73" i="6"/>
  <c r="F72" i="6"/>
  <c r="E72" i="6"/>
  <c r="E71" i="6"/>
  <c r="F71" i="6" s="1"/>
  <c r="F70" i="6"/>
  <c r="E70" i="6"/>
  <c r="D68" i="6"/>
  <c r="E68" i="6" s="1"/>
  <c r="C68" i="6"/>
  <c r="F67" i="6"/>
  <c r="E67" i="6"/>
  <c r="F66" i="6"/>
  <c r="E66" i="6"/>
  <c r="E65" i="6"/>
  <c r="F65" i="6"/>
  <c r="E64" i="6"/>
  <c r="F64" i="6" s="1"/>
  <c r="E63" i="6"/>
  <c r="F63" i="6"/>
  <c r="E62" i="6"/>
  <c r="F62" i="6" s="1"/>
  <c r="E61" i="6"/>
  <c r="F61" i="6" s="1"/>
  <c r="E60" i="6"/>
  <c r="F60" i="6" s="1"/>
  <c r="E59" i="6"/>
  <c r="F59" i="6" s="1"/>
  <c r="E58" i="6"/>
  <c r="F58" i="6" s="1"/>
  <c r="E57" i="6"/>
  <c r="F57" i="6" s="1"/>
  <c r="D51" i="6"/>
  <c r="C51" i="6"/>
  <c r="F51" i="6"/>
  <c r="D50" i="6"/>
  <c r="E50" i="6" s="1"/>
  <c r="C50" i="6"/>
  <c r="F50" i="6" s="1"/>
  <c r="D49" i="6"/>
  <c r="C49" i="6"/>
  <c r="D48" i="6"/>
  <c r="C48" i="6"/>
  <c r="D47" i="6"/>
  <c r="C47" i="6"/>
  <c r="E47" i="6" s="1"/>
  <c r="D46" i="6"/>
  <c r="E46" i="6" s="1"/>
  <c r="C46" i="6"/>
  <c r="D45" i="6"/>
  <c r="C45" i="6"/>
  <c r="D44" i="6"/>
  <c r="C44" i="6"/>
  <c r="D43" i="6"/>
  <c r="C43" i="6"/>
  <c r="D42" i="6"/>
  <c r="E42" i="6" s="1"/>
  <c r="F42" i="6" s="1"/>
  <c r="C42" i="6"/>
  <c r="D41" i="6"/>
  <c r="D52" i="6"/>
  <c r="C41" i="6"/>
  <c r="D38" i="6"/>
  <c r="C38" i="6"/>
  <c r="F37" i="6"/>
  <c r="E37" i="6"/>
  <c r="F36" i="6"/>
  <c r="E36" i="6"/>
  <c r="E35" i="6"/>
  <c r="F35" i="6" s="1"/>
  <c r="E34" i="6"/>
  <c r="F34" i="6"/>
  <c r="E33" i="6"/>
  <c r="F33" i="6"/>
  <c r="E32" i="6"/>
  <c r="F32" i="6"/>
  <c r="E31" i="6"/>
  <c r="F31" i="6" s="1"/>
  <c r="E30" i="6"/>
  <c r="F30" i="6"/>
  <c r="E29" i="6"/>
  <c r="F29" i="6" s="1"/>
  <c r="E28" i="6"/>
  <c r="F28" i="6"/>
  <c r="E27" i="6"/>
  <c r="F27" i="6" s="1"/>
  <c r="D25" i="6"/>
  <c r="C25" i="6"/>
  <c r="E25" i="6" s="1"/>
  <c r="F24" i="6"/>
  <c r="E24" i="6"/>
  <c r="F23" i="6"/>
  <c r="E23" i="6"/>
  <c r="E22" i="6"/>
  <c r="F22" i="6" s="1"/>
  <c r="E21" i="6"/>
  <c r="F21" i="6"/>
  <c r="E20" i="6"/>
  <c r="F20" i="6"/>
  <c r="E19" i="6"/>
  <c r="F19" i="6"/>
  <c r="E18" i="6"/>
  <c r="F18" i="6" s="1"/>
  <c r="E17" i="6"/>
  <c r="F17" i="6"/>
  <c r="E16" i="6"/>
  <c r="F16" i="6"/>
  <c r="E15" i="6"/>
  <c r="F15" i="6"/>
  <c r="E14" i="6"/>
  <c r="F14" i="6" s="1"/>
  <c r="E51" i="5"/>
  <c r="F51" i="5" s="1"/>
  <c r="F48" i="5"/>
  <c r="D48" i="5"/>
  <c r="E48" i="5" s="1"/>
  <c r="C48" i="5"/>
  <c r="F47" i="5"/>
  <c r="E47" i="5"/>
  <c r="F46" i="5"/>
  <c r="E46" i="5"/>
  <c r="D41" i="5"/>
  <c r="E41" i="5"/>
  <c r="C41" i="5"/>
  <c r="F40" i="5"/>
  <c r="E40" i="5"/>
  <c r="F39" i="5"/>
  <c r="E39" i="5"/>
  <c r="E38" i="5"/>
  <c r="F38" i="5" s="1"/>
  <c r="D33" i="5"/>
  <c r="E33" i="5"/>
  <c r="F33" i="5" s="1"/>
  <c r="C33" i="5"/>
  <c r="E32" i="5"/>
  <c r="F32" i="5" s="1"/>
  <c r="F31" i="5"/>
  <c r="E31" i="5"/>
  <c r="E30" i="5"/>
  <c r="F30" i="5" s="1"/>
  <c r="F29" i="5"/>
  <c r="E29" i="5"/>
  <c r="E28" i="5"/>
  <c r="F28" i="5" s="1"/>
  <c r="E27" i="5"/>
  <c r="F27" i="5" s="1"/>
  <c r="E26" i="5"/>
  <c r="F26" i="5" s="1"/>
  <c r="F25" i="5"/>
  <c r="E25" i="5"/>
  <c r="E24" i="5"/>
  <c r="F24" i="5" s="1"/>
  <c r="F20" i="5"/>
  <c r="E20" i="5"/>
  <c r="E19" i="5"/>
  <c r="F19" i="5" s="1"/>
  <c r="F17" i="5"/>
  <c r="E17" i="5"/>
  <c r="D16" i="5"/>
  <c r="D18" i="5"/>
  <c r="C16" i="5"/>
  <c r="C18" i="5" s="1"/>
  <c r="C21" i="5" s="1"/>
  <c r="F15" i="5"/>
  <c r="E15" i="5"/>
  <c r="F14" i="5"/>
  <c r="E14" i="5"/>
  <c r="E13" i="5"/>
  <c r="F13" i="5" s="1"/>
  <c r="F12" i="5"/>
  <c r="E12" i="5"/>
  <c r="D73" i="4"/>
  <c r="C73" i="4"/>
  <c r="E73" i="4" s="1"/>
  <c r="E72" i="4"/>
  <c r="F72" i="4" s="1"/>
  <c r="E71" i="4"/>
  <c r="F71" i="4" s="1"/>
  <c r="F70" i="4"/>
  <c r="E70" i="4"/>
  <c r="F67" i="4"/>
  <c r="E67" i="4"/>
  <c r="E64" i="4"/>
  <c r="F64" i="4" s="1"/>
  <c r="E63" i="4"/>
  <c r="F63" i="4" s="1"/>
  <c r="D61" i="4"/>
  <c r="D65" i="4" s="1"/>
  <c r="C61" i="4"/>
  <c r="C65" i="4"/>
  <c r="E60" i="4"/>
  <c r="F60" i="4" s="1"/>
  <c r="E59" i="4"/>
  <c r="F59" i="4" s="1"/>
  <c r="D56" i="4"/>
  <c r="C56" i="4"/>
  <c r="C75" i="4" s="1"/>
  <c r="F55" i="4"/>
  <c r="E55" i="4"/>
  <c r="E54" i="4"/>
  <c r="F54" i="4"/>
  <c r="E53" i="4"/>
  <c r="F53" i="4" s="1"/>
  <c r="E52" i="4"/>
  <c r="F52" i="4"/>
  <c r="F51" i="4"/>
  <c r="E51" i="4"/>
  <c r="A51" i="4"/>
  <c r="A52" i="4" s="1"/>
  <c r="A53" i="4" s="1"/>
  <c r="A54" i="4" s="1"/>
  <c r="A55" i="4" s="1"/>
  <c r="E50" i="4"/>
  <c r="F50" i="4"/>
  <c r="A50" i="4"/>
  <c r="E49" i="4"/>
  <c r="F49" i="4" s="1"/>
  <c r="E40" i="4"/>
  <c r="F40" i="4" s="1"/>
  <c r="D38" i="4"/>
  <c r="D41" i="4"/>
  <c r="E41" i="4" s="1"/>
  <c r="F41" i="4" s="1"/>
  <c r="C38" i="4"/>
  <c r="C41" i="4" s="1"/>
  <c r="E37" i="4"/>
  <c r="F37" i="4" s="1"/>
  <c r="E36" i="4"/>
  <c r="F36" i="4" s="1"/>
  <c r="F33" i="4"/>
  <c r="E33" i="4"/>
  <c r="F32" i="4"/>
  <c r="E32" i="4"/>
  <c r="E31" i="4"/>
  <c r="F31" i="4" s="1"/>
  <c r="D29" i="4"/>
  <c r="E29" i="4" s="1"/>
  <c r="F29" i="4"/>
  <c r="C29" i="4"/>
  <c r="C43" i="4" s="1"/>
  <c r="F28" i="4"/>
  <c r="E28" i="4"/>
  <c r="F27" i="4"/>
  <c r="E27" i="4"/>
  <c r="F26" i="4"/>
  <c r="E26" i="4"/>
  <c r="F25" i="4"/>
  <c r="E25" i="4"/>
  <c r="D22" i="4"/>
  <c r="D43" i="4" s="1"/>
  <c r="E43" i="4" s="1"/>
  <c r="F43" i="4" s="1"/>
  <c r="C22" i="4"/>
  <c r="F21" i="4"/>
  <c r="E21" i="4"/>
  <c r="F20" i="4"/>
  <c r="E20" i="4"/>
  <c r="F19" i="4"/>
  <c r="E19" i="4"/>
  <c r="E18" i="4"/>
  <c r="F18" i="4" s="1"/>
  <c r="F17" i="4"/>
  <c r="E17" i="4"/>
  <c r="E16" i="4"/>
  <c r="F16" i="4" s="1"/>
  <c r="F15" i="4"/>
  <c r="E15" i="4"/>
  <c r="F14" i="4"/>
  <c r="E14" i="4"/>
  <c r="F13" i="4"/>
  <c r="E13" i="4"/>
  <c r="D109" i="22"/>
  <c r="E109" i="22"/>
  <c r="E108" i="22"/>
  <c r="E223" i="17"/>
  <c r="D22" i="22"/>
  <c r="C23" i="22"/>
  <c r="E23" i="22"/>
  <c r="E36" i="22" s="1"/>
  <c r="C34" i="22"/>
  <c r="E34" i="22"/>
  <c r="D101" i="22"/>
  <c r="D103" i="22" s="1"/>
  <c r="C22" i="22"/>
  <c r="E22" i="22"/>
  <c r="D46" i="22"/>
  <c r="F21" i="21"/>
  <c r="D41" i="20"/>
  <c r="E17" i="17"/>
  <c r="F17" i="17" s="1"/>
  <c r="E67" i="17"/>
  <c r="F67" i="17" s="1"/>
  <c r="E19" i="20"/>
  <c r="E43" i="20"/>
  <c r="E36" i="17"/>
  <c r="F36" i="17" s="1"/>
  <c r="E44" i="17"/>
  <c r="E24" i="17"/>
  <c r="E29" i="17"/>
  <c r="D192" i="17"/>
  <c r="E192" i="17" s="1"/>
  <c r="E229" i="17"/>
  <c r="E230" i="17"/>
  <c r="E238" i="17"/>
  <c r="E294" i="17"/>
  <c r="E295" i="17"/>
  <c r="E296" i="17"/>
  <c r="E298" i="17"/>
  <c r="E299" i="17"/>
  <c r="F299" i="17" s="1"/>
  <c r="C22" i="18"/>
  <c r="C284" i="18" s="1"/>
  <c r="E22" i="18"/>
  <c r="E32" i="18"/>
  <c r="E36" i="18"/>
  <c r="E54" i="18"/>
  <c r="C289" i="18"/>
  <c r="E289" i="18"/>
  <c r="C71" i="18"/>
  <c r="C65" i="18"/>
  <c r="C66" i="18" s="1"/>
  <c r="C295" i="18" s="1"/>
  <c r="E60" i="18"/>
  <c r="E70" i="18"/>
  <c r="E240" i="18"/>
  <c r="E244" i="18"/>
  <c r="E53" i="17"/>
  <c r="E21" i="18"/>
  <c r="D157" i="18"/>
  <c r="C144" i="18"/>
  <c r="E144" i="18" s="1"/>
  <c r="D145" i="18"/>
  <c r="D169" i="18" s="1"/>
  <c r="C175" i="18"/>
  <c r="E175" i="18"/>
  <c r="C261" i="18"/>
  <c r="C189" i="18"/>
  <c r="E188" i="18"/>
  <c r="D260" i="18"/>
  <c r="E260" i="18" s="1"/>
  <c r="E195" i="18"/>
  <c r="D217" i="18"/>
  <c r="E220" i="18"/>
  <c r="E233" i="18"/>
  <c r="D239" i="18"/>
  <c r="C242" i="18"/>
  <c r="E242" i="18"/>
  <c r="D243" i="18"/>
  <c r="D252" i="18" s="1"/>
  <c r="E302" i="18"/>
  <c r="C303" i="18"/>
  <c r="C306" i="18"/>
  <c r="C310" i="18"/>
  <c r="E139" i="18"/>
  <c r="E205" i="18"/>
  <c r="C211" i="18"/>
  <c r="E216" i="18"/>
  <c r="E218" i="18"/>
  <c r="C229" i="18"/>
  <c r="E229" i="18"/>
  <c r="E231" i="18"/>
  <c r="D234" i="18"/>
  <c r="E234" i="18" s="1"/>
  <c r="D245" i="18"/>
  <c r="D320" i="18"/>
  <c r="E320" i="18" s="1"/>
  <c r="E316" i="18"/>
  <c r="E326" i="18"/>
  <c r="D330" i="18"/>
  <c r="D222" i="18"/>
  <c r="E265" i="18"/>
  <c r="E314" i="18"/>
  <c r="E324" i="18"/>
  <c r="D90" i="17"/>
  <c r="E90" i="17" s="1"/>
  <c r="F90" i="17" s="1"/>
  <c r="E48" i="17"/>
  <c r="F48" i="17" s="1"/>
  <c r="C61" i="17"/>
  <c r="C207" i="17"/>
  <c r="E207" i="17" s="1"/>
  <c r="C138" i="17"/>
  <c r="E159" i="17"/>
  <c r="D173" i="17"/>
  <c r="E173" i="17" s="1"/>
  <c r="E172" i="17"/>
  <c r="C32" i="17"/>
  <c r="C160" i="17"/>
  <c r="D103" i="17"/>
  <c r="D207" i="17"/>
  <c r="D138" i="17"/>
  <c r="E137" i="17"/>
  <c r="F137" i="17" s="1"/>
  <c r="F172" i="17"/>
  <c r="C173" i="17"/>
  <c r="F173" i="17"/>
  <c r="D21" i="17"/>
  <c r="F23" i="17"/>
  <c r="F24" i="17"/>
  <c r="F44" i="17"/>
  <c r="F53" i="17"/>
  <c r="E88" i="17"/>
  <c r="F88" i="17" s="1"/>
  <c r="E109" i="17"/>
  <c r="E123" i="17"/>
  <c r="F123" i="17"/>
  <c r="C124" i="17"/>
  <c r="E136" i="17"/>
  <c r="F136" i="17"/>
  <c r="E144" i="17"/>
  <c r="F144" i="17"/>
  <c r="E158" i="17"/>
  <c r="E171" i="17"/>
  <c r="E179" i="17"/>
  <c r="C277" i="17"/>
  <c r="C261" i="17"/>
  <c r="C214" i="17"/>
  <c r="C206" i="17"/>
  <c r="C278" i="17"/>
  <c r="C288" i="17" s="1"/>
  <c r="C262" i="17"/>
  <c r="C255" i="17"/>
  <c r="F255" i="17" s="1"/>
  <c r="C215" i="17"/>
  <c r="C190" i="17"/>
  <c r="C280" i="17"/>
  <c r="C264" i="17"/>
  <c r="C200" i="17"/>
  <c r="C192" i="17"/>
  <c r="E239" i="17"/>
  <c r="E20" i="17"/>
  <c r="F20" i="17"/>
  <c r="C21" i="17"/>
  <c r="F30" i="17"/>
  <c r="C304" i="17"/>
  <c r="E35" i="17"/>
  <c r="F35" i="17" s="1"/>
  <c r="C37" i="17"/>
  <c r="E47" i="17"/>
  <c r="F47" i="17" s="1"/>
  <c r="F59" i="17"/>
  <c r="E66" i="17"/>
  <c r="F66" i="17" s="1"/>
  <c r="E76" i="17"/>
  <c r="F76" i="17"/>
  <c r="D124" i="17"/>
  <c r="D277" i="17"/>
  <c r="D261" i="17"/>
  <c r="D214" i="17"/>
  <c r="D206" i="17"/>
  <c r="E206" i="17" s="1"/>
  <c r="D278" i="17"/>
  <c r="D262" i="17"/>
  <c r="E262" i="17" s="1"/>
  <c r="D215" i="17"/>
  <c r="D190" i="17"/>
  <c r="E190" i="17"/>
  <c r="D280" i="17"/>
  <c r="D193" i="17"/>
  <c r="D266" i="17" s="1"/>
  <c r="D290" i="17"/>
  <c r="E290" i="17" s="1"/>
  <c r="D274" i="17"/>
  <c r="D199" i="17"/>
  <c r="E199" i="17" s="1"/>
  <c r="D283" i="17"/>
  <c r="D267" i="17"/>
  <c r="D285" i="17"/>
  <c r="D286" i="17" s="1"/>
  <c r="E285" i="17"/>
  <c r="F285" i="17" s="1"/>
  <c r="D269" i="17"/>
  <c r="E269" i="17"/>
  <c r="F269" i="17" s="1"/>
  <c r="D205" i="17"/>
  <c r="F223" i="17"/>
  <c r="F230" i="17"/>
  <c r="F238" i="17"/>
  <c r="E198" i="17"/>
  <c r="F198" i="17"/>
  <c r="C199" i="17"/>
  <c r="E203" i="17"/>
  <c r="E204" i="17"/>
  <c r="F204" i="17"/>
  <c r="F226" i="17"/>
  <c r="E237" i="17"/>
  <c r="F237" i="17"/>
  <c r="E250" i="17"/>
  <c r="F250" i="17"/>
  <c r="C267" i="17"/>
  <c r="C269" i="17"/>
  <c r="C274" i="17"/>
  <c r="F294" i="17"/>
  <c r="F295" i="17"/>
  <c r="F296" i="17"/>
  <c r="F298" i="17"/>
  <c r="F107" i="15"/>
  <c r="F36" i="14"/>
  <c r="F38" i="14"/>
  <c r="F40" i="14" s="1"/>
  <c r="D31" i="14"/>
  <c r="F31" i="14"/>
  <c r="H31" i="14" s="1"/>
  <c r="C36" i="14"/>
  <c r="C38" i="14" s="1"/>
  <c r="C40" i="14" s="1"/>
  <c r="E33" i="14"/>
  <c r="E36" i="14"/>
  <c r="E38" i="14"/>
  <c r="E40" i="14" s="1"/>
  <c r="H17" i="14"/>
  <c r="D21" i="13"/>
  <c r="D15" i="13"/>
  <c r="D48" i="13"/>
  <c r="D42" i="13"/>
  <c r="C20" i="12"/>
  <c r="F15" i="12"/>
  <c r="F41" i="11"/>
  <c r="F65" i="11"/>
  <c r="E22" i="11"/>
  <c r="F22" i="11" s="1"/>
  <c r="E38" i="11"/>
  <c r="F38" i="11"/>
  <c r="E56" i="11"/>
  <c r="F56" i="11" s="1"/>
  <c r="E61" i="11"/>
  <c r="F61" i="11"/>
  <c r="F120" i="10"/>
  <c r="E112" i="10"/>
  <c r="F112" i="10"/>
  <c r="E113" i="10"/>
  <c r="F113" i="10"/>
  <c r="F206" i="9"/>
  <c r="E199" i="9"/>
  <c r="F199" i="9" s="1"/>
  <c r="D21" i="8"/>
  <c r="D152" i="8"/>
  <c r="D153" i="8"/>
  <c r="D140" i="8"/>
  <c r="D15" i="8"/>
  <c r="D24" i="8" s="1"/>
  <c r="E17" i="8"/>
  <c r="E43" i="8"/>
  <c r="D49" i="8"/>
  <c r="E53" i="8"/>
  <c r="D77" i="8"/>
  <c r="D71" i="8" s="1"/>
  <c r="E49" i="8"/>
  <c r="E183" i="7"/>
  <c r="F183" i="7" s="1"/>
  <c r="E38" i="6"/>
  <c r="F38" i="6"/>
  <c r="E41" i="6"/>
  <c r="F41" i="6" s="1"/>
  <c r="E43" i="6"/>
  <c r="F43" i="6"/>
  <c r="E44" i="6"/>
  <c r="F44" i="6"/>
  <c r="F46" i="6"/>
  <c r="E48" i="6"/>
  <c r="F48" i="6"/>
  <c r="E51" i="6"/>
  <c r="E84" i="6"/>
  <c r="D21" i="5"/>
  <c r="D35" i="5" s="1"/>
  <c r="E18" i="5"/>
  <c r="F18" i="5" s="1"/>
  <c r="E16" i="5"/>
  <c r="F73" i="4"/>
  <c r="E22" i="4"/>
  <c r="F22" i="4" s="1"/>
  <c r="E53" i="22"/>
  <c r="E45" i="22"/>
  <c r="E29" i="22"/>
  <c r="E55" i="22" s="1"/>
  <c r="E111" i="22"/>
  <c r="D53" i="22"/>
  <c r="D45" i="22"/>
  <c r="D39" i="22"/>
  <c r="D35" i="22"/>
  <c r="D29" i="22"/>
  <c r="D47" i="22" s="1"/>
  <c r="C53" i="22"/>
  <c r="C45" i="22"/>
  <c r="C39" i="22"/>
  <c r="C35" i="22"/>
  <c r="C29" i="22"/>
  <c r="C36" i="22"/>
  <c r="C30" i="22"/>
  <c r="F43" i="20"/>
  <c r="E46" i="20"/>
  <c r="F46" i="20" s="1"/>
  <c r="C77" i="18"/>
  <c r="C127" i="18" s="1"/>
  <c r="D253" i="18"/>
  <c r="D241" i="18"/>
  <c r="C294" i="18"/>
  <c r="D223" i="18"/>
  <c r="C180" i="18"/>
  <c r="C145" i="18"/>
  <c r="C270" i="17"/>
  <c r="D270" i="17"/>
  <c r="E270" i="17"/>
  <c r="E267" i="17"/>
  <c r="E274" i="17"/>
  <c r="F274" i="17" s="1"/>
  <c r="E280" i="17"/>
  <c r="E215" i="17"/>
  <c r="F215" i="17" s="1"/>
  <c r="D255" i="17"/>
  <c r="E255" i="17" s="1"/>
  <c r="D287" i="17"/>
  <c r="D284" i="17"/>
  <c r="D279" i="17"/>
  <c r="E279" i="17" s="1"/>
  <c r="C49" i="17"/>
  <c r="C161" i="17"/>
  <c r="C126" i="17"/>
  <c r="C127" i="17" s="1"/>
  <c r="C91" i="17"/>
  <c r="C300" i="17"/>
  <c r="F190" i="17"/>
  <c r="C216" i="17"/>
  <c r="C268" i="17"/>
  <c r="C263" i="17"/>
  <c r="E138" i="17"/>
  <c r="C62" i="17"/>
  <c r="C175" i="17"/>
  <c r="C140" i="17"/>
  <c r="C174" i="17"/>
  <c r="C139" i="17"/>
  <c r="E37" i="17"/>
  <c r="F37" i="17"/>
  <c r="D272" i="17"/>
  <c r="E272" i="17" s="1"/>
  <c r="F262" i="17"/>
  <c r="D271" i="17"/>
  <c r="D268" i="17"/>
  <c r="E268" i="17" s="1"/>
  <c r="E261" i="17"/>
  <c r="F261" i="17" s="1"/>
  <c r="D263" i="17"/>
  <c r="E263" i="17" s="1"/>
  <c r="F263" i="17" s="1"/>
  <c r="F280" i="17"/>
  <c r="C272" i="17"/>
  <c r="C279" i="17"/>
  <c r="D161" i="17"/>
  <c r="E161" i="17" s="1"/>
  <c r="F161" i="17" s="1"/>
  <c r="D91" i="17"/>
  <c r="F207" i="17"/>
  <c r="D208" i="17"/>
  <c r="C125" i="17"/>
  <c r="F138" i="17"/>
  <c r="C208" i="17"/>
  <c r="C210" i="17" s="1"/>
  <c r="H33" i="14"/>
  <c r="H36" i="14" s="1"/>
  <c r="H38" i="14"/>
  <c r="H40" i="14" s="1"/>
  <c r="D24" i="13"/>
  <c r="D20" i="13"/>
  <c r="D17" i="13"/>
  <c r="D28" i="13"/>
  <c r="D22" i="13" s="1"/>
  <c r="C34" i="12"/>
  <c r="E112" i="8"/>
  <c r="E111" i="8" s="1"/>
  <c r="E28" i="8"/>
  <c r="E99" i="8" s="1"/>
  <c r="E101" i="8" s="1"/>
  <c r="E98" i="8" s="1"/>
  <c r="C35" i="5"/>
  <c r="D55" i="22"/>
  <c r="D37" i="22"/>
  <c r="C55" i="22"/>
  <c r="C47" i="22"/>
  <c r="C37" i="22"/>
  <c r="E47" i="22"/>
  <c r="E37" i="22"/>
  <c r="E112" i="22"/>
  <c r="C125" i="18"/>
  <c r="C123" i="18"/>
  <c r="C114" i="18"/>
  <c r="C126" i="18"/>
  <c r="C124" i="18"/>
  <c r="C113" i="18"/>
  <c r="C111" i="18"/>
  <c r="D92" i="17"/>
  <c r="E91" i="17"/>
  <c r="C141" i="17"/>
  <c r="C92" i="17"/>
  <c r="C162" i="17"/>
  <c r="F270" i="17"/>
  <c r="D304" i="17"/>
  <c r="C176" i="17"/>
  <c r="C211" i="17" s="1"/>
  <c r="D70" i="13"/>
  <c r="D72" i="13"/>
  <c r="D69" i="13"/>
  <c r="C43" i="5"/>
  <c r="C322" i="17"/>
  <c r="C197" i="17"/>
  <c r="E304" i="17"/>
  <c r="F304" i="17" s="1"/>
  <c r="D43" i="5" l="1"/>
  <c r="E35" i="5"/>
  <c r="F35" i="5" s="1"/>
  <c r="E181" i="18"/>
  <c r="E49" i="6"/>
  <c r="F49" i="6" s="1"/>
  <c r="C323" i="17"/>
  <c r="F323" i="17" s="1"/>
  <c r="C183" i="17"/>
  <c r="F183" i="17" s="1"/>
  <c r="E92" i="17"/>
  <c r="F92" i="17" s="1"/>
  <c r="C148" i="17"/>
  <c r="C181" i="18"/>
  <c r="E145" i="18"/>
  <c r="F94" i="6"/>
  <c r="E94" i="6"/>
  <c r="D20" i="8"/>
  <c r="D207" i="9"/>
  <c r="E198" i="9"/>
  <c r="F198" i="9" s="1"/>
  <c r="F84" i="10"/>
  <c r="E84" i="10"/>
  <c r="F239" i="17"/>
  <c r="F267" i="17"/>
  <c r="C95" i="6"/>
  <c r="F84" i="6"/>
  <c r="F202" i="9"/>
  <c r="F176" i="17"/>
  <c r="F268" i="17"/>
  <c r="E278" i="17"/>
  <c r="F278" i="17" s="1"/>
  <c r="D288" i="17"/>
  <c r="E288" i="17" s="1"/>
  <c r="F288" i="17" s="1"/>
  <c r="D95" i="6"/>
  <c r="F128" i="9"/>
  <c r="E60" i="10"/>
  <c r="F60" i="10"/>
  <c r="D110" i="22"/>
  <c r="D112" i="22"/>
  <c r="D108" i="22"/>
  <c r="E101" i="22"/>
  <c r="E102" i="22"/>
  <c r="E45" i="6"/>
  <c r="F45" i="6" s="1"/>
  <c r="D136" i="8"/>
  <c r="D135" i="8"/>
  <c r="D139" i="8"/>
  <c r="D137" i="8"/>
  <c r="C37" i="19"/>
  <c r="C38" i="19" s="1"/>
  <c r="C127" i="19" s="1"/>
  <c r="C129" i="19" s="1"/>
  <c r="C133" i="19" s="1"/>
  <c r="C22" i="19"/>
  <c r="F16" i="20"/>
  <c r="E139" i="8"/>
  <c r="E137" i="8"/>
  <c r="E140" i="8"/>
  <c r="E138" i="8"/>
  <c r="E135" i="8"/>
  <c r="E136" i="8"/>
  <c r="C50" i="5"/>
  <c r="C42" i="12"/>
  <c r="F41" i="7"/>
  <c r="E155" i="8"/>
  <c r="E153" i="8"/>
  <c r="E156" i="8"/>
  <c r="E152" i="8"/>
  <c r="E157" i="8"/>
  <c r="E154" i="8"/>
  <c r="F37" i="9"/>
  <c r="E37" i="9"/>
  <c r="F29" i="17"/>
  <c r="F162" i="17"/>
  <c r="E21" i="5"/>
  <c r="F21" i="5" s="1"/>
  <c r="F279" i="17"/>
  <c r="C63" i="17"/>
  <c r="F90" i="6"/>
  <c r="E24" i="13"/>
  <c r="E20" i="13" s="1"/>
  <c r="E17" i="13"/>
  <c r="E28" i="13" s="1"/>
  <c r="E70" i="13" s="1"/>
  <c r="E72" i="13" s="1"/>
  <c r="E69" i="13" s="1"/>
  <c r="D194" i="17"/>
  <c r="E193" i="17"/>
  <c r="F193" i="17" s="1"/>
  <c r="D282" i="17"/>
  <c r="F160" i="17"/>
  <c r="C140" i="8"/>
  <c r="C137" i="8"/>
  <c r="C136" i="8"/>
  <c r="C139" i="8"/>
  <c r="C135" i="8"/>
  <c r="E214" i="17"/>
  <c r="F214" i="17" s="1"/>
  <c r="D216" i="17"/>
  <c r="E216" i="17" s="1"/>
  <c r="F216" i="17" s="1"/>
  <c r="D254" i="17"/>
  <c r="C235" i="18"/>
  <c r="E211" i="18"/>
  <c r="C157" i="8"/>
  <c r="C154" i="8"/>
  <c r="C153" i="8"/>
  <c r="C152" i="8"/>
  <c r="C156" i="8"/>
  <c r="D66" i="18"/>
  <c r="E65" i="18"/>
  <c r="D157" i="8"/>
  <c r="D155" i="8"/>
  <c r="D158" i="8" s="1"/>
  <c r="D156" i="8"/>
  <c r="D162" i="17"/>
  <c r="D273" i="17"/>
  <c r="C50" i="17"/>
  <c r="E253" i="18"/>
  <c r="D254" i="18"/>
  <c r="F25" i="6"/>
  <c r="C138" i="8"/>
  <c r="C21" i="8"/>
  <c r="C57" i="8"/>
  <c r="C62" i="8" s="1"/>
  <c r="C49" i="8"/>
  <c r="C53" i="8"/>
  <c r="C43" i="8"/>
  <c r="E21" i="13"/>
  <c r="E22" i="13"/>
  <c r="D125" i="17"/>
  <c r="E125" i="17" s="1"/>
  <c r="F125" i="17" s="1"/>
  <c r="D160" i="17"/>
  <c r="E160" i="17" s="1"/>
  <c r="C243" i="18"/>
  <c r="C217" i="18"/>
  <c r="C222" i="18"/>
  <c r="D235" i="18"/>
  <c r="E65" i="4"/>
  <c r="F65" i="4" s="1"/>
  <c r="C52" i="6"/>
  <c r="E52" i="6" s="1"/>
  <c r="F179" i="6"/>
  <c r="C102" i="17"/>
  <c r="E101" i="17"/>
  <c r="F101" i="17" s="1"/>
  <c r="D303" i="18"/>
  <c r="E301" i="18"/>
  <c r="D54" i="22"/>
  <c r="D36" i="22"/>
  <c r="D40" i="22"/>
  <c r="D111" i="22"/>
  <c r="C77" i="22"/>
  <c r="C102" i="22"/>
  <c r="C103" i="22" s="1"/>
  <c r="C209" i="17"/>
  <c r="C38" i="22"/>
  <c r="D17" i="8"/>
  <c r="D49" i="17"/>
  <c r="F91" i="17"/>
  <c r="C46" i="22"/>
  <c r="E40" i="22"/>
  <c r="E61" i="4"/>
  <c r="F61" i="4" s="1"/>
  <c r="E124" i="17"/>
  <c r="F124" i="17" s="1"/>
  <c r="D126" i="17"/>
  <c r="D180" i="18"/>
  <c r="E180" i="18" s="1"/>
  <c r="D30" i="22"/>
  <c r="F86" i="6"/>
  <c r="E73" i="11"/>
  <c r="F73" i="11" s="1"/>
  <c r="F146" i="17"/>
  <c r="C283" i="17"/>
  <c r="C205" i="17"/>
  <c r="C254" i="17"/>
  <c r="F203" i="17"/>
  <c r="D43" i="18"/>
  <c r="E37" i="18"/>
  <c r="F167" i="7"/>
  <c r="C282" i="17"/>
  <c r="C266" i="17"/>
  <c r="C194" i="17"/>
  <c r="C121" i="18"/>
  <c r="C129" i="18" s="1"/>
  <c r="C122" i="18"/>
  <c r="C128" i="18" s="1"/>
  <c r="C112" i="18"/>
  <c r="C115" i="18"/>
  <c r="E46" i="22"/>
  <c r="E21" i="8"/>
  <c r="E210" i="18"/>
  <c r="E39" i="22"/>
  <c r="E35" i="22"/>
  <c r="E110" i="22"/>
  <c r="C95" i="7"/>
  <c r="E90" i="7"/>
  <c r="F90" i="7" s="1"/>
  <c r="C111" i="17"/>
  <c r="E111" i="17" s="1"/>
  <c r="F109" i="17"/>
  <c r="F229" i="17"/>
  <c r="E38" i="18"/>
  <c r="C43" i="18"/>
  <c r="C156" i="18"/>
  <c r="E151" i="18"/>
  <c r="F192" i="17"/>
  <c r="F121" i="7"/>
  <c r="E114" i="9"/>
  <c r="F114" i="9"/>
  <c r="E36" i="10"/>
  <c r="F36" i="10" s="1"/>
  <c r="G31" i="14"/>
  <c r="I31" i="14" s="1"/>
  <c r="G33" i="14"/>
  <c r="I17" i="14"/>
  <c r="E30" i="22"/>
  <c r="F206" i="17"/>
  <c r="C54" i="22"/>
  <c r="C40" i="22"/>
  <c r="E167" i="7"/>
  <c r="E297" i="17"/>
  <c r="F297" i="17"/>
  <c r="C48" i="22"/>
  <c r="F272" i="17"/>
  <c r="F47" i="6"/>
  <c r="F208" i="17"/>
  <c r="C109" i="18"/>
  <c r="C110" i="18"/>
  <c r="C116" i="18" s="1"/>
  <c r="C56" i="22"/>
  <c r="E208" i="17"/>
  <c r="C271" i="17"/>
  <c r="E54" i="22"/>
  <c r="E20" i="8"/>
  <c r="F199" i="17"/>
  <c r="E21" i="17"/>
  <c r="F21" i="17" s="1"/>
  <c r="E277" i="17"/>
  <c r="F277" i="17" s="1"/>
  <c r="C287" i="17"/>
  <c r="D246" i="18"/>
  <c r="D75" i="4"/>
  <c r="E75" i="4" s="1"/>
  <c r="F75" i="4" s="1"/>
  <c r="E56" i="4"/>
  <c r="F56" i="4" s="1"/>
  <c r="E24" i="7"/>
  <c r="F24" i="7" s="1"/>
  <c r="F201" i="9"/>
  <c r="F205" i="9"/>
  <c r="E89" i="17"/>
  <c r="F89" i="17" s="1"/>
  <c r="E130" i="7"/>
  <c r="F130" i="7" s="1"/>
  <c r="D188" i="7"/>
  <c r="E188" i="7" s="1"/>
  <c r="F188" i="7" s="1"/>
  <c r="C24" i="8"/>
  <c r="C20" i="8" s="1"/>
  <c r="C17" i="8"/>
  <c r="E76" i="9"/>
  <c r="F76" i="9" s="1"/>
  <c r="F200" i="9"/>
  <c r="F108" i="10"/>
  <c r="D17" i="12"/>
  <c r="F40" i="12"/>
  <c r="C15" i="13"/>
  <c r="C25" i="13"/>
  <c r="C27" i="13" s="1"/>
  <c r="D31" i="17"/>
  <c r="D60" i="17"/>
  <c r="D294" i="18"/>
  <c r="E294" i="18" s="1"/>
  <c r="D33" i="18"/>
  <c r="D189" i="18"/>
  <c r="E189" i="18" s="1"/>
  <c r="D261" i="18"/>
  <c r="E261" i="18" s="1"/>
  <c r="D95" i="7"/>
  <c r="E95" i="7" s="1"/>
  <c r="E59" i="7"/>
  <c r="F59" i="7" s="1"/>
  <c r="C75" i="11"/>
  <c r="E75" i="11" s="1"/>
  <c r="E180" i="17"/>
  <c r="D181" i="17"/>
  <c r="E181" i="17" s="1"/>
  <c r="E191" i="17"/>
  <c r="F191" i="17" s="1"/>
  <c r="D264" i="17"/>
  <c r="D200" i="17"/>
  <c r="E200" i="17" s="1"/>
  <c r="F200" i="17" s="1"/>
  <c r="E55" i="18"/>
  <c r="D284" i="18"/>
  <c r="E284" i="18" s="1"/>
  <c r="C20" i="20"/>
  <c r="F19" i="20"/>
  <c r="F16" i="5"/>
  <c r="E239" i="18"/>
  <c r="E38" i="4"/>
  <c r="F38" i="4" s="1"/>
  <c r="E89" i="6"/>
  <c r="F89" i="6" s="1"/>
  <c r="E124" i="6"/>
  <c r="F124" i="6" s="1"/>
  <c r="F23" i="9"/>
  <c r="F121" i="10"/>
  <c r="F73" i="15"/>
  <c r="E75" i="15"/>
  <c r="F94" i="17"/>
  <c r="F290" i="17"/>
  <c r="E86" i="6"/>
  <c r="E179" i="6"/>
  <c r="E121" i="7"/>
  <c r="E65" i="15"/>
  <c r="F65" i="15" s="1"/>
  <c r="F92" i="15"/>
  <c r="F120" i="17"/>
  <c r="D76" i="18"/>
  <c r="E219" i="18"/>
  <c r="E282" i="18"/>
  <c r="C39" i="20"/>
  <c r="F25" i="20"/>
  <c r="E40" i="20"/>
  <c r="F40" i="20" s="1"/>
  <c r="C93" i="22"/>
  <c r="F68" i="6"/>
  <c r="E90" i="6"/>
  <c r="E41" i="7"/>
  <c r="D43" i="8"/>
  <c r="D57" i="8"/>
  <c r="D62" i="8" s="1"/>
  <c r="E23" i="9"/>
  <c r="E89" i="9"/>
  <c r="F102" i="9"/>
  <c r="E202" i="9"/>
  <c r="E23" i="15"/>
  <c r="F23" i="15"/>
  <c r="F75" i="15"/>
  <c r="E110" i="17"/>
  <c r="F110" i="17" s="1"/>
  <c r="D283" i="18"/>
  <c r="E283" i="18" s="1"/>
  <c r="E40" i="18"/>
  <c r="E178" i="18"/>
  <c r="E16" i="20"/>
  <c r="F41" i="5"/>
  <c r="E85" i="6"/>
  <c r="F85" i="6" s="1"/>
  <c r="F24" i="9"/>
  <c r="E154" i="9"/>
  <c r="F154" i="9"/>
  <c r="F203" i="9"/>
  <c r="F35" i="10"/>
  <c r="E83" i="10"/>
  <c r="E77" i="17"/>
  <c r="F19" i="21"/>
  <c r="E50" i="9"/>
  <c r="F50" i="9" s="1"/>
  <c r="F75" i="9"/>
  <c r="E102" i="9"/>
  <c r="C207" i="9"/>
  <c r="F204" i="9"/>
  <c r="E121" i="10"/>
  <c r="E47" i="12"/>
  <c r="C65" i="19"/>
  <c r="C114" i="19" s="1"/>
  <c r="C116" i="19" s="1"/>
  <c r="C119" i="19" s="1"/>
  <c r="C123" i="19" s="1"/>
  <c r="F49" i="9"/>
  <c r="F101" i="9"/>
  <c r="F127" i="9"/>
  <c r="E205" i="9"/>
  <c r="F118" i="10"/>
  <c r="F85" i="17"/>
  <c r="F129" i="17"/>
  <c r="E188" i="17"/>
  <c r="F188" i="17" s="1"/>
  <c r="E227" i="17"/>
  <c r="F227" i="17" s="1"/>
  <c r="E311" i="17"/>
  <c r="D168" i="18"/>
  <c r="D46" i="20"/>
  <c r="D208" i="9"/>
  <c r="E208" i="9" s="1"/>
  <c r="F208" i="9" s="1"/>
  <c r="F96" i="10"/>
  <c r="E108" i="10"/>
  <c r="F116" i="10"/>
  <c r="E80" i="13"/>
  <c r="E77" i="13" s="1"/>
  <c r="E17" i="16"/>
  <c r="F17" i="16" s="1"/>
  <c r="F189" i="17"/>
  <c r="C163" i="18"/>
  <c r="E163" i="18" s="1"/>
  <c r="C273" i="17" l="1"/>
  <c r="E271" i="17"/>
  <c r="F271" i="17" s="1"/>
  <c r="F254" i="17"/>
  <c r="E168" i="18"/>
  <c r="C24" i="13"/>
  <c r="C17" i="13"/>
  <c r="C28" i="13" s="1"/>
  <c r="C70" i="13" s="1"/>
  <c r="C72" i="13" s="1"/>
  <c r="C69" i="13" s="1"/>
  <c r="C112" i="8"/>
  <c r="C111" i="8" s="1"/>
  <c r="C28" i="8"/>
  <c r="D306" i="18"/>
  <c r="E303" i="18"/>
  <c r="E217" i="18"/>
  <c r="C241" i="18"/>
  <c r="E241" i="18" s="1"/>
  <c r="C141" i="8"/>
  <c r="E158" i="8"/>
  <c r="D259" i="18"/>
  <c r="E43" i="18"/>
  <c r="C108" i="22"/>
  <c r="C110" i="22"/>
  <c r="C112" i="22"/>
  <c r="C109" i="22"/>
  <c r="C252" i="18"/>
  <c r="E243" i="18"/>
  <c r="D195" i="17"/>
  <c r="E195" i="17" s="1"/>
  <c r="E194" i="17"/>
  <c r="D196" i="17"/>
  <c r="C111" i="22"/>
  <c r="D295" i="18"/>
  <c r="E295" i="18" s="1"/>
  <c r="E33" i="18"/>
  <c r="E17" i="12"/>
  <c r="F17" i="12" s="1"/>
  <c r="D20" i="12"/>
  <c r="C195" i="17"/>
  <c r="F194" i="17"/>
  <c r="D56" i="22"/>
  <c r="D113" i="22"/>
  <c r="D48" i="22"/>
  <c r="D38" i="22"/>
  <c r="C103" i="17"/>
  <c r="E102" i="17"/>
  <c r="F102" i="17" s="1"/>
  <c r="F50" i="5"/>
  <c r="D141" i="8"/>
  <c r="E207" i="9"/>
  <c r="F207" i="9" s="1"/>
  <c r="E20" i="20"/>
  <c r="F20" i="20"/>
  <c r="E113" i="22"/>
  <c r="E38" i="22"/>
  <c r="E56" i="22"/>
  <c r="E48" i="22"/>
  <c r="F266" i="17"/>
  <c r="E49" i="17"/>
  <c r="F49" i="17" s="1"/>
  <c r="D50" i="17"/>
  <c r="C281" i="17"/>
  <c r="C265" i="17"/>
  <c r="E141" i="8"/>
  <c r="C286" i="17"/>
  <c r="C284" i="17"/>
  <c r="E283" i="17"/>
  <c r="F283" i="17" s="1"/>
  <c r="E66" i="18"/>
  <c r="D247" i="18"/>
  <c r="F95" i="7"/>
  <c r="E235" i="18"/>
  <c r="E95" i="6"/>
  <c r="F95" i="6" s="1"/>
  <c r="E39" i="20"/>
  <c r="E41" i="20" s="1"/>
  <c r="C41" i="20"/>
  <c r="F111" i="17"/>
  <c r="F75" i="11"/>
  <c r="E287" i="17"/>
  <c r="F287" i="17" s="1"/>
  <c r="C291" i="17"/>
  <c r="C289" i="17"/>
  <c r="E205" i="17"/>
  <c r="F205" i="17" s="1"/>
  <c r="D28" i="8"/>
  <c r="D112" i="8"/>
  <c r="D111" i="8" s="1"/>
  <c r="F52" i="6"/>
  <c r="C70" i="17"/>
  <c r="E43" i="5"/>
  <c r="F43" i="5" s="1"/>
  <c r="D50" i="5"/>
  <c r="E50" i="5" s="1"/>
  <c r="D61" i="17"/>
  <c r="E60" i="17"/>
  <c r="F60" i="17" s="1"/>
  <c r="G36" i="14"/>
  <c r="G38" i="14" s="1"/>
  <c r="G40" i="14" s="1"/>
  <c r="I33" i="14"/>
  <c r="I36" i="14" s="1"/>
  <c r="I38" i="14" s="1"/>
  <c r="I40" i="14" s="1"/>
  <c r="D127" i="17"/>
  <c r="E126" i="17"/>
  <c r="F126" i="17" s="1"/>
  <c r="E273" i="17"/>
  <c r="E254" i="17"/>
  <c r="E266" i="17"/>
  <c r="E76" i="18"/>
  <c r="D77" i="18"/>
  <c r="E31" i="17"/>
  <c r="F31" i="17" s="1"/>
  <c r="D32" i="17"/>
  <c r="C157" i="18"/>
  <c r="C168" i="18"/>
  <c r="E156" i="18"/>
  <c r="D291" i="17"/>
  <c r="C113" i="22"/>
  <c r="E162" i="17"/>
  <c r="D289" i="17"/>
  <c r="E289" i="17" s="1"/>
  <c r="D44" i="18"/>
  <c r="D300" i="17"/>
  <c r="E300" i="17" s="1"/>
  <c r="F300" i="17" s="1"/>
  <c r="E264" i="17"/>
  <c r="F264" i="17" s="1"/>
  <c r="D265" i="17"/>
  <c r="E265" i="17" s="1"/>
  <c r="C21" i="13"/>
  <c r="C22" i="13"/>
  <c r="C20" i="13"/>
  <c r="C196" i="17"/>
  <c r="C117" i="18"/>
  <c r="C131" i="18" s="1"/>
  <c r="C44" i="18"/>
  <c r="C259" i="18"/>
  <c r="C263" i="18" s="1"/>
  <c r="E222" i="18"/>
  <c r="C246" i="18"/>
  <c r="E246" i="18" s="1"/>
  <c r="C223" i="18"/>
  <c r="C158" i="8"/>
  <c r="D281" i="17"/>
  <c r="E281" i="17" s="1"/>
  <c r="E282" i="17"/>
  <c r="F282" i="17" s="1"/>
  <c r="C49" i="12"/>
  <c r="E103" i="22"/>
  <c r="D99" i="8" l="1"/>
  <c r="D101" i="8" s="1"/>
  <c r="D98" i="8" s="1"/>
  <c r="D22" i="8"/>
  <c r="E306" i="18"/>
  <c r="D310" i="18"/>
  <c r="E310" i="18" s="1"/>
  <c r="C101" i="18"/>
  <c r="C87" i="18"/>
  <c r="C99" i="18"/>
  <c r="C83" i="18"/>
  <c r="C98" i="18"/>
  <c r="C88" i="18"/>
  <c r="C258" i="18"/>
  <c r="C84" i="18"/>
  <c r="C90" i="18" s="1"/>
  <c r="C100" i="18"/>
  <c r="C89" i="18"/>
  <c r="C96" i="18"/>
  <c r="C102" i="18" s="1"/>
  <c r="C85" i="18"/>
  <c r="C97" i="18"/>
  <c r="C86" i="18"/>
  <c r="C95" i="18"/>
  <c r="C103" i="18" s="1"/>
  <c r="D104" i="17"/>
  <c r="E104" i="17" s="1"/>
  <c r="E61" i="17"/>
  <c r="F61" i="17" s="1"/>
  <c r="D209" i="17"/>
  <c r="E209" i="17" s="1"/>
  <c r="F209" i="17" s="1"/>
  <c r="D174" i="17"/>
  <c r="E174" i="17" s="1"/>
  <c r="F174" i="17" s="1"/>
  <c r="D139" i="17"/>
  <c r="E139" i="17" s="1"/>
  <c r="F139" i="17" s="1"/>
  <c r="F281" i="17"/>
  <c r="F195" i="17"/>
  <c r="C99" i="8"/>
  <c r="C101" i="8" s="1"/>
  <c r="C98" i="8" s="1"/>
  <c r="C22" i="8"/>
  <c r="E252" i="18"/>
  <c r="C254" i="18"/>
  <c r="E254" i="18" s="1"/>
  <c r="E127" i="17"/>
  <c r="F127" i="17" s="1"/>
  <c r="E284" i="17"/>
  <c r="F284" i="17" s="1"/>
  <c r="D122" i="18"/>
  <c r="D121" i="18"/>
  <c r="D113" i="18"/>
  <c r="E113" i="18" s="1"/>
  <c r="D112" i="18"/>
  <c r="E112" i="18" s="1"/>
  <c r="D126" i="18"/>
  <c r="E126" i="18" s="1"/>
  <c r="D114" i="18"/>
  <c r="E114" i="18" s="1"/>
  <c r="D110" i="18"/>
  <c r="D111" i="18"/>
  <c r="E111" i="18" s="1"/>
  <c r="D109" i="18"/>
  <c r="D124" i="18"/>
  <c r="E124" i="18" s="1"/>
  <c r="D115" i="18"/>
  <c r="E115" i="18" s="1"/>
  <c r="E77" i="18"/>
  <c r="D127" i="18"/>
  <c r="E127" i="18" s="1"/>
  <c r="D125" i="18"/>
  <c r="E125" i="18" s="1"/>
  <c r="D123" i="18"/>
  <c r="E123" i="18" s="1"/>
  <c r="E286" i="17"/>
  <c r="F286" i="17" s="1"/>
  <c r="E291" i="17"/>
  <c r="D305" i="17"/>
  <c r="E196" i="17"/>
  <c r="D197" i="17"/>
  <c r="E197" i="17" s="1"/>
  <c r="F197" i="17" s="1"/>
  <c r="E20" i="12"/>
  <c r="F20" i="12" s="1"/>
  <c r="D34" i="12"/>
  <c r="D263" i="18"/>
  <c r="E263" i="18" s="1"/>
  <c r="E259" i="18"/>
  <c r="C247" i="18"/>
  <c r="E247" i="18" s="1"/>
  <c r="E223" i="18"/>
  <c r="D210" i="17"/>
  <c r="D175" i="17"/>
  <c r="D62" i="17"/>
  <c r="D140" i="17"/>
  <c r="D105" i="17"/>
  <c r="E32" i="17"/>
  <c r="F32" i="17" s="1"/>
  <c r="C305" i="17"/>
  <c r="F291" i="17"/>
  <c r="F265" i="17"/>
  <c r="D99" i="18"/>
  <c r="E99" i="18" s="1"/>
  <c r="D87" i="18"/>
  <c r="E87" i="18" s="1"/>
  <c r="E44" i="18"/>
  <c r="D97" i="18"/>
  <c r="E97" i="18" s="1"/>
  <c r="D85" i="18"/>
  <c r="D96" i="18"/>
  <c r="D89" i="18"/>
  <c r="E89" i="18" s="1"/>
  <c r="D100" i="18"/>
  <c r="E100" i="18" s="1"/>
  <c r="D98" i="18"/>
  <c r="E98" i="18" s="1"/>
  <c r="D83" i="18"/>
  <c r="D88" i="18"/>
  <c r="E88" i="18" s="1"/>
  <c r="D84" i="18"/>
  <c r="D258" i="18"/>
  <c r="D101" i="18"/>
  <c r="E101" i="18" s="1"/>
  <c r="D95" i="18"/>
  <c r="D86" i="18"/>
  <c r="F39" i="20"/>
  <c r="F196" i="17"/>
  <c r="E157" i="18"/>
  <c r="C169" i="18"/>
  <c r="E169" i="18" s="1"/>
  <c r="F289" i="17"/>
  <c r="F41" i="20"/>
  <c r="E50" i="17"/>
  <c r="F50" i="17" s="1"/>
  <c r="C105" i="17"/>
  <c r="C104" i="17"/>
  <c r="F103" i="17"/>
  <c r="E103" i="17"/>
  <c r="F273" i="17"/>
  <c r="E95" i="18" l="1"/>
  <c r="D211" i="17"/>
  <c r="E211" i="17" s="1"/>
  <c r="F211" i="17" s="1"/>
  <c r="E210" i="17"/>
  <c r="F210" i="17" s="1"/>
  <c r="C91" i="18"/>
  <c r="C105" i="18" s="1"/>
  <c r="D102" i="18"/>
  <c r="E102" i="18" s="1"/>
  <c r="E96" i="18"/>
  <c r="F305" i="17"/>
  <c r="C309" i="17"/>
  <c r="D309" i="17"/>
  <c r="E305" i="17"/>
  <c r="D264" i="18"/>
  <c r="E258" i="18"/>
  <c r="E85" i="18"/>
  <c r="E84" i="18"/>
  <c r="D90" i="18"/>
  <c r="E90" i="18" s="1"/>
  <c r="E121" i="18"/>
  <c r="E105" i="17"/>
  <c r="F105" i="17" s="1"/>
  <c r="D106" i="17"/>
  <c r="E109" i="18"/>
  <c r="D128" i="18"/>
  <c r="E128" i="18" s="1"/>
  <c r="E122" i="18"/>
  <c r="F104" i="17"/>
  <c r="E83" i="18"/>
  <c r="D91" i="18"/>
  <c r="D141" i="17"/>
  <c r="E140" i="17"/>
  <c r="F140" i="17" s="1"/>
  <c r="D42" i="12"/>
  <c r="E34" i="12"/>
  <c r="F34" i="12" s="1"/>
  <c r="C264" i="18"/>
  <c r="C266" i="18" s="1"/>
  <c r="C267" i="18"/>
  <c r="C106" i="17"/>
  <c r="E62" i="17"/>
  <c r="F62" i="17" s="1"/>
  <c r="D63" i="17"/>
  <c r="D116" i="18"/>
  <c r="E116" i="18" s="1"/>
  <c r="E110" i="18"/>
  <c r="E86" i="18"/>
  <c r="D176" i="17"/>
  <c r="E175" i="17"/>
  <c r="F175" i="17" s="1"/>
  <c r="D49" i="12" l="1"/>
  <c r="E49" i="12" s="1"/>
  <c r="F49" i="12" s="1"/>
  <c r="E42" i="12"/>
  <c r="F42" i="12" s="1"/>
  <c r="D117" i="18"/>
  <c r="E63" i="17"/>
  <c r="F63" i="17" s="1"/>
  <c r="D70" i="17"/>
  <c r="E70" i="17" s="1"/>
  <c r="F70" i="17" s="1"/>
  <c r="E141" i="17"/>
  <c r="F141" i="17" s="1"/>
  <c r="D322" i="17"/>
  <c r="E322" i="17" s="1"/>
  <c r="F322" i="17" s="1"/>
  <c r="D148" i="17"/>
  <c r="E148" i="17" s="1"/>
  <c r="F148" i="17" s="1"/>
  <c r="E106" i="17"/>
  <c r="D324" i="17"/>
  <c r="D113" i="17"/>
  <c r="E113" i="17" s="1"/>
  <c r="F106" i="17"/>
  <c r="C324" i="17"/>
  <c r="C113" i="17"/>
  <c r="D105" i="18"/>
  <c r="E105" i="18" s="1"/>
  <c r="E91" i="18"/>
  <c r="E264" i="18"/>
  <c r="D266" i="18"/>
  <c r="E176" i="17"/>
  <c r="D323" i="17"/>
  <c r="E323" i="17" s="1"/>
  <c r="D183" i="17"/>
  <c r="E183" i="17" s="1"/>
  <c r="C269" i="18"/>
  <c r="C268" i="18"/>
  <c r="C271" i="18" s="1"/>
  <c r="D129" i="18"/>
  <c r="E129" i="18" s="1"/>
  <c r="E309" i="17"/>
  <c r="D310" i="17"/>
  <c r="F309" i="17"/>
  <c r="C310" i="17"/>
  <c r="D103" i="18"/>
  <c r="E103" i="18" s="1"/>
  <c r="F113" i="17" l="1"/>
  <c r="F324" i="17"/>
  <c r="C325" i="17"/>
  <c r="C312" i="17"/>
  <c r="D131" i="18"/>
  <c r="E131" i="18" s="1"/>
  <c r="E117" i="18"/>
  <c r="D312" i="17"/>
  <c r="E310" i="17"/>
  <c r="F310" i="17" s="1"/>
  <c r="E266" i="18"/>
  <c r="D267" i="18"/>
  <c r="D325" i="17"/>
  <c r="E325" i="17" s="1"/>
  <c r="E324" i="17"/>
  <c r="C313" i="17" l="1"/>
  <c r="F325" i="17"/>
  <c r="E312" i="17"/>
  <c r="F312" i="17" s="1"/>
  <c r="D313" i="17"/>
  <c r="D268" i="18"/>
  <c r="E267" i="18"/>
  <c r="D269" i="18"/>
  <c r="E269" i="18" s="1"/>
  <c r="C314" i="17" l="1"/>
  <c r="C251" i="17"/>
  <c r="C315" i="17"/>
  <c r="C256" i="17"/>
  <c r="E268" i="18"/>
  <c r="D271" i="18"/>
  <c r="E271" i="18" s="1"/>
  <c r="E313" i="17"/>
  <c r="F313" i="17" s="1"/>
  <c r="D251" i="17"/>
  <c r="D314" i="17"/>
  <c r="D315" i="17"/>
  <c r="D256" i="17"/>
  <c r="C257" i="17" l="1"/>
  <c r="E256" i="17"/>
  <c r="F256" i="17" s="1"/>
  <c r="D257" i="17"/>
  <c r="E257" i="17" s="1"/>
  <c r="E315" i="17"/>
  <c r="F315" i="17" s="1"/>
  <c r="F251" i="17"/>
  <c r="D318" i="17"/>
  <c r="E318" i="17" s="1"/>
  <c r="E314" i="17"/>
  <c r="E251" i="17"/>
  <c r="F314" i="17"/>
  <c r="C318" i="17"/>
  <c r="F318" i="17" l="1"/>
  <c r="F257" i="17"/>
</calcChain>
</file>

<file path=xl/sharedStrings.xml><?xml version="1.0" encoding="utf-8"?>
<sst xmlns="http://schemas.openxmlformats.org/spreadsheetml/2006/main" count="2333" uniqueCount="1009">
  <si>
    <t>ROCKVILLE GENERAL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</si>
  <si>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</si>
  <si>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</si>
  <si>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</si>
  <si>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</si>
  <si>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</si>
  <si>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</si>
  <si>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</si>
  <si>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</si>
  <si>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</si>
  <si>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</si>
  <si>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</si>
  <si>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</si>
  <si>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</si>
  <si>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</si>
  <si>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</si>
  <si>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</si>
  <si>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</si>
  <si>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</si>
  <si>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</si>
  <si>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</si>
  <si>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</si>
  <si>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</si>
  <si>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</si>
  <si>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</si>
  <si>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</si>
  <si>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</si>
  <si>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</si>
  <si>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</si>
  <si>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</si>
  <si>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</si>
  <si>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</si>
  <si>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</si>
  <si>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</si>
  <si>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</si>
  <si>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</si>
  <si>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</si>
  <si>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</si>
  <si>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</si>
  <si>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</si>
  <si>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</si>
  <si>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</si>
  <si>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</si>
  <si>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</si>
  <si>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</si>
  <si>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</si>
  <si>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</si>
  <si>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</si>
  <si>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</si>
  <si>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</si>
  <si>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</si>
  <si>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</si>
  <si>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</si>
  <si>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</si>
  <si>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</si>
  <si>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</si>
  <si>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</si>
  <si>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</si>
  <si>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</si>
  <si>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</si>
  <si>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</si>
  <si>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</si>
  <si>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</si>
  <si>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</si>
  <si>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</si>
  <si>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</si>
  <si>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</si>
  <si>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</si>
  <si>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</si>
  <si>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</si>
  <si>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</si>
  <si>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</si>
  <si>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</si>
  <si>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</si>
  <si>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</si>
  <si>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</si>
  <si>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</si>
  <si>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</si>
  <si>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</si>
  <si>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</si>
  <si>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</si>
  <si>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</si>
  <si>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</si>
  <si>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</si>
  <si>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</si>
  <si>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</si>
  <si>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</si>
  <si>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</si>
  <si>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</si>
  <si>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</si>
  <si>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</si>
  <si>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</si>
  <si>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</si>
  <si>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</si>
  <si>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</si>
  <si>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</si>
  <si>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</si>
  <si>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</si>
  <si>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</si>
  <si>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</si>
  <si>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</si>
  <si>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</si>
  <si>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</si>
  <si>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</si>
  <si>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</si>
  <si>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</si>
  <si>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</si>
  <si>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</si>
  <si>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</si>
  <si>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</si>
  <si>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</si>
  <si>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</si>
  <si>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</si>
  <si>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</si>
  <si>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</si>
  <si>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</si>
  <si>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</si>
  <si>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</si>
  <si>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</si>
  <si>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</si>
  <si>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</si>
  <si>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</si>
  <si>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</si>
  <si>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</si>
  <si>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</si>
  <si>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</si>
  <si>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</si>
  <si>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</si>
  <si>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</si>
  <si>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</si>
  <si>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</si>
  <si>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</si>
  <si>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</si>
  <si>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</si>
  <si>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</si>
  <si>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</si>
  <si>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</si>
  <si>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</si>
  <si>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</si>
  <si>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</si>
  <si>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</si>
  <si>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</si>
  <si>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</si>
  <si>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</si>
  <si>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</si>
  <si>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</si>
  <si>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</si>
  <si>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</si>
  <si>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</si>
  <si>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</si>
  <si>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</si>
  <si>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</si>
  <si>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</si>
  <si>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</si>
  <si>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</si>
  <si>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</si>
  <si>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</si>
  <si>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</si>
  <si>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</si>
  <si>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</si>
  <si>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</si>
  <si>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</si>
  <si>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</si>
  <si>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</si>
  <si>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</si>
  <si>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</si>
  <si>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</si>
  <si>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</si>
  <si>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</si>
  <si>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</si>
  <si>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</si>
  <si>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</si>
  <si>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</si>
  <si>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</si>
  <si>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</si>
  <si>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</si>
  <si>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</si>
  <si>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</si>
  <si>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</si>
  <si>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</si>
  <si>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</si>
  <si>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</si>
  <si>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</si>
  <si>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</si>
  <si>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</si>
  <si>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</si>
  <si>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</si>
  <si>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</si>
  <si>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</si>
  <si>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</si>
  <si>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</si>
  <si>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</si>
  <si>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</si>
  <si>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</si>
  <si>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</si>
  <si>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</si>
  <si>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</si>
  <si>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</si>
  <si>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</si>
  <si>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</si>
  <si>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</si>
  <si>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</si>
  <si>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</si>
  <si>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</si>
  <si>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</si>
  <si>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</si>
  <si>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</si>
  <si>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</si>
  <si>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</si>
  <si>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</si>
  <si>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</si>
  <si>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</si>
  <si>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</si>
  <si>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</si>
  <si>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</si>
  <si>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</si>
  <si>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</si>
  <si>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</si>
  <si>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</si>
  <si>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</si>
  <si>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</si>
  <si>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</si>
  <si>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</si>
  <si>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</si>
  <si>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</si>
  <si>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</si>
  <si>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</si>
  <si>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</si>
  <si>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</si>
  <si>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</si>
  <si>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</si>
  <si>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</si>
  <si>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</si>
  <si>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</si>
  <si>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</si>
  <si>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</si>
  <si>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</si>
  <si>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</si>
  <si>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</si>
  <si>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</si>
  <si>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</si>
  <si>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</si>
  <si>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</si>
  <si>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</si>
  <si>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</si>
  <si>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</si>
  <si>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</si>
  <si>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</si>
  <si>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</si>
  <si>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</si>
  <si>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</si>
  <si>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</si>
  <si>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</si>
  <si>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</si>
  <si>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</si>
  <si>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</si>
  <si>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</si>
  <si>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</si>
  <si>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</si>
  <si>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</si>
  <si>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</si>
  <si>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</si>
  <si>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</si>
  <si>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</si>
  <si>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</si>
  <si>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</si>
  <si>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</si>
  <si>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</si>
  <si>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</si>
  <si>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</si>
  <si>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</si>
  <si>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</si>
  <si>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</si>
  <si>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</si>
  <si>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</si>
  <si>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</si>
  <si>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</si>
  <si>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</si>
  <si>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</si>
  <si>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</si>
  <si>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</si>
  <si>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</si>
  <si>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</si>
  <si>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</si>
  <si>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</si>
  <si>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</si>
  <si>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</si>
  <si>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</si>
  <si>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</si>
  <si>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</si>
  <si>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</si>
  <si>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</si>
  <si>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</si>
  <si>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</si>
  <si>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</si>
  <si>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</si>
  <si>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</si>
  <si>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</si>
  <si>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</si>
  <si>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</si>
  <si>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</si>
  <si>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</si>
  <si>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</si>
  <si>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</si>
  <si>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</si>
  <si>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</si>
  <si>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</si>
  <si>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</si>
  <si>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</si>
  <si>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</si>
  <si>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</si>
  <si>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</si>
  <si>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</si>
  <si>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</si>
  <si>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</si>
  <si>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</si>
  <si>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</si>
  <si>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</si>
  <si>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</si>
  <si>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</si>
  <si>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</si>
  <si>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</si>
  <si>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</si>
  <si>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</si>
  <si>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</si>
  <si>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</si>
  <si>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</si>
  <si>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</si>
  <si>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</si>
  <si>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</si>
  <si>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</si>
  <si>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</si>
  <si>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</si>
  <si>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</si>
  <si>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</si>
  <si>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</si>
  <si>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</si>
  <si>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</si>
  <si>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</si>
  <si>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</si>
  <si>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</si>
  <si>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</si>
  <si>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</si>
  <si>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</si>
  <si>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</si>
  <si>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</si>
  <si>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</si>
  <si>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</si>
  <si>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</si>
  <si>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</si>
  <si>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</si>
  <si>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</si>
  <si>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</si>
  <si>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</si>
  <si>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</si>
  <si>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</si>
  <si>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</si>
  <si>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</si>
  <si>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</si>
  <si>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</si>
  <si>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</si>
  <si>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</si>
  <si>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</si>
  <si>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</si>
  <si>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</si>
  <si>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</si>
  <si>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</si>
  <si>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</si>
  <si>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</si>
  <si>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</si>
  <si>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</si>
  <si>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</si>
  <si>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</si>
  <si>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</si>
  <si>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</si>
  <si>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</si>
  <si>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</si>
  <si>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</si>
  <si>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</si>
  <si>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</si>
  <si>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</si>
  <si>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</si>
  <si>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</si>
  <si>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</si>
  <si>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</si>
  <si>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</si>
  <si>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</si>
  <si>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</si>
  <si>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</si>
  <si>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</si>
  <si>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</si>
  <si>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</si>
  <si>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</si>
  <si>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</si>
  <si>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</si>
  <si>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</si>
  <si>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</si>
  <si>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</si>
  <si>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</si>
  <si>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</si>
  <si>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</si>
  <si>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</si>
  <si>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</si>
  <si>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</si>
  <si>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</si>
  <si>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</si>
  <si>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</si>
  <si>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</si>
  <si>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</si>
  <si>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</si>
  <si>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</si>
  <si>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</si>
  <si>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</si>
  <si>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</si>
  <si>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</si>
  <si>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</si>
  <si>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</si>
  <si>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</si>
  <si>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</si>
  <si>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</si>
  <si>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</si>
  <si>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</si>
  <si>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</si>
  <si>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</si>
  <si>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</si>
  <si>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</si>
  <si>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</si>
  <si>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</si>
  <si>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</si>
  <si>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</si>
  <si>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</si>
  <si>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</si>
  <si>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</si>
  <si>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</si>
  <si>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</si>
  <si>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</si>
  <si>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</si>
  <si>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</si>
  <si>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</si>
  <si>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</si>
  <si>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</si>
  <si>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</si>
  <si>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</si>
  <si>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</si>
  <si>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</si>
  <si>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</si>
  <si>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</si>
  <si>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</si>
  <si>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</si>
  <si>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</si>
  <si>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</si>
  <si>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</si>
  <si>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</si>
  <si>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</si>
  <si>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</si>
  <si>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</si>
  <si>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</si>
  <si>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</si>
  <si>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</si>
  <si>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</si>
  <si>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</si>
  <si>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</si>
  <si>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</si>
  <si>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</si>
  <si>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</si>
  <si>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</si>
  <si>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</si>
  <si>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</si>
  <si>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</si>
  <si>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</si>
  <si>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</si>
  <si>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</si>
  <si>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</si>
  <si>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</si>
  <si>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</si>
  <si>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</si>
  <si>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</si>
  <si>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</si>
  <si>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</si>
  <si>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</si>
  <si>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</si>
  <si>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</si>
  <si>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</si>
  <si>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</si>
  <si>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</si>
  <si>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</si>
  <si>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</si>
  <si>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</si>
  <si>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</si>
  <si>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</si>
  <si>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</si>
  <si>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</si>
  <si>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</si>
  <si>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</si>
  <si>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</si>
  <si>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</si>
  <si>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</si>
  <si>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</si>
  <si>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</si>
  <si>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</si>
  <si>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EASTERN CT HEALTH NETWORK , INC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</si>
  <si>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</si>
  <si>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</si>
  <si>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</si>
  <si>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</si>
  <si>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</si>
  <si>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</si>
  <si>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</si>
  <si>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</si>
  <si>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</si>
  <si>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</si>
  <si>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</si>
  <si>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</si>
  <si>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</si>
  <si>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</si>
  <si>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</si>
  <si>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</si>
  <si>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</si>
  <si>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</si>
  <si>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</si>
  <si>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</si>
  <si>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</si>
  <si>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</si>
  <si>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</si>
  <si>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</si>
  <si>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</si>
  <si>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</si>
  <si>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</si>
  <si>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</si>
  <si>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</si>
  <si>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</si>
  <si>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</si>
  <si>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</si>
  <si>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</si>
  <si>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</si>
  <si>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</si>
  <si>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</si>
  <si>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</si>
  <si>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</si>
  <si>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</si>
  <si>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</si>
  <si>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</si>
  <si>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</si>
  <si>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</si>
  <si>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</si>
  <si>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</si>
  <si>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</si>
  <si>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</si>
  <si>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</si>
  <si>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</si>
  <si>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</si>
  <si>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</si>
  <si>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</si>
  <si>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</si>
  <si>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</si>
  <si>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</si>
  <si>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</si>
  <si>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</si>
  <si>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</si>
  <si>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</si>
  <si>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</si>
  <si>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</si>
  <si>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</si>
  <si>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</si>
  <si>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</si>
  <si>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</si>
  <si>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</si>
  <si>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</si>
  <si>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</si>
  <si>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</si>
  <si>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</si>
  <si>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</si>
  <si>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</si>
  <si>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</si>
  <si>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</si>
  <si>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</si>
  <si>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</si>
  <si>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</si>
  <si>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</si>
  <si>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</si>
  <si>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</si>
  <si>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</si>
  <si>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</si>
  <si>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</si>
  <si>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</si>
  <si>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</si>
  <si>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</si>
  <si>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</si>
  <si>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</si>
  <si>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</si>
  <si>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</si>
  <si>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</si>
  <si>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</si>
  <si>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</si>
  <si>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</si>
  <si>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</si>
  <si>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</si>
  <si>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</si>
  <si>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</si>
  <si>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</si>
  <si>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</si>
  <si>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</si>
  <si>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</si>
  <si>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</si>
  <si>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</si>
  <si>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</si>
  <si>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</si>
  <si>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</si>
  <si>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</si>
  <si>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</si>
  <si>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</si>
  <si>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</si>
  <si>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</si>
  <si>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</si>
  <si>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</si>
  <si>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</si>
  <si>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</si>
  <si>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</si>
  <si>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</si>
  <si>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</si>
  <si>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</si>
  <si>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</si>
  <si>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>Total Outpatient Surgical Procedures(A)</t>
  </si>
  <si>
    <t>Total Outpatient Endoscopy Procedures(B)</t>
  </si>
  <si>
    <t>Outpatient Hospital Emergency Room Visits</t>
  </si>
  <si>
    <t>Hospital Emergency Room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</si>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</sst>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1463823</v>
      </c>
      <c r="D13" s="22">
        <v>1059290</v>
      </c>
      <c r="E13" s="22">
        <f t="shared" ref="E13:E22" si="0">D13-C13</f>
        <v>-404533</v>
      </c>
      <c r="F13" s="23">
        <f t="shared" ref="F13:F22" si="1">IF(C13=0,0,E13/C13)</f>
        <v>-0.27635376681470369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10959585</v>
      </c>
      <c r="D15" s="22">
        <v>10269970</v>
      </c>
      <c r="E15" s="22">
        <f t="shared" si="0"/>
        <v>-689615</v>
      </c>
      <c r="F15" s="23">
        <f t="shared" si="1"/>
        <v>-6.2923459236823298E-2</v>
      </c>
    </row>
    <row r="16" spans="1:8" ht="24" customHeight="1" x14ac:dyDescent="0.2">
      <c r="A16" s="20">
        <v>4</v>
      </c>
      <c r="B16" s="21" t="s">
        <v>19</v>
      </c>
      <c r="C16" s="22">
        <v>467222</v>
      </c>
      <c r="D16" s="22">
        <v>364771</v>
      </c>
      <c r="E16" s="22">
        <f t="shared" si="0"/>
        <v>-102451</v>
      </c>
      <c r="F16" s="23">
        <f t="shared" si="1"/>
        <v>-0.21927691761090018</v>
      </c>
    </row>
    <row r="17" spans="1:11" ht="24" customHeight="1" x14ac:dyDescent="0.2">
      <c r="A17" s="20">
        <v>5</v>
      </c>
      <c r="B17" s="21" t="s">
        <v>20</v>
      </c>
      <c r="C17" s="22">
        <v>781899</v>
      </c>
      <c r="D17" s="22">
        <v>58029</v>
      </c>
      <c r="E17" s="22">
        <f t="shared" si="0"/>
        <v>-723870</v>
      </c>
      <c r="F17" s="23">
        <f t="shared" si="1"/>
        <v>-0.92578453227334989</v>
      </c>
    </row>
    <row r="18" spans="1:11" ht="24" customHeight="1" x14ac:dyDescent="0.2">
      <c r="A18" s="20">
        <v>6</v>
      </c>
      <c r="B18" s="21" t="s">
        <v>21</v>
      </c>
      <c r="C18" s="22">
        <v>853555</v>
      </c>
      <c r="D18" s="22">
        <v>384274</v>
      </c>
      <c r="E18" s="22">
        <f t="shared" si="0"/>
        <v>-469281</v>
      </c>
      <c r="F18" s="23">
        <f t="shared" si="1"/>
        <v>-0.54979585381141227</v>
      </c>
    </row>
    <row r="19" spans="1:11" ht="24" customHeight="1" x14ac:dyDescent="0.2">
      <c r="A19" s="20">
        <v>7</v>
      </c>
      <c r="B19" s="21" t="s">
        <v>22</v>
      </c>
      <c r="C19" s="22">
        <v>1519666</v>
      </c>
      <c r="D19" s="22">
        <v>1467009</v>
      </c>
      <c r="E19" s="22">
        <f t="shared" si="0"/>
        <v>-52657</v>
      </c>
      <c r="F19" s="23">
        <f t="shared" si="1"/>
        <v>-3.4650377122341355E-2</v>
      </c>
    </row>
    <row r="20" spans="1:11" ht="24" customHeight="1" x14ac:dyDescent="0.2">
      <c r="A20" s="20">
        <v>8</v>
      </c>
      <c r="B20" s="21" t="s">
        <v>23</v>
      </c>
      <c r="C20" s="22">
        <v>218802</v>
      </c>
      <c r="D20" s="22">
        <v>276211</v>
      </c>
      <c r="E20" s="22">
        <f t="shared" si="0"/>
        <v>57409</v>
      </c>
      <c r="F20" s="23">
        <f t="shared" si="1"/>
        <v>0.26237877167484758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16264552</v>
      </c>
      <c r="D22" s="26">
        <f>SUM(D13:D21)</f>
        <v>13879554</v>
      </c>
      <c r="E22" s="26">
        <f t="shared" si="0"/>
        <v>-2384998</v>
      </c>
      <c r="F22" s="27">
        <f t="shared" si="1"/>
        <v>-0.14663779242121147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3036266</v>
      </c>
      <c r="D25" s="22">
        <v>2988705</v>
      </c>
      <c r="E25" s="22">
        <f>D25-C25</f>
        <v>-47561</v>
      </c>
      <c r="F25" s="23">
        <f>IF(C25=0,0,E25/C25)</f>
        <v>-1.566430609175876E-2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20261427</v>
      </c>
      <c r="D28" s="22">
        <v>14693132</v>
      </c>
      <c r="E28" s="22">
        <f>D28-C28</f>
        <v>-5568295</v>
      </c>
      <c r="F28" s="23">
        <f>IF(C28=0,0,E28/C28)</f>
        <v>-0.274822449573764</v>
      </c>
    </row>
    <row r="29" spans="1:11" ht="24" customHeight="1" x14ac:dyDescent="0.25">
      <c r="A29" s="24"/>
      <c r="B29" s="25" t="s">
        <v>32</v>
      </c>
      <c r="C29" s="26">
        <f>SUM(C25:C28)</f>
        <v>23297693</v>
      </c>
      <c r="D29" s="26">
        <f>SUM(D25:D28)</f>
        <v>17681837</v>
      </c>
      <c r="E29" s="26">
        <f>D29-C29</f>
        <v>-5615856</v>
      </c>
      <c r="F29" s="27">
        <f>IF(C29=0,0,E29/C29)</f>
        <v>-0.24104772948978254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3254582</v>
      </c>
      <c r="D31" s="22">
        <v>3616191</v>
      </c>
      <c r="E31" s="22">
        <f>D31-C31</f>
        <v>361609</v>
      </c>
      <c r="F31" s="23">
        <f>IF(C31=0,0,E31/C31)</f>
        <v>0.1111076629809911</v>
      </c>
    </row>
    <row r="32" spans="1:11" ht="24" customHeight="1" x14ac:dyDescent="0.2">
      <c r="A32" s="20">
        <v>6</v>
      </c>
      <c r="B32" s="21" t="s">
        <v>34</v>
      </c>
      <c r="C32" s="22">
        <v>3127553</v>
      </c>
      <c r="D32" s="22">
        <v>3208828</v>
      </c>
      <c r="E32" s="22">
        <f>D32-C32</f>
        <v>81275</v>
      </c>
      <c r="F32" s="23">
        <f>IF(C32=0,0,E32/C32)</f>
        <v>2.5986769848504565E-2</v>
      </c>
    </row>
    <row r="33" spans="1:8" ht="24" customHeight="1" x14ac:dyDescent="0.2">
      <c r="A33" s="20">
        <v>7</v>
      </c>
      <c r="B33" s="21" t="s">
        <v>35</v>
      </c>
      <c r="C33" s="22">
        <v>3451619</v>
      </c>
      <c r="D33" s="22">
        <v>10502780</v>
      </c>
      <c r="E33" s="22">
        <f>D33-C33</f>
        <v>7051161</v>
      </c>
      <c r="F33" s="23">
        <f>IF(C33=0,0,E33/C33)</f>
        <v>2.0428561205625533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93531022</v>
      </c>
      <c r="D36" s="22">
        <v>85669395</v>
      </c>
      <c r="E36" s="22">
        <f>D36-C36</f>
        <v>-7861627</v>
      </c>
      <c r="F36" s="23">
        <f>IF(C36=0,0,E36/C36)</f>
        <v>-8.4053684348707317E-2</v>
      </c>
    </row>
    <row r="37" spans="1:8" ht="24" customHeight="1" x14ac:dyDescent="0.2">
      <c r="A37" s="20">
        <v>2</v>
      </c>
      <c r="B37" s="21" t="s">
        <v>39</v>
      </c>
      <c r="C37" s="22">
        <v>63146530</v>
      </c>
      <c r="D37" s="22">
        <v>58070717</v>
      </c>
      <c r="E37" s="22">
        <f>D37-C37</f>
        <v>-5075813</v>
      </c>
      <c r="F37" s="23">
        <f>IF(C37=0,0,E37/C37)</f>
        <v>-8.0381503148312342E-2</v>
      </c>
    </row>
    <row r="38" spans="1:8" ht="24" customHeight="1" x14ac:dyDescent="0.25">
      <c r="A38" s="24"/>
      <c r="B38" s="25" t="s">
        <v>40</v>
      </c>
      <c r="C38" s="26">
        <f>C36-C37</f>
        <v>30384492</v>
      </c>
      <c r="D38" s="26">
        <f>D36-D37</f>
        <v>27598678</v>
      </c>
      <c r="E38" s="26">
        <f>D38-C38</f>
        <v>-2785814</v>
      </c>
      <c r="F38" s="27">
        <f>IF(C38=0,0,E38/C38)</f>
        <v>-9.1685390033836994E-2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88282</v>
      </c>
      <c r="D40" s="22">
        <v>55986</v>
      </c>
      <c r="E40" s="22">
        <f>D40-C40</f>
        <v>-32296</v>
      </c>
      <c r="F40" s="23">
        <f>IF(C40=0,0,E40/C40)</f>
        <v>-0.36582768854353098</v>
      </c>
    </row>
    <row r="41" spans="1:8" ht="24" customHeight="1" x14ac:dyDescent="0.25">
      <c r="A41" s="24"/>
      <c r="B41" s="25" t="s">
        <v>42</v>
      </c>
      <c r="C41" s="26">
        <f>+C38+C40</f>
        <v>30472774</v>
      </c>
      <c r="D41" s="26">
        <f>+D38+D40</f>
        <v>27654664</v>
      </c>
      <c r="E41" s="26">
        <f>D41-C41</f>
        <v>-2818110</v>
      </c>
      <c r="F41" s="27">
        <f>IF(C41=0,0,E41/C41)</f>
        <v>-9.2479601627341174E-2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79868773</v>
      </c>
      <c r="D43" s="26">
        <f>D22+D29+D31+D32+D33+D41</f>
        <v>76543854</v>
      </c>
      <c r="E43" s="26">
        <f>D43-C43</f>
        <v>-3324919</v>
      </c>
      <c r="F43" s="27">
        <f>IF(C43=0,0,E43/C43)</f>
        <v>-4.1629774380032104E-2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5236427</v>
      </c>
      <c r="D49" s="22">
        <v>5405085</v>
      </c>
      <c r="E49" s="22">
        <f t="shared" ref="E49:E56" si="2">D49-C49</f>
        <v>168658</v>
      </c>
      <c r="F49" s="23">
        <f t="shared" ref="F49:F56" si="3">IF(C49=0,0,E49/C49)</f>
        <v>3.2208603309088431E-2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733188</v>
      </c>
      <c r="D50" s="22">
        <v>691755</v>
      </c>
      <c r="E50" s="22">
        <f t="shared" si="2"/>
        <v>-41433</v>
      </c>
      <c r="F50" s="23">
        <f t="shared" si="3"/>
        <v>-5.6510744856707963E-2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1157913</v>
      </c>
      <c r="D51" s="22">
        <v>1040198</v>
      </c>
      <c r="E51" s="22">
        <f t="shared" si="2"/>
        <v>-117715</v>
      </c>
      <c r="F51" s="23">
        <f t="shared" si="3"/>
        <v>-0.10166135106868997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3297172</v>
      </c>
      <c r="D52" s="22">
        <v>398089</v>
      </c>
      <c r="E52" s="22">
        <f t="shared" si="2"/>
        <v>-2899083</v>
      </c>
      <c r="F52" s="23">
        <f t="shared" si="3"/>
        <v>-0.8792635021770171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607750</v>
      </c>
      <c r="D53" s="22">
        <v>613500</v>
      </c>
      <c r="E53" s="22">
        <f t="shared" si="2"/>
        <v>5750</v>
      </c>
      <c r="F53" s="23">
        <f t="shared" si="3"/>
        <v>9.4611271081859322E-3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663921</v>
      </c>
      <c r="D54" s="22">
        <v>256581</v>
      </c>
      <c r="E54" s="22">
        <f t="shared" si="2"/>
        <v>-407340</v>
      </c>
      <c r="F54" s="23">
        <f t="shared" si="3"/>
        <v>-0.61353685152299742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1879469</v>
      </c>
      <c r="D55" s="22">
        <v>2156152</v>
      </c>
      <c r="E55" s="22">
        <f t="shared" si="2"/>
        <v>276683</v>
      </c>
      <c r="F55" s="23">
        <f t="shared" si="3"/>
        <v>0.14721338846237952</v>
      </c>
    </row>
    <row r="56" spans="1:6" ht="24" customHeight="1" x14ac:dyDescent="0.25">
      <c r="A56" s="24"/>
      <c r="B56" s="25" t="s">
        <v>54</v>
      </c>
      <c r="C56" s="26">
        <f>SUM(C49:C55)</f>
        <v>13575840</v>
      </c>
      <c r="D56" s="26">
        <f>SUM(D49:D55)</f>
        <v>10561360</v>
      </c>
      <c r="E56" s="26">
        <f t="shared" si="2"/>
        <v>-3014480</v>
      </c>
      <c r="F56" s="27">
        <f t="shared" si="3"/>
        <v>-0.22204740185506017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23591768</v>
      </c>
      <c r="D59" s="22">
        <v>22973519</v>
      </c>
      <c r="E59" s="22">
        <f>D59-C59</f>
        <v>-618249</v>
      </c>
      <c r="F59" s="23">
        <f>IF(C59=0,0,E59/C59)</f>
        <v>-2.6206132579804954E-2</v>
      </c>
    </row>
    <row r="60" spans="1:6" ht="24" customHeight="1" x14ac:dyDescent="0.2">
      <c r="A60" s="20">
        <v>2</v>
      </c>
      <c r="B60" s="21" t="s">
        <v>57</v>
      </c>
      <c r="C60" s="22">
        <v>802316</v>
      </c>
      <c r="D60" s="22">
        <v>545735</v>
      </c>
      <c r="E60" s="22">
        <f>D60-C60</f>
        <v>-256581</v>
      </c>
      <c r="F60" s="23">
        <f>IF(C60=0,0,E60/C60)</f>
        <v>-0.31980042776163009</v>
      </c>
    </row>
    <row r="61" spans="1:6" ht="24" customHeight="1" x14ac:dyDescent="0.25">
      <c r="A61" s="24"/>
      <c r="B61" s="25" t="s">
        <v>58</v>
      </c>
      <c r="C61" s="26">
        <f>SUM(C59:C60)</f>
        <v>24394084</v>
      </c>
      <c r="D61" s="26">
        <f>SUM(D59:D60)</f>
        <v>23519254</v>
      </c>
      <c r="E61" s="26">
        <f>D61-C61</f>
        <v>-874830</v>
      </c>
      <c r="F61" s="27">
        <f>IF(C61=0,0,E61/C61)</f>
        <v>-3.5862383682863437E-2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17147802</v>
      </c>
      <c r="D63" s="22">
        <v>8855195</v>
      </c>
      <c r="E63" s="22">
        <f>D63-C63</f>
        <v>-8292607</v>
      </c>
      <c r="F63" s="23">
        <f>IF(C63=0,0,E63/C63)</f>
        <v>-0.48359591509162514</v>
      </c>
    </row>
    <row r="64" spans="1:6" ht="24" customHeight="1" x14ac:dyDescent="0.2">
      <c r="A64" s="20">
        <v>4</v>
      </c>
      <c r="B64" s="21" t="s">
        <v>60</v>
      </c>
      <c r="C64" s="22">
        <v>3436036</v>
      </c>
      <c r="D64" s="22">
        <v>2555582</v>
      </c>
      <c r="E64" s="22">
        <f>D64-C64</f>
        <v>-880454</v>
      </c>
      <c r="F64" s="23">
        <f>IF(C64=0,0,E64/C64)</f>
        <v>-0.25624120352638913</v>
      </c>
    </row>
    <row r="65" spans="1:6" ht="24" customHeight="1" x14ac:dyDescent="0.25">
      <c r="A65" s="24"/>
      <c r="B65" s="25" t="s">
        <v>61</v>
      </c>
      <c r="C65" s="26">
        <f>SUM(C61:C64)</f>
        <v>44977922</v>
      </c>
      <c r="D65" s="26">
        <f>SUM(D61:D64)</f>
        <v>34930031</v>
      </c>
      <c r="E65" s="26">
        <f>D65-C65</f>
        <v>-10047891</v>
      </c>
      <c r="F65" s="27">
        <f>IF(C65=0,0,E65/C65)</f>
        <v>-0.2233960697428396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17066097</v>
      </c>
      <c r="D70" s="22">
        <v>26773989</v>
      </c>
      <c r="E70" s="22">
        <f>D70-C70</f>
        <v>9707892</v>
      </c>
      <c r="F70" s="23">
        <f>IF(C70=0,0,E70/C70)</f>
        <v>0.5688407841582056</v>
      </c>
    </row>
    <row r="71" spans="1:6" ht="24" customHeight="1" x14ac:dyDescent="0.2">
      <c r="A71" s="20">
        <v>2</v>
      </c>
      <c r="B71" s="21" t="s">
        <v>65</v>
      </c>
      <c r="C71" s="22">
        <v>615748</v>
      </c>
      <c r="D71" s="22">
        <v>561463</v>
      </c>
      <c r="E71" s="22">
        <f>D71-C71</f>
        <v>-54285</v>
      </c>
      <c r="F71" s="23">
        <f>IF(C71=0,0,E71/C71)</f>
        <v>-8.8161065890591611E-2</v>
      </c>
    </row>
    <row r="72" spans="1:6" ht="24" customHeight="1" x14ac:dyDescent="0.2">
      <c r="A72" s="20">
        <v>3</v>
      </c>
      <c r="B72" s="21" t="s">
        <v>66</v>
      </c>
      <c r="C72" s="22">
        <v>3633166</v>
      </c>
      <c r="D72" s="22">
        <v>3717011</v>
      </c>
      <c r="E72" s="22">
        <f>D72-C72</f>
        <v>83845</v>
      </c>
      <c r="F72" s="23">
        <f>IF(C72=0,0,E72/C72)</f>
        <v>2.3077668347661517E-2</v>
      </c>
    </row>
    <row r="73" spans="1:6" ht="24" customHeight="1" x14ac:dyDescent="0.25">
      <c r="A73" s="20"/>
      <c r="B73" s="25" t="s">
        <v>67</v>
      </c>
      <c r="C73" s="26">
        <f>SUM(C70:C72)</f>
        <v>21315011</v>
      </c>
      <c r="D73" s="26">
        <f>SUM(D70:D72)</f>
        <v>31052463</v>
      </c>
      <c r="E73" s="26">
        <f>D73-C73</f>
        <v>9737452</v>
      </c>
      <c r="F73" s="27">
        <f>IF(C73=0,0,E73/C73)</f>
        <v>0.45683541988319876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79868773</v>
      </c>
      <c r="D75" s="26">
        <f>D56+D65+D67+D73</f>
        <v>76543854</v>
      </c>
      <c r="E75" s="26">
        <f>D75-C75</f>
        <v>-3324919</v>
      </c>
      <c r="F75" s="27">
        <f>IF(C75=0,0,E75/C75)</f>
        <v>-4.1629774380032104E-2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261348876</v>
      </c>
      <c r="D11" s="76">
        <v>277042997</v>
      </c>
      <c r="E11" s="76">
        <v>298979957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19641309</v>
      </c>
      <c r="D12" s="185">
        <v>28839184</v>
      </c>
      <c r="E12" s="185">
        <v>28987736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280990185</v>
      </c>
      <c r="D13" s="76">
        <f>+D11+D12</f>
        <v>305882181</v>
      </c>
      <c r="E13" s="76">
        <f>+E11+E12</f>
        <v>327967693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280947508</v>
      </c>
      <c r="D14" s="185">
        <v>300954489</v>
      </c>
      <c r="E14" s="185">
        <v>327855198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42677</v>
      </c>
      <c r="D15" s="76">
        <f>+D13-D14</f>
        <v>4927692</v>
      </c>
      <c r="E15" s="76">
        <f>+E13-E14</f>
        <v>112495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-1341596</v>
      </c>
      <c r="D16" s="185">
        <v>-1200536</v>
      </c>
      <c r="E16" s="185">
        <v>-2138589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-1298919</v>
      </c>
      <c r="D17" s="76">
        <f>D15+D16</f>
        <v>3727156</v>
      </c>
      <c r="E17" s="76">
        <f>E15+E16</f>
        <v>-2026094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1.5260938792006565E-4</v>
      </c>
      <c r="D20" s="189">
        <f>IF(+D27=0,0,+D24/+D27)</f>
        <v>1.6173248637934852E-2</v>
      </c>
      <c r="E20" s="189">
        <f>IF(+E27=0,0,+E24/+E27)</f>
        <v>3.4525767839327208E-4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-4.7974352554305214E-3</v>
      </c>
      <c r="D21" s="189">
        <f>IF(+D27=0,0,+D26/+D27)</f>
        <v>-3.9402964363015698E-3</v>
      </c>
      <c r="E21" s="189">
        <f>IF(+E27=0,0,+E26/+E27)</f>
        <v>-6.5635296962299602E-3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-4.6448258675104558E-3</v>
      </c>
      <c r="D22" s="189">
        <f>IF(+D27=0,0,+D28/+D27)</f>
        <v>1.2232952201633281E-2</v>
      </c>
      <c r="E22" s="189">
        <f>IF(+E27=0,0,+E28/+E27)</f>
        <v>-6.2182720178366874E-3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42677</v>
      </c>
      <c r="D24" s="76">
        <f>+D15</f>
        <v>4927692</v>
      </c>
      <c r="E24" s="76">
        <f>+E15</f>
        <v>112495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280990185</v>
      </c>
      <c r="D25" s="76">
        <f>+D13</f>
        <v>305882181</v>
      </c>
      <c r="E25" s="76">
        <f>+E13</f>
        <v>327967693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-1341596</v>
      </c>
      <c r="D26" s="76">
        <f>+D16</f>
        <v>-1200536</v>
      </c>
      <c r="E26" s="76">
        <f>+E16</f>
        <v>-2138589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279648589</v>
      </c>
      <c r="D27" s="76">
        <f>SUM(D25:D26)</f>
        <v>304681645</v>
      </c>
      <c r="E27" s="76">
        <f>SUM(E25:E26)</f>
        <v>325829104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-1298919</v>
      </c>
      <c r="D28" s="76">
        <f>+D17</f>
        <v>3727156</v>
      </c>
      <c r="E28" s="76">
        <f>+E17</f>
        <v>-2026094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41815956</v>
      </c>
      <c r="D31" s="76">
        <v>36549384</v>
      </c>
      <c r="E31" s="76">
        <v>70965928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55161657</v>
      </c>
      <c r="D32" s="76">
        <v>51601261</v>
      </c>
      <c r="E32" s="76">
        <v>85849149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-16314825</v>
      </c>
      <c r="D33" s="76">
        <f>+D32-C32</f>
        <v>-3560396</v>
      </c>
      <c r="E33" s="76">
        <f>+E32-D32</f>
        <v>34247888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0.77170000000000005</v>
      </c>
      <c r="D34" s="193">
        <f>IF(C32=0,0,+D33/C32)</f>
        <v>-6.4544761590464919E-2</v>
      </c>
      <c r="E34" s="193">
        <f>IF(D32=0,0,+E33/D32)</f>
        <v>0.6637025401375366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1.2552876757622056</v>
      </c>
      <c r="D38" s="338">
        <f>IF(+D40=0,0,+D39/+D40)</f>
        <v>1.456033453204683</v>
      </c>
      <c r="E38" s="338">
        <f>IF(+E40=0,0,+E39/+E40)</f>
        <v>1.311508725619533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71146925</v>
      </c>
      <c r="D39" s="341">
        <v>85875895</v>
      </c>
      <c r="E39" s="341">
        <v>84389707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56677785</v>
      </c>
      <c r="D40" s="341">
        <v>58979342</v>
      </c>
      <c r="E40" s="341">
        <v>64345517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28.477312220814834</v>
      </c>
      <c r="D42" s="343">
        <f>IF((D48/365)=0,0,+D45/(D48/365))</f>
        <v>25.31276254323226</v>
      </c>
      <c r="E42" s="343">
        <f>IF((E48/365)=0,0,+E45/(E48/365))</f>
        <v>25.954656364633504</v>
      </c>
    </row>
    <row r="43" spans="1:14" ht="24" customHeight="1" x14ac:dyDescent="0.2">
      <c r="A43" s="339">
        <v>5</v>
      </c>
      <c r="B43" s="344" t="s">
        <v>16</v>
      </c>
      <c r="C43" s="345">
        <v>20991180</v>
      </c>
      <c r="D43" s="345">
        <v>20052067</v>
      </c>
      <c r="E43" s="345">
        <v>22439356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20991180</v>
      </c>
      <c r="D45" s="341">
        <f>+D43+D44</f>
        <v>20052067</v>
      </c>
      <c r="E45" s="341">
        <f>+E43+E44</f>
        <v>22439356</v>
      </c>
    </row>
    <row r="46" spans="1:14" ht="24" customHeight="1" x14ac:dyDescent="0.2">
      <c r="A46" s="339">
        <v>8</v>
      </c>
      <c r="B46" s="340" t="s">
        <v>334</v>
      </c>
      <c r="C46" s="341">
        <f>+C14</f>
        <v>280947508</v>
      </c>
      <c r="D46" s="341">
        <f>+D14</f>
        <v>300954489</v>
      </c>
      <c r="E46" s="341">
        <f>+E14</f>
        <v>327855198</v>
      </c>
    </row>
    <row r="47" spans="1:14" ht="24" customHeight="1" x14ac:dyDescent="0.2">
      <c r="A47" s="339">
        <v>9</v>
      </c>
      <c r="B47" s="340" t="s">
        <v>356</v>
      </c>
      <c r="C47" s="341">
        <v>11898918</v>
      </c>
      <c r="D47" s="341">
        <v>11811633</v>
      </c>
      <c r="E47" s="341">
        <v>12290822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269048590</v>
      </c>
      <c r="D48" s="341">
        <f>+D46-D47</f>
        <v>289142856</v>
      </c>
      <c r="E48" s="341">
        <f>+E46-E47</f>
        <v>315564376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53.031335746016367</v>
      </c>
      <c r="D50" s="350">
        <f>IF((D55/365)=0,0,+D54/(D55/365))</f>
        <v>63.661404749386243</v>
      </c>
      <c r="E50" s="350">
        <f>IF((E55/365)=0,0,+E54/(E55/365))</f>
        <v>55.516532400865927</v>
      </c>
    </row>
    <row r="51" spans="1:5" ht="24" customHeight="1" x14ac:dyDescent="0.2">
      <c r="A51" s="339">
        <v>12</v>
      </c>
      <c r="B51" s="344" t="s">
        <v>359</v>
      </c>
      <c r="C51" s="351">
        <v>39643428</v>
      </c>
      <c r="D51" s="351">
        <v>46711256</v>
      </c>
      <c r="E51" s="351">
        <v>46524143</v>
      </c>
    </row>
    <row r="52" spans="1:5" ht="24" customHeight="1" x14ac:dyDescent="0.2">
      <c r="A52" s="339">
        <v>13</v>
      </c>
      <c r="B52" s="344" t="s">
        <v>21</v>
      </c>
      <c r="C52" s="341">
        <v>432832</v>
      </c>
      <c r="D52" s="341">
        <v>4402920</v>
      </c>
      <c r="E52" s="341">
        <v>3463096</v>
      </c>
    </row>
    <row r="53" spans="1:5" ht="24" customHeight="1" x14ac:dyDescent="0.2">
      <c r="A53" s="339">
        <v>14</v>
      </c>
      <c r="B53" s="344" t="s">
        <v>49</v>
      </c>
      <c r="C53" s="341">
        <v>2104534</v>
      </c>
      <c r="D53" s="341">
        <v>2793775</v>
      </c>
      <c r="E53" s="341">
        <v>4512361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37971726</v>
      </c>
      <c r="D54" s="352">
        <f>+D51+D52-D53</f>
        <v>48320401</v>
      </c>
      <c r="E54" s="352">
        <f>+E51+E52-E53</f>
        <v>45474878</v>
      </c>
    </row>
    <row r="55" spans="1:5" ht="24" customHeight="1" x14ac:dyDescent="0.2">
      <c r="A55" s="339">
        <v>16</v>
      </c>
      <c r="B55" s="340" t="s">
        <v>75</v>
      </c>
      <c r="C55" s="341">
        <f>+C11</f>
        <v>261348876</v>
      </c>
      <c r="D55" s="341">
        <f>+D11</f>
        <v>277042997</v>
      </c>
      <c r="E55" s="341">
        <f>+E11</f>
        <v>298979957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76.890912251203403</v>
      </c>
      <c r="D57" s="355">
        <f>IF((D61/365)=0,0,+D58/(D61/365))</f>
        <v>74.452677571947333</v>
      </c>
      <c r="E57" s="355">
        <f>IF((E61/365)=0,0,+E58/(E61/365))</f>
        <v>74.425744764675215</v>
      </c>
    </row>
    <row r="58" spans="1:5" ht="24" customHeight="1" x14ac:dyDescent="0.2">
      <c r="A58" s="339">
        <v>18</v>
      </c>
      <c r="B58" s="340" t="s">
        <v>54</v>
      </c>
      <c r="C58" s="353">
        <f>+C40</f>
        <v>56677785</v>
      </c>
      <c r="D58" s="353">
        <f>+D40</f>
        <v>58979342</v>
      </c>
      <c r="E58" s="353">
        <f>+E40</f>
        <v>64345517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280947508</v>
      </c>
      <c r="D59" s="353">
        <f t="shared" si="0"/>
        <v>300954489</v>
      </c>
      <c r="E59" s="353">
        <f t="shared" si="0"/>
        <v>327855198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11898918</v>
      </c>
      <c r="D60" s="356">
        <f t="shared" si="0"/>
        <v>11811633</v>
      </c>
      <c r="E60" s="356">
        <f t="shared" si="0"/>
        <v>12290822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269048590</v>
      </c>
      <c r="D61" s="353">
        <f>+D59-D60</f>
        <v>289142856</v>
      </c>
      <c r="E61" s="353">
        <f>+E59-E60</f>
        <v>315564376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21.030814139247386</v>
      </c>
      <c r="D65" s="357">
        <f>IF(D67=0,0,(D66/D67)*100)</f>
        <v>18.214987550307306</v>
      </c>
      <c r="E65" s="357">
        <f>IF(E67=0,0,(E66/E67)*100)</f>
        <v>30.392657987169152</v>
      </c>
    </row>
    <row r="66" spans="1:5" ht="24" customHeight="1" x14ac:dyDescent="0.2">
      <c r="A66" s="339">
        <v>2</v>
      </c>
      <c r="B66" s="340" t="s">
        <v>67</v>
      </c>
      <c r="C66" s="353">
        <f>+C32</f>
        <v>55161657</v>
      </c>
      <c r="D66" s="353">
        <f>+D32</f>
        <v>51601261</v>
      </c>
      <c r="E66" s="353">
        <f>+E32</f>
        <v>85849149</v>
      </c>
    </row>
    <row r="67" spans="1:5" ht="24" customHeight="1" x14ac:dyDescent="0.2">
      <c r="A67" s="339">
        <v>3</v>
      </c>
      <c r="B67" s="340" t="s">
        <v>43</v>
      </c>
      <c r="C67" s="353">
        <v>262289689</v>
      </c>
      <c r="D67" s="353">
        <v>283290125</v>
      </c>
      <c r="E67" s="353">
        <v>282466736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7.3963999764152506</v>
      </c>
      <c r="D69" s="357">
        <f>IF(D75=0,0,(D72/D75)*100)</f>
        <v>10.605155130874639</v>
      </c>
      <c r="E69" s="357">
        <f>IF(E75=0,0,(E72/E75)*100)</f>
        <v>6.900122957197742</v>
      </c>
    </row>
    <row r="70" spans="1:5" ht="24" customHeight="1" x14ac:dyDescent="0.2">
      <c r="A70" s="339">
        <v>5</v>
      </c>
      <c r="B70" s="340" t="s">
        <v>366</v>
      </c>
      <c r="C70" s="353">
        <f>+C28</f>
        <v>-1298919</v>
      </c>
      <c r="D70" s="353">
        <f>+D28</f>
        <v>3727156</v>
      </c>
      <c r="E70" s="353">
        <f>+E28</f>
        <v>-2026094</v>
      </c>
    </row>
    <row r="71" spans="1:5" ht="24" customHeight="1" x14ac:dyDescent="0.2">
      <c r="A71" s="339">
        <v>6</v>
      </c>
      <c r="B71" s="340" t="s">
        <v>356</v>
      </c>
      <c r="C71" s="356">
        <f>+C47</f>
        <v>11898918</v>
      </c>
      <c r="D71" s="356">
        <f>+D47</f>
        <v>11811633</v>
      </c>
      <c r="E71" s="356">
        <f>+E47</f>
        <v>12290822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10599999</v>
      </c>
      <c r="D72" s="353">
        <f>+D70+D71</f>
        <v>15538789</v>
      </c>
      <c r="E72" s="353">
        <f>+E70+E71</f>
        <v>10264728</v>
      </c>
    </row>
    <row r="73" spans="1:5" ht="24" customHeight="1" x14ac:dyDescent="0.2">
      <c r="A73" s="339">
        <v>8</v>
      </c>
      <c r="B73" s="340" t="s">
        <v>54</v>
      </c>
      <c r="C73" s="341">
        <f>+C40</f>
        <v>56677785</v>
      </c>
      <c r="D73" s="341">
        <f>+D40</f>
        <v>58979342</v>
      </c>
      <c r="E73" s="341">
        <f>+E40</f>
        <v>64345517</v>
      </c>
    </row>
    <row r="74" spans="1:5" ht="24" customHeight="1" x14ac:dyDescent="0.2">
      <c r="A74" s="339">
        <v>9</v>
      </c>
      <c r="B74" s="340" t="s">
        <v>58</v>
      </c>
      <c r="C74" s="353">
        <v>86635165</v>
      </c>
      <c r="D74" s="353">
        <v>87541749</v>
      </c>
      <c r="E74" s="353">
        <v>84416006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143312950</v>
      </c>
      <c r="D75" s="341">
        <f>+D73+D74</f>
        <v>146521091</v>
      </c>
      <c r="E75" s="341">
        <f>+E73+E74</f>
        <v>148761523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61.098100633031116</v>
      </c>
      <c r="D77" s="359">
        <f>IF(D80=0,0,(D78/D80)*100)</f>
        <v>62.914945565716884</v>
      </c>
      <c r="E77" s="359">
        <f>IF(E80=0,0,(E78/E80)*100)</f>
        <v>49.579143777245555</v>
      </c>
    </row>
    <row r="78" spans="1:5" ht="24" customHeight="1" x14ac:dyDescent="0.2">
      <c r="A78" s="339">
        <v>12</v>
      </c>
      <c r="B78" s="340" t="s">
        <v>58</v>
      </c>
      <c r="C78" s="341">
        <f>+C74</f>
        <v>86635165</v>
      </c>
      <c r="D78" s="341">
        <f>+D74</f>
        <v>87541749</v>
      </c>
      <c r="E78" s="341">
        <f>+E74</f>
        <v>84416006</v>
      </c>
    </row>
    <row r="79" spans="1:5" ht="24" customHeight="1" x14ac:dyDescent="0.2">
      <c r="A79" s="339">
        <v>13</v>
      </c>
      <c r="B79" s="340" t="s">
        <v>67</v>
      </c>
      <c r="C79" s="341">
        <f>+C32</f>
        <v>55161657</v>
      </c>
      <c r="D79" s="341">
        <f>+D32</f>
        <v>51601261</v>
      </c>
      <c r="E79" s="341">
        <f>+E32</f>
        <v>85849149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141796822</v>
      </c>
      <c r="D80" s="341">
        <f>+D78+D79</f>
        <v>139143010</v>
      </c>
      <c r="E80" s="341">
        <f>+E78+E79</f>
        <v>170265155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9897</v>
      </c>
      <c r="D11" s="376">
        <v>2567</v>
      </c>
      <c r="E11" s="376">
        <v>2468</v>
      </c>
      <c r="F11" s="377">
        <v>38</v>
      </c>
      <c r="G11" s="377">
        <v>81</v>
      </c>
      <c r="H11" s="378">
        <f>IF(F11=0,0,$C11/(F11*365))</f>
        <v>0.71355443403028118</v>
      </c>
      <c r="I11" s="378">
        <f>IF(G11=0,0,$C11/(G11*365))</f>
        <v>0.334753932014206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2428</v>
      </c>
      <c r="D13" s="376">
        <v>232</v>
      </c>
      <c r="E13" s="376">
        <v>0</v>
      </c>
      <c r="F13" s="377">
        <v>9</v>
      </c>
      <c r="G13" s="377">
        <v>9</v>
      </c>
      <c r="H13" s="378">
        <f>IF(F13=0,0,$C13/(F13*365))</f>
        <v>0.73911719939117204</v>
      </c>
      <c r="I13" s="378">
        <f>IF(G13=0,0,$C13/(G13*365))</f>
        <v>0.73911719939117204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0</v>
      </c>
      <c r="D16" s="376">
        <v>0</v>
      </c>
      <c r="E16" s="376">
        <v>0</v>
      </c>
      <c r="F16" s="377">
        <v>0</v>
      </c>
      <c r="G16" s="377">
        <v>0</v>
      </c>
      <c r="H16" s="378">
        <f t="shared" si="0"/>
        <v>0</v>
      </c>
      <c r="I16" s="378">
        <f t="shared" si="0"/>
        <v>0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0</v>
      </c>
      <c r="D17" s="381">
        <f>SUM(D15:D16)</f>
        <v>0</v>
      </c>
      <c r="E17" s="381">
        <f>SUM(E15:E16)</f>
        <v>0</v>
      </c>
      <c r="F17" s="381">
        <f>SUM(F15:F16)</f>
        <v>0</v>
      </c>
      <c r="G17" s="381">
        <f>SUM(G15:G16)</f>
        <v>0</v>
      </c>
      <c r="H17" s="382">
        <f t="shared" si="0"/>
        <v>0</v>
      </c>
      <c r="I17" s="382">
        <f t="shared" si="0"/>
        <v>0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0</v>
      </c>
      <c r="D21" s="376">
        <v>0</v>
      </c>
      <c r="E21" s="376">
        <v>0</v>
      </c>
      <c r="F21" s="377">
        <v>0</v>
      </c>
      <c r="G21" s="377">
        <v>12</v>
      </c>
      <c r="H21" s="378">
        <f>IF(F21=0,0,$C21/(F21*365))</f>
        <v>0</v>
      </c>
      <c r="I21" s="378">
        <f>IF(G21=0,0,$C21/(G21*365))</f>
        <v>0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0</v>
      </c>
      <c r="D23" s="376">
        <v>0</v>
      </c>
      <c r="E23" s="376">
        <v>0</v>
      </c>
      <c r="F23" s="377">
        <v>0</v>
      </c>
      <c r="G23" s="377">
        <v>16</v>
      </c>
      <c r="H23" s="378">
        <f>IF(F23=0,0,$C23/(F23*365))</f>
        <v>0</v>
      </c>
      <c r="I23" s="378">
        <f>IF(G23=0,0,$C23/(G23*365))</f>
        <v>0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12325</v>
      </c>
      <c r="D31" s="384">
        <f>SUM(D10:D29)-D13-D17-D23</f>
        <v>2567</v>
      </c>
      <c r="E31" s="384">
        <f>SUM(E10:E29)-E17-E23</f>
        <v>2468</v>
      </c>
      <c r="F31" s="384">
        <f>SUM(F10:F29)-F17-F23</f>
        <v>47</v>
      </c>
      <c r="G31" s="384">
        <f>SUM(G10:G29)-G17-G23</f>
        <v>102</v>
      </c>
      <c r="H31" s="385">
        <f>IF(F31=0,0,$C31/(F31*365))</f>
        <v>0.71844943165257946</v>
      </c>
      <c r="I31" s="385">
        <f>IF(G31=0,0,$C31/(G31*365))</f>
        <v>0.33105022831050229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12325</v>
      </c>
      <c r="D33" s="384">
        <f>SUM(D10:D29)-D13-D17</f>
        <v>2567</v>
      </c>
      <c r="E33" s="384">
        <f>SUM(E10:E29)-E17</f>
        <v>2468</v>
      </c>
      <c r="F33" s="384">
        <f>SUM(F10:F29)-F17</f>
        <v>47</v>
      </c>
      <c r="G33" s="384">
        <f>SUM(G10:G29)-G17</f>
        <v>118</v>
      </c>
      <c r="H33" s="385">
        <f>IF(F33=0,0,$C33/(F33*365))</f>
        <v>0.71844943165257946</v>
      </c>
      <c r="I33" s="385">
        <f>IF(G33=0,0,$C33/(G33*365))</f>
        <v>0.2861620617599257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12325</v>
      </c>
      <c r="D36" s="384">
        <f t="shared" si="1"/>
        <v>2567</v>
      </c>
      <c r="E36" s="384">
        <f t="shared" si="1"/>
        <v>2468</v>
      </c>
      <c r="F36" s="384">
        <f t="shared" si="1"/>
        <v>47</v>
      </c>
      <c r="G36" s="384">
        <f t="shared" si="1"/>
        <v>118</v>
      </c>
      <c r="H36" s="387">
        <f t="shared" si="1"/>
        <v>0.71844943165257946</v>
      </c>
      <c r="I36" s="387">
        <f t="shared" si="1"/>
        <v>0.2861620617599257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13056</v>
      </c>
      <c r="D37" s="384">
        <v>2519</v>
      </c>
      <c r="E37" s="384">
        <v>2384</v>
      </c>
      <c r="F37" s="386">
        <v>47</v>
      </c>
      <c r="G37" s="386">
        <v>118</v>
      </c>
      <c r="H37" s="385">
        <f>IF(F37=0,0,$C37/(F37*365))</f>
        <v>0.76106091518507724</v>
      </c>
      <c r="I37" s="385">
        <f>IF(G37=0,0,$C37/(G37*365))</f>
        <v>0.3031344323194799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-731</v>
      </c>
      <c r="D38" s="384">
        <f t="shared" si="2"/>
        <v>48</v>
      </c>
      <c r="E38" s="384">
        <f t="shared" si="2"/>
        <v>84</v>
      </c>
      <c r="F38" s="384">
        <f t="shared" si="2"/>
        <v>0</v>
      </c>
      <c r="G38" s="384">
        <f t="shared" si="2"/>
        <v>0</v>
      </c>
      <c r="H38" s="387">
        <f t="shared" si="2"/>
        <v>-4.2611483532497774E-2</v>
      </c>
      <c r="I38" s="387">
        <f t="shared" si="2"/>
        <v>-1.6972370559554195E-2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-5.5989583333333336E-2</v>
      </c>
      <c r="D40" s="389">
        <f t="shared" si="3"/>
        <v>1.9055180627233027E-2</v>
      </c>
      <c r="E40" s="389">
        <f t="shared" si="3"/>
        <v>3.5234899328859058E-2</v>
      </c>
      <c r="F40" s="389">
        <f t="shared" si="3"/>
        <v>0</v>
      </c>
      <c r="G40" s="389">
        <f t="shared" si="3"/>
        <v>0</v>
      </c>
      <c r="H40" s="389">
        <f t="shared" si="3"/>
        <v>-5.598958333333328E-2</v>
      </c>
      <c r="I40" s="389">
        <f t="shared" si="3"/>
        <v>-5.5989583333333273E-2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118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1817</v>
      </c>
      <c r="D12" s="409">
        <v>1965</v>
      </c>
      <c r="E12" s="409">
        <f>+D12-C12</f>
        <v>148</v>
      </c>
      <c r="F12" s="410">
        <f>IF(C12=0,0,+E12/C12)</f>
        <v>8.1452944413869022E-2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4447</v>
      </c>
      <c r="D13" s="409">
        <v>4746</v>
      </c>
      <c r="E13" s="409">
        <f>+D13-C13</f>
        <v>299</v>
      </c>
      <c r="F13" s="410">
        <f>IF(C13=0,0,+E13/C13)</f>
        <v>6.7236339105014614E-2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1729</v>
      </c>
      <c r="D14" s="409">
        <v>1845</v>
      </c>
      <c r="E14" s="409">
        <f>+D14-C14</f>
        <v>116</v>
      </c>
      <c r="F14" s="410">
        <f>IF(C14=0,0,+E14/C14)</f>
        <v>6.7090803932909199E-2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7993</v>
      </c>
      <c r="D16" s="401">
        <f>SUM(D12:D15)</f>
        <v>8556</v>
      </c>
      <c r="E16" s="401">
        <f>+D16-C16</f>
        <v>563</v>
      </c>
      <c r="F16" s="402">
        <f>IF(C16=0,0,+E16/C16)</f>
        <v>7.0436632053046414E-2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234</v>
      </c>
      <c r="D19" s="409">
        <v>291</v>
      </c>
      <c r="E19" s="409">
        <f>+D19-C19</f>
        <v>57</v>
      </c>
      <c r="F19" s="410">
        <f>IF(C19=0,0,+E19/C19)</f>
        <v>0.24358974358974358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1496</v>
      </c>
      <c r="D20" s="409">
        <v>1460</v>
      </c>
      <c r="E20" s="409">
        <f>+D20-C20</f>
        <v>-36</v>
      </c>
      <c r="F20" s="410">
        <f>IF(C20=0,0,+E20/C20)</f>
        <v>-2.4064171122994651E-2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15</v>
      </c>
      <c r="D21" s="409">
        <v>15</v>
      </c>
      <c r="E21" s="409">
        <f>+D21-C21</f>
        <v>0</v>
      </c>
      <c r="F21" s="410">
        <f>IF(C21=0,0,+E21/C21)</f>
        <v>0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1745</v>
      </c>
      <c r="D23" s="401">
        <f>SUM(D19:D22)</f>
        <v>1766</v>
      </c>
      <c r="E23" s="401">
        <f>+D23-C23</f>
        <v>21</v>
      </c>
      <c r="F23" s="402">
        <f>IF(C23=0,0,+E23/C23)</f>
        <v>1.2034383954154728E-2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0</v>
      </c>
      <c r="D44" s="409">
        <v>0</v>
      </c>
      <c r="E44" s="409">
        <f>+D44-C44</f>
        <v>0</v>
      </c>
      <c r="F44" s="410">
        <f>IF(C44=0,0,+E44/C44)</f>
        <v>0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0</v>
      </c>
      <c r="D45" s="401">
        <f>SUM(D43:D44)</f>
        <v>0</v>
      </c>
      <c r="E45" s="401">
        <f>+D45-C45</f>
        <v>0</v>
      </c>
      <c r="F45" s="402">
        <f>IF(C45=0,0,+E45/C45)</f>
        <v>0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0</v>
      </c>
      <c r="D48" s="409">
        <v>0</v>
      </c>
      <c r="E48" s="409">
        <f>+D48-C48</f>
        <v>0</v>
      </c>
      <c r="F48" s="410">
        <f>IF(C48=0,0,+E48/C48)</f>
        <v>0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0</v>
      </c>
      <c r="D49" s="409">
        <v>0</v>
      </c>
      <c r="E49" s="409">
        <f>+D49-C49</f>
        <v>0</v>
      </c>
      <c r="F49" s="410">
        <f>IF(C49=0,0,+E49/C49)</f>
        <v>0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0</v>
      </c>
      <c r="D50" s="401">
        <f>SUM(D48:D49)</f>
        <v>0</v>
      </c>
      <c r="E50" s="401">
        <f>+D50-C50</f>
        <v>0</v>
      </c>
      <c r="F50" s="402">
        <f>IF(C50=0,0,+E50/C50)</f>
        <v>0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0</v>
      </c>
      <c r="D53" s="409">
        <v>0</v>
      </c>
      <c r="E53" s="409">
        <f>+D53-C53</f>
        <v>0</v>
      </c>
      <c r="F53" s="410">
        <f>IF(C53=0,0,+E53/C53)</f>
        <v>0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0</v>
      </c>
      <c r="D55" s="401">
        <f>SUM(D53:D54)</f>
        <v>0</v>
      </c>
      <c r="E55" s="401">
        <f>+D55-C55</f>
        <v>0</v>
      </c>
      <c r="F55" s="402">
        <f>IF(C55=0,0,+E55/C55)</f>
        <v>0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635</v>
      </c>
      <c r="D63" s="409">
        <v>662</v>
      </c>
      <c r="E63" s="409">
        <f>+D63-C63</f>
        <v>27</v>
      </c>
      <c r="F63" s="410">
        <f>IF(C63=0,0,+E63/C63)</f>
        <v>4.2519685039370078E-2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1653</v>
      </c>
      <c r="D64" s="409">
        <v>1566</v>
      </c>
      <c r="E64" s="409">
        <f>+D64-C64</f>
        <v>-87</v>
      </c>
      <c r="F64" s="410">
        <f>IF(C64=0,0,+E64/C64)</f>
        <v>-5.2631578947368418E-2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2288</v>
      </c>
      <c r="D65" s="401">
        <f>SUM(D63:D64)</f>
        <v>2228</v>
      </c>
      <c r="E65" s="401">
        <f>+D65-C65</f>
        <v>-60</v>
      </c>
      <c r="F65" s="402">
        <f>IF(C65=0,0,+E65/C65)</f>
        <v>-2.6223776223776224E-2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182</v>
      </c>
      <c r="D68" s="409">
        <v>187</v>
      </c>
      <c r="E68" s="409">
        <f>+D68-C68</f>
        <v>5</v>
      </c>
      <c r="F68" s="410">
        <f>IF(C68=0,0,+E68/C68)</f>
        <v>2.7472527472527472E-2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2625</v>
      </c>
      <c r="D69" s="409">
        <v>2761</v>
      </c>
      <c r="E69" s="409">
        <f>+D69-C69</f>
        <v>136</v>
      </c>
      <c r="F69" s="412">
        <f>IF(C69=0,0,+E69/C69)</f>
        <v>5.1809523809523812E-2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2807</v>
      </c>
      <c r="D70" s="401">
        <f>SUM(D68:D69)</f>
        <v>2948</v>
      </c>
      <c r="E70" s="401">
        <f>+D70-C70</f>
        <v>141</v>
      </c>
      <c r="F70" s="402">
        <f>IF(C70=0,0,+E70/C70)</f>
        <v>5.0231563947274668E-2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2144</v>
      </c>
      <c r="D73" s="376">
        <v>2465</v>
      </c>
      <c r="E73" s="409">
        <f>+D73-C73</f>
        <v>321</v>
      </c>
      <c r="F73" s="410">
        <f>IF(C73=0,0,+E73/C73)</f>
        <v>0.14972014925373134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24278</v>
      </c>
      <c r="D74" s="376">
        <v>22671</v>
      </c>
      <c r="E74" s="409">
        <f>+D74-C74</f>
        <v>-1607</v>
      </c>
      <c r="F74" s="410">
        <f>IF(C74=0,0,+E74/C74)</f>
        <v>-6.6191613806738617E-2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26422</v>
      </c>
      <c r="D75" s="401">
        <f>SUM(D73:D74)</f>
        <v>25136</v>
      </c>
      <c r="E75" s="401">
        <f>SUM(E73:E74)</f>
        <v>-1286</v>
      </c>
      <c r="F75" s="402">
        <f>IF(C75=0,0,+E75/C75)</f>
        <v>-4.8671561577473314E-2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0</v>
      </c>
      <c r="D81" s="376">
        <v>0</v>
      </c>
      <c r="E81" s="409">
        <f t="shared" si="0"/>
        <v>0</v>
      </c>
      <c r="F81" s="410">
        <f t="shared" si="1"/>
        <v>0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6175</v>
      </c>
      <c r="E84" s="409">
        <f t="shared" si="0"/>
        <v>6175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1716</v>
      </c>
      <c r="D87" s="376">
        <v>0</v>
      </c>
      <c r="E87" s="409">
        <f t="shared" si="0"/>
        <v>-1716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1526</v>
      </c>
      <c r="E90" s="409">
        <f t="shared" si="0"/>
        <v>1526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1716</v>
      </c>
      <c r="D92" s="381">
        <f>SUM(D79:D91)</f>
        <v>7701</v>
      </c>
      <c r="E92" s="401">
        <f t="shared" si="0"/>
        <v>5985</v>
      </c>
      <c r="F92" s="402">
        <f t="shared" si="1"/>
        <v>3.4877622377622379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36009</v>
      </c>
      <c r="D95" s="414">
        <v>41165</v>
      </c>
      <c r="E95" s="415">
        <f t="shared" ref="E95:E100" si="2">+D95-C95</f>
        <v>5156</v>
      </c>
      <c r="F95" s="412">
        <f t="shared" ref="F95:F100" si="3">IF(C95=0,0,+E95/C95)</f>
        <v>0.14318642561581826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8071</v>
      </c>
      <c r="D96" s="414">
        <v>7807</v>
      </c>
      <c r="E96" s="409">
        <f t="shared" si="2"/>
        <v>-264</v>
      </c>
      <c r="F96" s="410">
        <f t="shared" si="3"/>
        <v>-3.2709701400074342E-2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0</v>
      </c>
      <c r="D97" s="414">
        <v>0</v>
      </c>
      <c r="E97" s="409">
        <f t="shared" si="2"/>
        <v>0</v>
      </c>
      <c r="F97" s="410">
        <f t="shared" si="3"/>
        <v>0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2625</v>
      </c>
      <c r="D98" s="414">
        <v>2761</v>
      </c>
      <c r="E98" s="409">
        <f t="shared" si="2"/>
        <v>136</v>
      </c>
      <c r="F98" s="410">
        <f t="shared" si="3"/>
        <v>5.1809523809523812E-2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31309</v>
      </c>
      <c r="D99" s="414">
        <v>38378</v>
      </c>
      <c r="E99" s="409">
        <f t="shared" si="2"/>
        <v>7069</v>
      </c>
      <c r="F99" s="410">
        <f t="shared" si="3"/>
        <v>0.22578172410488997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78014</v>
      </c>
      <c r="D100" s="381">
        <f>SUM(D95:D99)</f>
        <v>90111</v>
      </c>
      <c r="E100" s="401">
        <f t="shared" si="2"/>
        <v>12097</v>
      </c>
      <c r="F100" s="402">
        <f t="shared" si="3"/>
        <v>0.15506191196451918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119</v>
      </c>
      <c r="D104" s="416">
        <v>116.6</v>
      </c>
      <c r="E104" s="417">
        <f>+D104-C104</f>
        <v>-2.4000000000000057</v>
      </c>
      <c r="F104" s="410">
        <f>IF(C104=0,0,+E104/C104)</f>
        <v>-2.0168067226890803E-2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6.3</v>
      </c>
      <c r="D105" s="416">
        <v>5.2</v>
      </c>
      <c r="E105" s="417">
        <f>+D105-C105</f>
        <v>-1.0999999999999996</v>
      </c>
      <c r="F105" s="410">
        <f>IF(C105=0,0,+E105/C105)</f>
        <v>-0.17460317460317454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251.3</v>
      </c>
      <c r="D106" s="416">
        <v>256.5</v>
      </c>
      <c r="E106" s="417">
        <f>+D106-C106</f>
        <v>5.1999999999999886</v>
      </c>
      <c r="F106" s="410">
        <f>IF(C106=0,0,+E106/C106)</f>
        <v>2.0692399522483043E-2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376.6</v>
      </c>
      <c r="D107" s="418">
        <f>SUM(D104:D106)</f>
        <v>378.3</v>
      </c>
      <c r="E107" s="418">
        <f>+D107-C107</f>
        <v>1.6999999999999886</v>
      </c>
      <c r="F107" s="402">
        <f>IF(C107=0,0,+E107/C107)</f>
        <v>4.5140732873074577E-3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1653</v>
      </c>
      <c r="D12" s="409">
        <v>1566</v>
      </c>
      <c r="E12" s="409">
        <f>+D12-C12</f>
        <v>-87</v>
      </c>
      <c r="F12" s="410">
        <f>IF(C12=0,0,+E12/C12)</f>
        <v>-5.2631578947368418E-2</v>
      </c>
    </row>
    <row r="13" spans="1:6" ht="15.75" customHeight="1" x14ac:dyDescent="0.25">
      <c r="A13" s="374"/>
      <c r="B13" s="399" t="s">
        <v>622</v>
      </c>
      <c r="C13" s="401">
        <f>SUM(C11:C12)</f>
        <v>1653</v>
      </c>
      <c r="D13" s="401">
        <f>SUM(D11:D12)</f>
        <v>1566</v>
      </c>
      <c r="E13" s="401">
        <f>+D13-C13</f>
        <v>-87</v>
      </c>
      <c r="F13" s="402">
        <f>IF(C13=0,0,+E13/C13)</f>
        <v>-5.2631578947368418E-2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2625</v>
      </c>
      <c r="D16" s="409">
        <v>2761</v>
      </c>
      <c r="E16" s="409">
        <f>+D16-C16</f>
        <v>136</v>
      </c>
      <c r="F16" s="410">
        <f>IF(C16=0,0,+E16/C16)</f>
        <v>5.1809523809523812E-2</v>
      </c>
    </row>
    <row r="17" spans="1:6" ht="15.75" customHeight="1" x14ac:dyDescent="0.25">
      <c r="A17" s="374"/>
      <c r="B17" s="399" t="s">
        <v>623</v>
      </c>
      <c r="C17" s="401">
        <f>SUM(C15:C16)</f>
        <v>2625</v>
      </c>
      <c r="D17" s="401">
        <f>SUM(D15:D16)</f>
        <v>2761</v>
      </c>
      <c r="E17" s="401">
        <f>+D17-C17</f>
        <v>136</v>
      </c>
      <c r="F17" s="402">
        <f>IF(C17=0,0,+E17/C17)</f>
        <v>5.1809523809523812E-2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625</v>
      </c>
      <c r="C20" s="409">
        <v>24278</v>
      </c>
      <c r="D20" s="409">
        <v>22671</v>
      </c>
      <c r="E20" s="409">
        <f>+D20-C20</f>
        <v>-1607</v>
      </c>
      <c r="F20" s="410">
        <f>IF(C20=0,0,+E20/C20)</f>
        <v>-6.6191613806738617E-2</v>
      </c>
    </row>
    <row r="21" spans="1:6" ht="15.75" customHeight="1" x14ac:dyDescent="0.25">
      <c r="A21" s="374"/>
      <c r="B21" s="399" t="s">
        <v>626</v>
      </c>
      <c r="C21" s="401">
        <f>SUM(C19:C20)</f>
        <v>24278</v>
      </c>
      <c r="D21" s="401">
        <f>SUM(D19:D20)</f>
        <v>22671</v>
      </c>
      <c r="E21" s="401">
        <f>+D21-C21</f>
        <v>-1607</v>
      </c>
      <c r="F21" s="402">
        <f>IF(C21=0,0,+E21/C21)</f>
        <v>-6.6191613806738617E-2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627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628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46740240</v>
      </c>
      <c r="D15" s="448">
        <v>54539339</v>
      </c>
      <c r="E15" s="448">
        <f t="shared" ref="E15:E24" si="0">D15-C15</f>
        <v>7799099</v>
      </c>
      <c r="F15" s="449">
        <f t="shared" ref="F15:F24" si="1">IF(C15=0,0,E15/C15)</f>
        <v>0.16686048253068447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15389796</v>
      </c>
      <c r="D16" s="448">
        <v>16580364</v>
      </c>
      <c r="E16" s="448">
        <f t="shared" si="0"/>
        <v>1190568</v>
      </c>
      <c r="F16" s="449">
        <f t="shared" si="1"/>
        <v>7.73608695008043E-2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0.32926223742111721</v>
      </c>
      <c r="D17" s="453">
        <f>IF(LN_IA1=0,0,LN_IA2/LN_IA1)</f>
        <v>0.30400742480579018</v>
      </c>
      <c r="E17" s="454">
        <f t="shared" si="0"/>
        <v>-2.5254812615327027E-2</v>
      </c>
      <c r="F17" s="449">
        <f t="shared" si="1"/>
        <v>-7.6701211815635051E-2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1655</v>
      </c>
      <c r="D18" s="456">
        <v>1707</v>
      </c>
      <c r="E18" s="456">
        <f t="shared" si="0"/>
        <v>52</v>
      </c>
      <c r="F18" s="449">
        <f t="shared" si="1"/>
        <v>3.1419939577039278E-2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1.49234</v>
      </c>
      <c r="D19" s="459">
        <v>1.5663100000000001</v>
      </c>
      <c r="E19" s="460">
        <f t="shared" si="0"/>
        <v>7.3970000000000091E-2</v>
      </c>
      <c r="F19" s="449">
        <f t="shared" si="1"/>
        <v>4.9566452685045025E-2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2469.8227000000002</v>
      </c>
      <c r="D20" s="463">
        <f>LN_IA4*LN_IA5</f>
        <v>2673.6911700000001</v>
      </c>
      <c r="E20" s="463">
        <f t="shared" si="0"/>
        <v>203.86846999999989</v>
      </c>
      <c r="F20" s="449">
        <f t="shared" si="1"/>
        <v>8.2543767210496471E-2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6231.1339190460913</v>
      </c>
      <c r="D21" s="465">
        <f>IF(LN_IA6=0,0,LN_IA2/LN_IA6)</f>
        <v>6201.3011024006937</v>
      </c>
      <c r="E21" s="465">
        <f t="shared" si="0"/>
        <v>-29.832816645397543</v>
      </c>
      <c r="F21" s="449">
        <f t="shared" si="1"/>
        <v>-4.7877026931182655E-3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9334</v>
      </c>
      <c r="D22" s="456">
        <v>8933</v>
      </c>
      <c r="E22" s="456">
        <f t="shared" si="0"/>
        <v>-401</v>
      </c>
      <c r="F22" s="449">
        <f t="shared" si="1"/>
        <v>-4.2961217055924573E-2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1648.7889436468824</v>
      </c>
      <c r="D23" s="465">
        <f>IF(LN_IA8=0,0,LN_IA2/LN_IA8)</f>
        <v>1856.0801522444867</v>
      </c>
      <c r="E23" s="465">
        <f t="shared" si="0"/>
        <v>207.29120859760428</v>
      </c>
      <c r="F23" s="449">
        <f t="shared" si="1"/>
        <v>0.12572331309979926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5.6398791540785496</v>
      </c>
      <c r="D24" s="466">
        <f>IF(LN_IA4=0,0,LN_IA8/LN_IA4)</f>
        <v>5.2331575864089048</v>
      </c>
      <c r="E24" s="466">
        <f t="shared" si="0"/>
        <v>-0.40672156766964473</v>
      </c>
      <c r="F24" s="449">
        <f t="shared" si="1"/>
        <v>-7.2115298317255425E-2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39612350</v>
      </c>
      <c r="D27" s="448">
        <v>49578911</v>
      </c>
      <c r="E27" s="448">
        <f t="shared" ref="E27:E32" si="2">D27-C27</f>
        <v>9966561</v>
      </c>
      <c r="F27" s="449">
        <f t="shared" ref="F27:F32" si="3">IF(C27=0,0,E27/C27)</f>
        <v>0.2516023664337006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9596522</v>
      </c>
      <c r="D28" s="448">
        <v>10397051</v>
      </c>
      <c r="E28" s="448">
        <f t="shared" si="2"/>
        <v>800529</v>
      </c>
      <c r="F28" s="449">
        <f t="shared" si="3"/>
        <v>8.3418659385139746E-2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0.24226086056495008</v>
      </c>
      <c r="D29" s="453">
        <f>IF(LN_IA11=0,0,LN_IA12/LN_IA11)</f>
        <v>0.20970712729047236</v>
      </c>
      <c r="E29" s="454">
        <f t="shared" si="2"/>
        <v>-3.255373327447772E-2</v>
      </c>
      <c r="F29" s="449">
        <f t="shared" si="3"/>
        <v>-0.1343747116169022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0.84749992725754086</v>
      </c>
      <c r="D30" s="453">
        <f>IF(LN_IA1=0,0,LN_IA11/LN_IA1)</f>
        <v>0.90904862268316089</v>
      </c>
      <c r="E30" s="454">
        <f t="shared" si="2"/>
        <v>6.1548695425620026E-2</v>
      </c>
      <c r="F30" s="449">
        <f t="shared" si="3"/>
        <v>7.2623835644196374E-2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1402.6123796112302</v>
      </c>
      <c r="D31" s="463">
        <f>LN_IA14*LN_IA4</f>
        <v>1551.7459989201557</v>
      </c>
      <c r="E31" s="463">
        <f t="shared" si="2"/>
        <v>149.13361930892552</v>
      </c>
      <c r="F31" s="449">
        <f t="shared" si="3"/>
        <v>0.10632561174902913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6841.8917011554695</v>
      </c>
      <c r="D32" s="465">
        <f>IF(LN_IA15=0,0,LN_IA12/LN_IA15)</f>
        <v>6700.227361459416</v>
      </c>
      <c r="E32" s="465">
        <f t="shared" si="2"/>
        <v>-141.6643396960535</v>
      </c>
      <c r="F32" s="449">
        <f t="shared" si="3"/>
        <v>-2.0705434386242772E-2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86352590</v>
      </c>
      <c r="D35" s="448">
        <f>LN_IA1+LN_IA11</f>
        <v>104118250</v>
      </c>
      <c r="E35" s="448">
        <f>D35-C35</f>
        <v>17765660</v>
      </c>
      <c r="F35" s="449">
        <f>IF(C35=0,0,E35/C35)</f>
        <v>0.20573395656111762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24986318</v>
      </c>
      <c r="D36" s="448">
        <f>LN_IA2+LN_IA12</f>
        <v>26977415</v>
      </c>
      <c r="E36" s="448">
        <f>D36-C36</f>
        <v>1991097</v>
      </c>
      <c r="F36" s="449">
        <f>IF(C36=0,0,E36/C36)</f>
        <v>7.9687491370277128E-2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61366272</v>
      </c>
      <c r="D37" s="448">
        <f>LN_IA17-LN_IA18</f>
        <v>77140835</v>
      </c>
      <c r="E37" s="448">
        <f>D37-C37</f>
        <v>15774563</v>
      </c>
      <c r="F37" s="449">
        <f>IF(C37=0,0,E37/C37)</f>
        <v>0.25705591175556503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16101706</v>
      </c>
      <c r="D42" s="448">
        <v>15954883</v>
      </c>
      <c r="E42" s="448">
        <f t="shared" ref="E42:E53" si="4">D42-C42</f>
        <v>-146823</v>
      </c>
      <c r="F42" s="449">
        <f t="shared" ref="F42:F53" si="5">IF(C42=0,0,E42/C42)</f>
        <v>-9.1184747752815765E-3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7991645</v>
      </c>
      <c r="D43" s="448">
        <v>6814839</v>
      </c>
      <c r="E43" s="448">
        <f t="shared" si="4"/>
        <v>-1176806</v>
      </c>
      <c r="F43" s="449">
        <f t="shared" si="5"/>
        <v>-0.14725453895912544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0.49632287411035825</v>
      </c>
      <c r="D44" s="453">
        <f>IF(LN_IB1=0,0,LN_IB2/LN_IB1)</f>
        <v>0.42713186928415581</v>
      </c>
      <c r="E44" s="454">
        <f t="shared" si="4"/>
        <v>-6.919100482620244E-2</v>
      </c>
      <c r="F44" s="449">
        <f t="shared" si="5"/>
        <v>-0.13940724563667339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594</v>
      </c>
      <c r="D45" s="456">
        <v>561</v>
      </c>
      <c r="E45" s="456">
        <f t="shared" si="4"/>
        <v>-33</v>
      </c>
      <c r="F45" s="449">
        <f t="shared" si="5"/>
        <v>-5.5555555555555552E-2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1.6539200000000001</v>
      </c>
      <c r="D46" s="459">
        <v>1.67222</v>
      </c>
      <c r="E46" s="460">
        <f t="shared" si="4"/>
        <v>1.8299999999999983E-2</v>
      </c>
      <c r="F46" s="449">
        <f t="shared" si="5"/>
        <v>1.1064622230821311E-2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982.42848000000004</v>
      </c>
      <c r="D47" s="463">
        <f>LN_IB4*LN_IB5</f>
        <v>938.11541999999997</v>
      </c>
      <c r="E47" s="463">
        <f t="shared" si="4"/>
        <v>-44.313060000000064</v>
      </c>
      <c r="F47" s="449">
        <f t="shared" si="5"/>
        <v>-4.5105634559779929E-2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8134.5819697735142</v>
      </c>
      <c r="D48" s="465">
        <f>IF(LN_IB6=0,0,LN_IB2/LN_IB6)</f>
        <v>7264.3929038070819</v>
      </c>
      <c r="E48" s="465">
        <f t="shared" si="4"/>
        <v>-870.18906596643228</v>
      </c>
      <c r="F48" s="449">
        <f t="shared" si="5"/>
        <v>-0.10697403618279114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-1903.4480507274229</v>
      </c>
      <c r="D49" s="465">
        <f>LN_IA7-LN_IB7</f>
        <v>-1063.0918014063882</v>
      </c>
      <c r="E49" s="465">
        <f t="shared" si="4"/>
        <v>840.35624932103474</v>
      </c>
      <c r="F49" s="449">
        <f t="shared" si="5"/>
        <v>-0.44149156001388307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-1870001.5752351051</v>
      </c>
      <c r="D50" s="479">
        <f>LN_IB8*LN_IB6</f>
        <v>-997302.81177491043</v>
      </c>
      <c r="E50" s="479">
        <f t="shared" si="4"/>
        <v>872698.76346019469</v>
      </c>
      <c r="F50" s="449">
        <f t="shared" si="5"/>
        <v>-0.46668343760644965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2351</v>
      </c>
      <c r="D51" s="456">
        <v>1952</v>
      </c>
      <c r="E51" s="456">
        <f t="shared" si="4"/>
        <v>-399</v>
      </c>
      <c r="F51" s="449">
        <f t="shared" si="5"/>
        <v>-0.169715014887282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3399.2535091450445</v>
      </c>
      <c r="D52" s="465">
        <f>IF(LN_IB10=0,0,LN_IB2/LN_IB10)</f>
        <v>3491.2085040983607</v>
      </c>
      <c r="E52" s="465">
        <f t="shared" si="4"/>
        <v>91.954994953316145</v>
      </c>
      <c r="F52" s="449">
        <f t="shared" si="5"/>
        <v>2.7051526079455015E-2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3.957912457912458</v>
      </c>
      <c r="D53" s="466">
        <f>IF(LN_IB4=0,0,LN_IB10/LN_IB4)</f>
        <v>3.4795008912655971</v>
      </c>
      <c r="E53" s="466">
        <f t="shared" si="4"/>
        <v>-0.47841156664686091</v>
      </c>
      <c r="F53" s="449">
        <f t="shared" si="5"/>
        <v>-0.12087472164535745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54651449</v>
      </c>
      <c r="D56" s="448">
        <v>65672132</v>
      </c>
      <c r="E56" s="448">
        <f t="shared" ref="E56:E63" si="6">D56-C56</f>
        <v>11020683</v>
      </c>
      <c r="F56" s="449">
        <f t="shared" ref="F56:F63" si="7">IF(C56=0,0,E56/C56)</f>
        <v>0.20165399457203778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26006860</v>
      </c>
      <c r="D57" s="448">
        <v>28599353</v>
      </c>
      <c r="E57" s="448">
        <f t="shared" si="6"/>
        <v>2592493</v>
      </c>
      <c r="F57" s="449">
        <f t="shared" si="7"/>
        <v>9.9684967735435961E-2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0.47586771212598589</v>
      </c>
      <c r="D58" s="453">
        <f>IF(LN_IB13=0,0,LN_IB14/LN_IB13)</f>
        <v>0.43548689724280615</v>
      </c>
      <c r="E58" s="454">
        <f t="shared" si="6"/>
        <v>-4.0380814883179739E-2</v>
      </c>
      <c r="F58" s="449">
        <f t="shared" si="7"/>
        <v>-8.4857227868590762E-2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3.394140285507635</v>
      </c>
      <c r="D59" s="453">
        <f>IF(LN_IB1=0,0,LN_IB13/LN_IB1)</f>
        <v>4.1161149223093645</v>
      </c>
      <c r="E59" s="454">
        <f t="shared" si="6"/>
        <v>0.72197463680172946</v>
      </c>
      <c r="F59" s="449">
        <f t="shared" si="7"/>
        <v>0.21271207907476028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2016.1193295915352</v>
      </c>
      <c r="D60" s="463">
        <f>LN_IB16*LN_IB4</f>
        <v>2309.1404714155533</v>
      </c>
      <c r="E60" s="463">
        <f t="shared" si="6"/>
        <v>293.02114182401806</v>
      </c>
      <c r="F60" s="449">
        <f t="shared" si="7"/>
        <v>0.14533918579282903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12899.464638965084</v>
      </c>
      <c r="D61" s="465">
        <f>IF(LN_IB17=0,0,LN_IB14/LN_IB17)</f>
        <v>12385.280737151506</v>
      </c>
      <c r="E61" s="465">
        <f t="shared" si="6"/>
        <v>-514.1839018135779</v>
      </c>
      <c r="F61" s="449">
        <f t="shared" si="7"/>
        <v>-3.9860871455114168E-2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-6057.5729378096148</v>
      </c>
      <c r="D62" s="465">
        <f>LN_IA16-LN_IB18</f>
        <v>-5685.0533756920904</v>
      </c>
      <c r="E62" s="465">
        <f t="shared" si="6"/>
        <v>372.5195621175244</v>
      </c>
      <c r="F62" s="449">
        <f t="shared" si="7"/>
        <v>-6.1496504613649014E-2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-12212789.890328547</v>
      </c>
      <c r="D63" s="448">
        <f>LN_IB19*LN_IB17</f>
        <v>-13127586.831968216</v>
      </c>
      <c r="E63" s="448">
        <f t="shared" si="6"/>
        <v>-914796.94163966924</v>
      </c>
      <c r="F63" s="449">
        <f t="shared" si="7"/>
        <v>7.4904829269527337E-2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70753155</v>
      </c>
      <c r="D66" s="448">
        <f>LN_IB1+LN_IB13</f>
        <v>81627015</v>
      </c>
      <c r="E66" s="448">
        <f>D66-C66</f>
        <v>10873860</v>
      </c>
      <c r="F66" s="449">
        <f>IF(C66=0,0,E66/C66)</f>
        <v>0.15368728080041094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33998505</v>
      </c>
      <c r="D67" s="448">
        <f>LN_IB2+LN_IB14</f>
        <v>35414192</v>
      </c>
      <c r="E67" s="448">
        <f>D67-C67</f>
        <v>1415687</v>
      </c>
      <c r="F67" s="449">
        <f>IF(C67=0,0,E67/C67)</f>
        <v>4.1639683862569839E-2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36754650</v>
      </c>
      <c r="D68" s="448">
        <f>LN_IB21-LN_IB22</f>
        <v>46212823</v>
      </c>
      <c r="E68" s="448">
        <f>D68-C68</f>
        <v>9458173</v>
      </c>
      <c r="F68" s="449">
        <f>IF(C68=0,0,E68/C68)</f>
        <v>0.25733269123770736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-14082791.465563651</v>
      </c>
      <c r="D70" s="441">
        <f>LN_IB9+LN_IB20</f>
        <v>-14124889.643743128</v>
      </c>
      <c r="E70" s="448">
        <f>D70-C70</f>
        <v>-42098.17817947641</v>
      </c>
      <c r="F70" s="449">
        <f>IF(C70=0,0,E70/C70)</f>
        <v>2.9893347694892867E-3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70753155</v>
      </c>
      <c r="D73" s="488">
        <v>81627015</v>
      </c>
      <c r="E73" s="488">
        <f>D73-C73</f>
        <v>10873860</v>
      </c>
      <c r="F73" s="489">
        <f>IF(C73=0,0,E73/C73)</f>
        <v>0.15368728080041094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33998505</v>
      </c>
      <c r="D74" s="488">
        <v>35414192</v>
      </c>
      <c r="E74" s="488">
        <f>D74-C74</f>
        <v>1415687</v>
      </c>
      <c r="F74" s="489">
        <f>IF(C74=0,0,E74/C74)</f>
        <v>4.1639683862569839E-2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36754650</v>
      </c>
      <c r="D76" s="441">
        <f>LN_IB32-LN_IB33</f>
        <v>46212823</v>
      </c>
      <c r="E76" s="488">
        <f>D76-C76</f>
        <v>9458173</v>
      </c>
      <c r="F76" s="489">
        <f>IF(E76=0,0,E76/C76)</f>
        <v>0.25733269123770736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0.51947718797840181</v>
      </c>
      <c r="D77" s="453">
        <f>IF(LN_IB32=0,0,LN_IB34/LN_IB32)</f>
        <v>0.56614618334383537</v>
      </c>
      <c r="E77" s="493">
        <f>D77-C77</f>
        <v>4.6668995365433563E-2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1107951</v>
      </c>
      <c r="D83" s="448">
        <v>1046641</v>
      </c>
      <c r="E83" s="448">
        <f t="shared" ref="E83:E95" si="8">D83-C83</f>
        <v>-61310</v>
      </c>
      <c r="F83" s="449">
        <f t="shared" ref="F83:F95" si="9">IF(C83=0,0,E83/C83)</f>
        <v>-5.5336382204628186E-2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32437</v>
      </c>
      <c r="D84" s="448">
        <v>2144</v>
      </c>
      <c r="E84" s="448">
        <f t="shared" si="8"/>
        <v>-30293</v>
      </c>
      <c r="F84" s="449">
        <f t="shared" si="9"/>
        <v>-0.93390264204457873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2.927656547988133E-2</v>
      </c>
      <c r="D85" s="453">
        <f>IF(LN_IC1=0,0,LN_IC2/LN_IC1)</f>
        <v>2.0484578761963269E-3</v>
      </c>
      <c r="E85" s="454">
        <f t="shared" si="8"/>
        <v>-2.7228107603685003E-2</v>
      </c>
      <c r="F85" s="449">
        <f t="shared" si="9"/>
        <v>-0.93003079963037283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58</v>
      </c>
      <c r="D86" s="456">
        <v>48</v>
      </c>
      <c r="E86" s="456">
        <f t="shared" si="8"/>
        <v>-10</v>
      </c>
      <c r="F86" s="449">
        <f t="shared" si="9"/>
        <v>-0.17241379310344829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1.12859</v>
      </c>
      <c r="D87" s="459">
        <v>1.1844399999999999</v>
      </c>
      <c r="E87" s="460">
        <f t="shared" si="8"/>
        <v>5.5849999999999955E-2</v>
      </c>
      <c r="F87" s="449">
        <f t="shared" si="9"/>
        <v>4.9486527436890242E-2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65.458219999999997</v>
      </c>
      <c r="D88" s="463">
        <f>LN_IC4*LN_IC5</f>
        <v>56.853119999999997</v>
      </c>
      <c r="E88" s="463">
        <f t="shared" si="8"/>
        <v>-8.6051000000000002</v>
      </c>
      <c r="F88" s="449">
        <f t="shared" si="9"/>
        <v>-0.13145942556947013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495.53745885543481</v>
      </c>
      <c r="D89" s="465">
        <f>IF(LN_IC6=0,0,LN_IC2/LN_IC6)</f>
        <v>37.711210923868386</v>
      </c>
      <c r="E89" s="465">
        <f t="shared" si="8"/>
        <v>-457.8262479315664</v>
      </c>
      <c r="F89" s="449">
        <f t="shared" si="9"/>
        <v>-0.92389836479572762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7639.0445109180791</v>
      </c>
      <c r="D90" s="465">
        <f>LN_IB7-LN_IC7</f>
        <v>7226.6816928832131</v>
      </c>
      <c r="E90" s="465">
        <f t="shared" si="8"/>
        <v>-412.362818034866</v>
      </c>
      <c r="F90" s="449">
        <f t="shared" si="9"/>
        <v>-5.3980941915641123E-2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5735.5964601906562</v>
      </c>
      <c r="D91" s="465">
        <f>LN_IA7-LN_IC7</f>
        <v>6163.589891476825</v>
      </c>
      <c r="E91" s="465">
        <f t="shared" si="8"/>
        <v>427.99343128616874</v>
      </c>
      <c r="F91" s="449">
        <f t="shared" si="9"/>
        <v>7.4620562003753985E-2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375441.93492238119</v>
      </c>
      <c r="D92" s="441">
        <f>LN_IC9*LN_IC6</f>
        <v>350419.3157309189</v>
      </c>
      <c r="E92" s="441">
        <f t="shared" si="8"/>
        <v>-25022.61919146229</v>
      </c>
      <c r="F92" s="449">
        <f t="shared" si="9"/>
        <v>-6.6648439782400606E-2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298</v>
      </c>
      <c r="D93" s="456">
        <v>247</v>
      </c>
      <c r="E93" s="456">
        <f t="shared" si="8"/>
        <v>-51</v>
      </c>
      <c r="F93" s="449">
        <f t="shared" si="9"/>
        <v>-0.17114093959731544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108.84899328859061</v>
      </c>
      <c r="D94" s="499">
        <f>IF(LN_IC11=0,0,LN_IC2/LN_IC11)</f>
        <v>8.6801619433198383</v>
      </c>
      <c r="E94" s="499">
        <f t="shared" si="8"/>
        <v>-100.16883134527077</v>
      </c>
      <c r="F94" s="449">
        <f t="shared" si="9"/>
        <v>-0.92025500943030147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5.1379310344827589</v>
      </c>
      <c r="D95" s="466">
        <f>IF(LN_IC4=0,0,LN_IC11/LN_IC4)</f>
        <v>5.145833333333333</v>
      </c>
      <c r="E95" s="466">
        <f t="shared" si="8"/>
        <v>7.9022988505741409E-3</v>
      </c>
      <c r="F95" s="449">
        <f t="shared" si="9"/>
        <v>1.5380313199104031E-3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4649453</v>
      </c>
      <c r="D98" s="448">
        <v>4527588</v>
      </c>
      <c r="E98" s="448">
        <f t="shared" ref="E98:E106" si="10">D98-C98</f>
        <v>-121865</v>
      </c>
      <c r="F98" s="449">
        <f t="shared" ref="F98:F106" si="11">IF(C98=0,0,E98/C98)</f>
        <v>-2.6210610151344686E-2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224697</v>
      </c>
      <c r="D99" s="448">
        <v>175163</v>
      </c>
      <c r="E99" s="448">
        <f t="shared" si="10"/>
        <v>-49534</v>
      </c>
      <c r="F99" s="449">
        <f t="shared" si="11"/>
        <v>-0.22044798105893715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4.8327620474924685E-2</v>
      </c>
      <c r="D100" s="453">
        <f>IF(LN_IC14=0,0,LN_IC15/LN_IC14)</f>
        <v>3.8687928318566087E-2</v>
      </c>
      <c r="E100" s="454">
        <f t="shared" si="10"/>
        <v>-9.639692156358598E-3</v>
      </c>
      <c r="F100" s="449">
        <f t="shared" si="11"/>
        <v>-0.19946548291903299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4.1964428029759437</v>
      </c>
      <c r="D101" s="453">
        <f>IF(LN_IC1=0,0,LN_IC14/LN_IC1)</f>
        <v>4.3258270983078244</v>
      </c>
      <c r="E101" s="454">
        <f t="shared" si="10"/>
        <v>0.12938429533188067</v>
      </c>
      <c r="F101" s="449">
        <f t="shared" si="11"/>
        <v>3.0831897730174394E-2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243.39368257260475</v>
      </c>
      <c r="D102" s="463">
        <f>LN_IC17*LN_IC4</f>
        <v>207.63970071877557</v>
      </c>
      <c r="E102" s="463">
        <f t="shared" si="10"/>
        <v>-35.753981853829174</v>
      </c>
      <c r="F102" s="449">
        <f t="shared" si="11"/>
        <v>-0.14689773980951087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923.18336953126345</v>
      </c>
      <c r="D103" s="465">
        <f>IF(LN_IC18=0,0,LN_IC15/LN_IC18)</f>
        <v>843.59108298484023</v>
      </c>
      <c r="E103" s="465">
        <f t="shared" si="10"/>
        <v>-79.592286546423225</v>
      </c>
      <c r="F103" s="449">
        <f t="shared" si="11"/>
        <v>-8.6215035033435847E-2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11976.281269433821</v>
      </c>
      <c r="D104" s="465">
        <f>LN_IB18-LN_IC19</f>
        <v>11541.689654166667</v>
      </c>
      <c r="E104" s="465">
        <f t="shared" si="10"/>
        <v>-434.59161526715434</v>
      </c>
      <c r="F104" s="449">
        <f t="shared" si="11"/>
        <v>-3.6287692772908602E-2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5918.708331624206</v>
      </c>
      <c r="D105" s="465">
        <f>LN_IA16-LN_IC19</f>
        <v>5856.6362784745761</v>
      </c>
      <c r="E105" s="465">
        <f t="shared" si="10"/>
        <v>-62.072053149629937</v>
      </c>
      <c r="F105" s="449">
        <f t="shared" si="11"/>
        <v>-1.0487432336878846E-2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1440576.2169071729</v>
      </c>
      <c r="D106" s="448">
        <f>LN_IC21*LN_IC18</f>
        <v>1216070.2040811845</v>
      </c>
      <c r="E106" s="448">
        <f t="shared" si="10"/>
        <v>-224506.01282598847</v>
      </c>
      <c r="F106" s="449">
        <f t="shared" si="11"/>
        <v>-0.15584459203969703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5757404</v>
      </c>
      <c r="D109" s="448">
        <f>LN_IC1+LN_IC14</f>
        <v>5574229</v>
      </c>
      <c r="E109" s="448">
        <f>D109-C109</f>
        <v>-183175</v>
      </c>
      <c r="F109" s="449">
        <f>IF(C109=0,0,E109/C109)</f>
        <v>-3.1815554371379881E-2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257134</v>
      </c>
      <c r="D110" s="448">
        <f>LN_IC2+LN_IC15</f>
        <v>177307</v>
      </c>
      <c r="E110" s="448">
        <f>D110-C110</f>
        <v>-79827</v>
      </c>
      <c r="F110" s="449">
        <f>IF(C110=0,0,E110/C110)</f>
        <v>-0.31044902657758211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5500270</v>
      </c>
      <c r="D111" s="448">
        <f>LN_IC23-LN_IC24</f>
        <v>5396922</v>
      </c>
      <c r="E111" s="448">
        <f>D111-C111</f>
        <v>-103348</v>
      </c>
      <c r="F111" s="449">
        <f>IF(C111=0,0,E111/C111)</f>
        <v>-1.8789623054868216E-2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1816018.1518295542</v>
      </c>
      <c r="D113" s="448">
        <f>LN_IC10+LN_IC22</f>
        <v>1566489.5198121034</v>
      </c>
      <c r="E113" s="448">
        <f>D113-C113</f>
        <v>-249528.63201745087</v>
      </c>
      <c r="F113" s="449">
        <f>IF(C113=0,0,E113/C113)</f>
        <v>-0.1374042609464351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6989943</v>
      </c>
      <c r="D118" s="448">
        <v>8608391</v>
      </c>
      <c r="E118" s="448">
        <f t="shared" ref="E118:E130" si="12">D118-C118</f>
        <v>1618448</v>
      </c>
      <c r="F118" s="449">
        <f t="shared" ref="F118:F130" si="13">IF(C118=0,0,E118/C118)</f>
        <v>0.23153951326927844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1772603</v>
      </c>
      <c r="D119" s="448">
        <v>2156151</v>
      </c>
      <c r="E119" s="448">
        <f t="shared" si="12"/>
        <v>383548</v>
      </c>
      <c r="F119" s="449">
        <f t="shared" si="13"/>
        <v>0.21637557873928906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0.25359334117602961</v>
      </c>
      <c r="D120" s="453">
        <f>IF(LN_ID1=0,0,LN_1D2/LN_ID1)</f>
        <v>0.2504708487335206</v>
      </c>
      <c r="E120" s="454">
        <f t="shared" si="12"/>
        <v>-3.1224924425090061E-3</v>
      </c>
      <c r="F120" s="449">
        <f t="shared" si="13"/>
        <v>-1.2312990664615105E-2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266</v>
      </c>
      <c r="D121" s="456">
        <v>292</v>
      </c>
      <c r="E121" s="456">
        <f t="shared" si="12"/>
        <v>26</v>
      </c>
      <c r="F121" s="449">
        <f t="shared" si="13"/>
        <v>9.7744360902255634E-2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1.18327</v>
      </c>
      <c r="D122" s="459">
        <v>1.42516</v>
      </c>
      <c r="E122" s="460">
        <f t="shared" si="12"/>
        <v>0.24188999999999994</v>
      </c>
      <c r="F122" s="449">
        <f t="shared" si="13"/>
        <v>0.20442502556474848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314.74982</v>
      </c>
      <c r="D123" s="463">
        <f>LN_ID4*LN_ID5</f>
        <v>416.14672000000002</v>
      </c>
      <c r="E123" s="463">
        <f t="shared" si="12"/>
        <v>101.39690000000002</v>
      </c>
      <c r="F123" s="449">
        <f t="shared" si="13"/>
        <v>0.32215077994325786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5631.7839991139626</v>
      </c>
      <c r="D124" s="465">
        <f>IF(LN_ID6=0,0,LN_1D2/LN_ID6)</f>
        <v>5181.2279092335511</v>
      </c>
      <c r="E124" s="465">
        <f t="shared" si="12"/>
        <v>-450.55608988041149</v>
      </c>
      <c r="F124" s="449">
        <f t="shared" si="13"/>
        <v>-8.0002374017060424E-2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2502.7979706595515</v>
      </c>
      <c r="D125" s="465">
        <f>LN_IB7-LN_ID7</f>
        <v>2083.1649945735307</v>
      </c>
      <c r="E125" s="465">
        <f t="shared" si="12"/>
        <v>-419.63297608602079</v>
      </c>
      <c r="F125" s="449">
        <f t="shared" si="13"/>
        <v>-0.16766554112853013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599.34991993212861</v>
      </c>
      <c r="D126" s="465">
        <f>LN_IA7-LN_ID7</f>
        <v>1020.0731931671426</v>
      </c>
      <c r="E126" s="465">
        <f t="shared" si="12"/>
        <v>420.72327323501395</v>
      </c>
      <c r="F126" s="449">
        <f t="shared" si="13"/>
        <v>0.70196601224649757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188645.27941565189</v>
      </c>
      <c r="D127" s="479">
        <f>LN_ID9*LN_ID6</f>
        <v>424500.11349643278</v>
      </c>
      <c r="E127" s="479">
        <f t="shared" si="12"/>
        <v>235854.83408078089</v>
      </c>
      <c r="F127" s="449">
        <f t="shared" si="13"/>
        <v>1.2502556905286231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1362</v>
      </c>
      <c r="D128" s="456">
        <v>1422</v>
      </c>
      <c r="E128" s="456">
        <f t="shared" si="12"/>
        <v>60</v>
      </c>
      <c r="F128" s="449">
        <f t="shared" si="13"/>
        <v>4.405286343612335E-2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1301.4706314243758</v>
      </c>
      <c r="D129" s="465">
        <f>IF(LN_ID11=0,0,LN_1D2/LN_ID11)</f>
        <v>1516.2805907172997</v>
      </c>
      <c r="E129" s="465">
        <f t="shared" si="12"/>
        <v>214.80995929292385</v>
      </c>
      <c r="F129" s="449">
        <f t="shared" si="13"/>
        <v>0.16505171465746268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5.1203007518796992</v>
      </c>
      <c r="D130" s="466">
        <f>IF(LN_ID4=0,0,LN_ID11/LN_ID4)</f>
        <v>4.8698630136986303</v>
      </c>
      <c r="E130" s="466">
        <f t="shared" si="12"/>
        <v>-0.25043773818106896</v>
      </c>
      <c r="F130" s="449">
        <f t="shared" si="13"/>
        <v>-4.891074769175062E-2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23256228</v>
      </c>
      <c r="D133" s="448">
        <v>27463602</v>
      </c>
      <c r="E133" s="448">
        <f t="shared" ref="E133:E141" si="14">D133-C133</f>
        <v>4207374</v>
      </c>
      <c r="F133" s="449">
        <f t="shared" ref="F133:F141" si="15">IF(C133=0,0,E133/C133)</f>
        <v>0.18091386100961859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4149278</v>
      </c>
      <c r="D134" s="448">
        <v>5234566</v>
      </c>
      <c r="E134" s="448">
        <f t="shared" si="14"/>
        <v>1085288</v>
      </c>
      <c r="F134" s="449">
        <f t="shared" si="15"/>
        <v>0.26156068597958487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0.17841577748549764</v>
      </c>
      <c r="D135" s="453">
        <f>IF(LN_ID14=0,0,LN_ID15/LN_ID14)</f>
        <v>0.19060012594123671</v>
      </c>
      <c r="E135" s="454">
        <f t="shared" si="14"/>
        <v>1.2184348455739069E-2</v>
      </c>
      <c r="F135" s="449">
        <f t="shared" si="15"/>
        <v>6.829187769971444E-2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3.3270983754803152</v>
      </c>
      <c r="D136" s="453">
        <f>IF(LN_ID1=0,0,LN_ID14/LN_ID1)</f>
        <v>3.1903292961483745</v>
      </c>
      <c r="E136" s="454">
        <f t="shared" si="14"/>
        <v>-0.13676907933194071</v>
      </c>
      <c r="F136" s="449">
        <f t="shared" si="15"/>
        <v>-4.1107615073809202E-2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885.00816787776387</v>
      </c>
      <c r="D137" s="463">
        <f>LN_ID17*LN_ID4</f>
        <v>931.57615447532532</v>
      </c>
      <c r="E137" s="463">
        <f t="shared" si="14"/>
        <v>46.567986597561458</v>
      </c>
      <c r="F137" s="449">
        <f t="shared" si="15"/>
        <v>5.2618708264840969E-2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4688.4064470838794</v>
      </c>
      <c r="D138" s="465">
        <f>IF(LN_ID18=0,0,LN_ID15/LN_ID18)</f>
        <v>5619.0424957240011</v>
      </c>
      <c r="E138" s="465">
        <f t="shared" si="14"/>
        <v>930.63604864012177</v>
      </c>
      <c r="F138" s="449">
        <f t="shared" si="15"/>
        <v>0.19849730588502279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8211.0581918812059</v>
      </c>
      <c r="D139" s="465">
        <f>LN_IB18-LN_ID19</f>
        <v>6766.2382414275053</v>
      </c>
      <c r="E139" s="465">
        <f t="shared" si="14"/>
        <v>-1444.8199504537006</v>
      </c>
      <c r="F139" s="449">
        <f t="shared" si="15"/>
        <v>-0.17596026196505168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2153.4852540715901</v>
      </c>
      <c r="D140" s="465">
        <f>LN_IA16-LN_ID19</f>
        <v>1081.1848657354149</v>
      </c>
      <c r="E140" s="465">
        <f t="shared" si="14"/>
        <v>-1072.3003883361753</v>
      </c>
      <c r="F140" s="449">
        <f t="shared" si="15"/>
        <v>-0.4979371863860127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1905852.0392576789</v>
      </c>
      <c r="D141" s="441">
        <f>LN_ID21*LN_ID18</f>
        <v>1007206.0394987187</v>
      </c>
      <c r="E141" s="441">
        <f t="shared" si="14"/>
        <v>-898645.99975896021</v>
      </c>
      <c r="F141" s="449">
        <f t="shared" si="15"/>
        <v>-0.47151928966583312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30246171</v>
      </c>
      <c r="D144" s="448">
        <f>LN_ID1+LN_ID14</f>
        <v>36071993</v>
      </c>
      <c r="E144" s="448">
        <f>D144-C144</f>
        <v>5825822</v>
      </c>
      <c r="F144" s="449">
        <f>IF(C144=0,0,E144/C144)</f>
        <v>0.1926135377598705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5921881</v>
      </c>
      <c r="D145" s="448">
        <f>LN_1D2+LN_ID15</f>
        <v>7390717</v>
      </c>
      <c r="E145" s="448">
        <f>D145-C145</f>
        <v>1468836</v>
      </c>
      <c r="F145" s="449">
        <f>IF(C145=0,0,E145/C145)</f>
        <v>0.24803537929924629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24324290</v>
      </c>
      <c r="D146" s="448">
        <f>LN_ID23-LN_ID24</f>
        <v>28681276</v>
      </c>
      <c r="E146" s="448">
        <f>D146-C146</f>
        <v>4356986</v>
      </c>
      <c r="F146" s="449">
        <f>IF(C146=0,0,E146/C146)</f>
        <v>0.17912078831489017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2094497.3186733308</v>
      </c>
      <c r="D148" s="448">
        <f>LN_ID10+LN_ID22</f>
        <v>1431706.1529951515</v>
      </c>
      <c r="E148" s="448">
        <f>D148-C148</f>
        <v>-662791.16567817936</v>
      </c>
      <c r="F148" s="503">
        <f>IF(C148=0,0,E148/C148)</f>
        <v>-0.31644402681689554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8134.5819697735142</v>
      </c>
      <c r="D160" s="465">
        <f>LN_IB7-LN_IE7</f>
        <v>7264.3929038070819</v>
      </c>
      <c r="E160" s="465">
        <f t="shared" si="16"/>
        <v>-870.18906596643228</v>
      </c>
      <c r="F160" s="449">
        <f t="shared" si="17"/>
        <v>-0.10697403618279114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6231.1339190460913</v>
      </c>
      <c r="D161" s="465">
        <f>LN_IA7-LN_IE7</f>
        <v>6201.3011024006937</v>
      </c>
      <c r="E161" s="465">
        <f t="shared" si="16"/>
        <v>-29.832816645397543</v>
      </c>
      <c r="F161" s="449">
        <f t="shared" si="17"/>
        <v>-4.7877026931182655E-3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12899.464638965084</v>
      </c>
      <c r="D174" s="465">
        <f>LN_IB18-LN_IE19</f>
        <v>12385.280737151506</v>
      </c>
      <c r="E174" s="465">
        <f t="shared" si="18"/>
        <v>-514.1839018135779</v>
      </c>
      <c r="F174" s="449">
        <f t="shared" si="19"/>
        <v>-3.9860871455114168E-2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6841.8917011554695</v>
      </c>
      <c r="D175" s="465">
        <f>LN_IA16-LN_IE19</f>
        <v>6700.227361459416</v>
      </c>
      <c r="E175" s="465">
        <f t="shared" si="18"/>
        <v>-141.6643396960535</v>
      </c>
      <c r="F175" s="449">
        <f t="shared" si="19"/>
        <v>-2.0705434386242772E-2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6989943</v>
      </c>
      <c r="D188" s="448">
        <f>LN_ID1+LN_IE1</f>
        <v>8608391</v>
      </c>
      <c r="E188" s="448">
        <f t="shared" ref="E188:E200" si="20">D188-C188</f>
        <v>1618448</v>
      </c>
      <c r="F188" s="449">
        <f t="shared" ref="F188:F200" si="21">IF(C188=0,0,E188/C188)</f>
        <v>0.23153951326927844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1772603</v>
      </c>
      <c r="D189" s="448">
        <f>LN_1D2+LN_IE2</f>
        <v>2156151</v>
      </c>
      <c r="E189" s="448">
        <f t="shared" si="20"/>
        <v>383548</v>
      </c>
      <c r="F189" s="449">
        <f t="shared" si="21"/>
        <v>0.21637557873928906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0.25359334117602961</v>
      </c>
      <c r="D190" s="453">
        <f>IF(LN_IF1=0,0,LN_IF2/LN_IF1)</f>
        <v>0.2504708487335206</v>
      </c>
      <c r="E190" s="454">
        <f t="shared" si="20"/>
        <v>-3.1224924425090061E-3</v>
      </c>
      <c r="F190" s="449">
        <f t="shared" si="21"/>
        <v>-1.2312990664615105E-2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266</v>
      </c>
      <c r="D191" s="456">
        <f>LN_ID4+LN_IE4</f>
        <v>292</v>
      </c>
      <c r="E191" s="456">
        <f t="shared" si="20"/>
        <v>26</v>
      </c>
      <c r="F191" s="449">
        <f t="shared" si="21"/>
        <v>9.7744360902255634E-2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1.18327</v>
      </c>
      <c r="D192" s="459">
        <f>IF((LN_ID4+LN_IE4)=0,0,(LN_ID6+LN_IE6)/(LN_ID4+LN_IE4))</f>
        <v>1.42516</v>
      </c>
      <c r="E192" s="460">
        <f t="shared" si="20"/>
        <v>0.24188999999999994</v>
      </c>
      <c r="F192" s="449">
        <f t="shared" si="21"/>
        <v>0.20442502556474848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314.74982</v>
      </c>
      <c r="D193" s="463">
        <f>LN_IF4*LN_IF5</f>
        <v>416.14672000000002</v>
      </c>
      <c r="E193" s="463">
        <f t="shared" si="20"/>
        <v>101.39690000000002</v>
      </c>
      <c r="F193" s="449">
        <f t="shared" si="21"/>
        <v>0.32215077994325786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5631.7839991139626</v>
      </c>
      <c r="D194" s="465">
        <f>IF(LN_IF6=0,0,LN_IF2/LN_IF6)</f>
        <v>5181.2279092335511</v>
      </c>
      <c r="E194" s="465">
        <f t="shared" si="20"/>
        <v>-450.55608988041149</v>
      </c>
      <c r="F194" s="449">
        <f t="shared" si="21"/>
        <v>-8.0002374017060424E-2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2502.7979706595515</v>
      </c>
      <c r="D195" s="465">
        <f>LN_IB7-LN_IF7</f>
        <v>2083.1649945735307</v>
      </c>
      <c r="E195" s="465">
        <f t="shared" si="20"/>
        <v>-419.63297608602079</v>
      </c>
      <c r="F195" s="449">
        <f t="shared" si="21"/>
        <v>-0.16766554112853013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599.34991993212861</v>
      </c>
      <c r="D196" s="465">
        <f>LN_IA7-LN_IF7</f>
        <v>1020.0731931671426</v>
      </c>
      <c r="E196" s="465">
        <f t="shared" si="20"/>
        <v>420.72327323501395</v>
      </c>
      <c r="F196" s="449">
        <f t="shared" si="21"/>
        <v>0.70196601224649757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188645.27941565189</v>
      </c>
      <c r="D197" s="479">
        <f>LN_IF9*LN_IF6</f>
        <v>424500.11349643278</v>
      </c>
      <c r="E197" s="479">
        <f t="shared" si="20"/>
        <v>235854.83408078089</v>
      </c>
      <c r="F197" s="449">
        <f t="shared" si="21"/>
        <v>1.2502556905286231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1362</v>
      </c>
      <c r="D198" s="456">
        <f>LN_ID11+LN_IE11</f>
        <v>1422</v>
      </c>
      <c r="E198" s="456">
        <f t="shared" si="20"/>
        <v>60</v>
      </c>
      <c r="F198" s="449">
        <f t="shared" si="21"/>
        <v>4.405286343612335E-2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1301.4706314243758</v>
      </c>
      <c r="D199" s="519">
        <f>IF(LN_IF11=0,0,LN_IF2/LN_IF11)</f>
        <v>1516.2805907172997</v>
      </c>
      <c r="E199" s="519">
        <f t="shared" si="20"/>
        <v>214.80995929292385</v>
      </c>
      <c r="F199" s="449">
        <f t="shared" si="21"/>
        <v>0.16505171465746268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5.1203007518796992</v>
      </c>
      <c r="D200" s="466">
        <f>IF(LN_IF4=0,0,LN_IF11/LN_IF4)</f>
        <v>4.8698630136986303</v>
      </c>
      <c r="E200" s="466">
        <f t="shared" si="20"/>
        <v>-0.25043773818106896</v>
      </c>
      <c r="F200" s="449">
        <f t="shared" si="21"/>
        <v>-4.891074769175062E-2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23256228</v>
      </c>
      <c r="D203" s="448">
        <f>LN_ID14+LN_IE14</f>
        <v>27463602</v>
      </c>
      <c r="E203" s="448">
        <f t="shared" ref="E203:E211" si="22">D203-C203</f>
        <v>4207374</v>
      </c>
      <c r="F203" s="449">
        <f t="shared" ref="F203:F211" si="23">IF(C203=0,0,E203/C203)</f>
        <v>0.18091386100961859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4149278</v>
      </c>
      <c r="D204" s="448">
        <f>LN_ID15+LN_IE15</f>
        <v>5234566</v>
      </c>
      <c r="E204" s="448">
        <f t="shared" si="22"/>
        <v>1085288</v>
      </c>
      <c r="F204" s="449">
        <f t="shared" si="23"/>
        <v>0.26156068597958487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0.17841577748549764</v>
      </c>
      <c r="D205" s="453">
        <f>IF(LN_IF14=0,0,LN_IF15/LN_IF14)</f>
        <v>0.19060012594123671</v>
      </c>
      <c r="E205" s="454">
        <f t="shared" si="22"/>
        <v>1.2184348455739069E-2</v>
      </c>
      <c r="F205" s="449">
        <f t="shared" si="23"/>
        <v>6.829187769971444E-2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3.3270983754803152</v>
      </c>
      <c r="D206" s="453">
        <f>IF(LN_IF1=0,0,LN_IF14/LN_IF1)</f>
        <v>3.1903292961483745</v>
      </c>
      <c r="E206" s="454">
        <f t="shared" si="22"/>
        <v>-0.13676907933194071</v>
      </c>
      <c r="F206" s="449">
        <f t="shared" si="23"/>
        <v>-4.1107615073809202E-2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885.00816787776387</v>
      </c>
      <c r="D207" s="463">
        <f>LN_ID18+LN_IE18</f>
        <v>931.57615447532532</v>
      </c>
      <c r="E207" s="463">
        <f t="shared" si="22"/>
        <v>46.567986597561458</v>
      </c>
      <c r="F207" s="449">
        <f t="shared" si="23"/>
        <v>5.2618708264840969E-2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4688.4064470838794</v>
      </c>
      <c r="D208" s="465">
        <f>IF(LN_IF18=0,0,LN_IF15/LN_IF18)</f>
        <v>5619.0424957240011</v>
      </c>
      <c r="E208" s="465">
        <f t="shared" si="22"/>
        <v>930.63604864012177</v>
      </c>
      <c r="F208" s="449">
        <f t="shared" si="23"/>
        <v>0.19849730588502279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8211.0581918812059</v>
      </c>
      <c r="D209" s="465">
        <f>LN_IB18-LN_IF19</f>
        <v>6766.2382414275053</v>
      </c>
      <c r="E209" s="465">
        <f t="shared" si="22"/>
        <v>-1444.8199504537006</v>
      </c>
      <c r="F209" s="449">
        <f t="shared" si="23"/>
        <v>-0.17596026196505168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2153.4852540715901</v>
      </c>
      <c r="D210" s="465">
        <f>LN_IA16-LN_IF19</f>
        <v>1081.1848657354149</v>
      </c>
      <c r="E210" s="465">
        <f t="shared" si="22"/>
        <v>-1072.3003883361753</v>
      </c>
      <c r="F210" s="449">
        <f t="shared" si="23"/>
        <v>-0.4979371863860127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1905852.0392576789</v>
      </c>
      <c r="D211" s="441">
        <f>LN_IF21*LN_IF18</f>
        <v>1007206.0394987187</v>
      </c>
      <c r="E211" s="441">
        <f t="shared" si="22"/>
        <v>-898645.99975896021</v>
      </c>
      <c r="F211" s="449">
        <f t="shared" si="23"/>
        <v>-0.47151928966583312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30246171</v>
      </c>
      <c r="D214" s="448">
        <f>LN_IF1+LN_IF14</f>
        <v>36071993</v>
      </c>
      <c r="E214" s="448">
        <f>D214-C214</f>
        <v>5825822</v>
      </c>
      <c r="F214" s="449">
        <f>IF(C214=0,0,E214/C214)</f>
        <v>0.1926135377598705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5921881</v>
      </c>
      <c r="D215" s="448">
        <f>LN_IF2+LN_IF15</f>
        <v>7390717</v>
      </c>
      <c r="E215" s="448">
        <f>D215-C215</f>
        <v>1468836</v>
      </c>
      <c r="F215" s="449">
        <f>IF(C215=0,0,E215/C215)</f>
        <v>0.24803537929924629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24324290</v>
      </c>
      <c r="D216" s="448">
        <f>LN_IF23-LN_IF24</f>
        <v>28681276</v>
      </c>
      <c r="E216" s="448">
        <f>D216-C216</f>
        <v>4356986</v>
      </c>
      <c r="F216" s="449">
        <f>IF(C216=0,0,E216/C216)</f>
        <v>0.17912078831489017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58007</v>
      </c>
      <c r="D221" s="448">
        <v>147747</v>
      </c>
      <c r="E221" s="448">
        <f t="shared" ref="E221:E230" si="24">D221-C221</f>
        <v>89740</v>
      </c>
      <c r="F221" s="449">
        <f t="shared" ref="F221:F230" si="25">IF(C221=0,0,E221/C221)</f>
        <v>1.5470546658161946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45723</v>
      </c>
      <c r="D222" s="448">
        <v>77114</v>
      </c>
      <c r="E222" s="448">
        <f t="shared" si="24"/>
        <v>31391</v>
      </c>
      <c r="F222" s="449">
        <f t="shared" si="25"/>
        <v>0.6865472519301008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0.7882324547037427</v>
      </c>
      <c r="D223" s="453">
        <f>IF(LN_IG1=0,0,LN_IG2/LN_IG1)</f>
        <v>0.52193276344020523</v>
      </c>
      <c r="E223" s="454">
        <f t="shared" si="24"/>
        <v>-0.26629969126353747</v>
      </c>
      <c r="F223" s="449">
        <f t="shared" si="25"/>
        <v>-0.33784410889757926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4</v>
      </c>
      <c r="D224" s="456">
        <v>7</v>
      </c>
      <c r="E224" s="456">
        <f t="shared" si="24"/>
        <v>3</v>
      </c>
      <c r="F224" s="449">
        <f t="shared" si="25"/>
        <v>0.75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1.29484</v>
      </c>
      <c r="D225" s="459">
        <v>1.70347</v>
      </c>
      <c r="E225" s="460">
        <f t="shared" si="24"/>
        <v>0.40863000000000005</v>
      </c>
      <c r="F225" s="449">
        <f t="shared" si="25"/>
        <v>0.31558339254270801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5.17936</v>
      </c>
      <c r="D226" s="463">
        <f>LN_IG3*LN_IG4</f>
        <v>11.924290000000001</v>
      </c>
      <c r="E226" s="463">
        <f t="shared" si="24"/>
        <v>6.744930000000001</v>
      </c>
      <c r="F226" s="449">
        <f t="shared" si="25"/>
        <v>1.3022709369497392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8827.9246856754507</v>
      </c>
      <c r="D227" s="465">
        <f>IF(LN_IG5=0,0,LN_IG2/LN_IG5)</f>
        <v>6466.9678446263879</v>
      </c>
      <c r="E227" s="465">
        <f t="shared" si="24"/>
        <v>-2360.9568410490629</v>
      </c>
      <c r="F227" s="449">
        <f t="shared" si="25"/>
        <v>-0.2674418875457838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9</v>
      </c>
      <c r="D228" s="456">
        <v>18</v>
      </c>
      <c r="E228" s="456">
        <f t="shared" si="24"/>
        <v>9</v>
      </c>
      <c r="F228" s="449">
        <f t="shared" si="25"/>
        <v>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5080.333333333333</v>
      </c>
      <c r="D229" s="465">
        <f>IF(LN_IG6=0,0,LN_IG2/LN_IG6)</f>
        <v>4284.1111111111113</v>
      </c>
      <c r="E229" s="465">
        <f t="shared" si="24"/>
        <v>-796.22222222222172</v>
      </c>
      <c r="F229" s="449">
        <f t="shared" si="25"/>
        <v>-0.15672637403494949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2.25</v>
      </c>
      <c r="D230" s="466">
        <f>IF(LN_IG3=0,0,LN_IG6/LN_IG3)</f>
        <v>2.5714285714285716</v>
      </c>
      <c r="E230" s="466">
        <f t="shared" si="24"/>
        <v>0.32142857142857162</v>
      </c>
      <c r="F230" s="449">
        <f t="shared" si="25"/>
        <v>0.14285714285714293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659375</v>
      </c>
      <c r="D233" s="448">
        <v>699623</v>
      </c>
      <c r="E233" s="448">
        <f>D233-C233</f>
        <v>40248</v>
      </c>
      <c r="F233" s="449">
        <f>IF(C233=0,0,E233/C233)</f>
        <v>6.1039620853080567E-2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387769</v>
      </c>
      <c r="D234" s="448">
        <v>176483</v>
      </c>
      <c r="E234" s="448">
        <f>D234-C234</f>
        <v>-211286</v>
      </c>
      <c r="F234" s="449">
        <f>IF(C234=0,0,E234/C234)</f>
        <v>-0.54487594418326379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717382</v>
      </c>
      <c r="D237" s="448">
        <f>LN_IG1+LN_IG9</f>
        <v>847370</v>
      </c>
      <c r="E237" s="448">
        <f>D237-C237</f>
        <v>129988</v>
      </c>
      <c r="F237" s="449">
        <f>IF(C237=0,0,E237/C237)</f>
        <v>0.18119774401922545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433492</v>
      </c>
      <c r="D238" s="448">
        <f>LN_IG2+LN_IG10</f>
        <v>253597</v>
      </c>
      <c r="E238" s="448">
        <f>D238-C238</f>
        <v>-179895</v>
      </c>
      <c r="F238" s="449">
        <f>IF(C238=0,0,E238/C238)</f>
        <v>-0.41499035737683743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283890</v>
      </c>
      <c r="D239" s="448">
        <f>LN_IG13-LN_IG14</f>
        <v>593773</v>
      </c>
      <c r="E239" s="448">
        <f>D239-C239</f>
        <v>309883</v>
      </c>
      <c r="F239" s="449">
        <f>IF(C239=0,0,E239/C239)</f>
        <v>1.091560111310719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6871608</v>
      </c>
      <c r="D243" s="448">
        <v>6078316</v>
      </c>
      <c r="E243" s="441">
        <f>D243-C243</f>
        <v>-793292</v>
      </c>
      <c r="F243" s="503">
        <f>IF(C243=0,0,E243/C243)</f>
        <v>-0.11544488568032402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74038954</v>
      </c>
      <c r="D244" s="448">
        <v>71670098</v>
      </c>
      <c r="E244" s="441">
        <f>D244-C244</f>
        <v>-2368856</v>
      </c>
      <c r="F244" s="503">
        <f>IF(C244=0,0,E244/C244)</f>
        <v>-3.1994725371187714E-2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2192753</v>
      </c>
      <c r="D248" s="441">
        <v>1271767</v>
      </c>
      <c r="E248" s="441">
        <f>D248-C248</f>
        <v>-920986</v>
      </c>
      <c r="F248" s="449">
        <f>IF(C248=0,0,E248/C248)</f>
        <v>-0.42001356285910907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3309948</v>
      </c>
      <c r="D249" s="441">
        <v>4127214</v>
      </c>
      <c r="E249" s="441">
        <f>D249-C249</f>
        <v>817266</v>
      </c>
      <c r="F249" s="449">
        <f>IF(C249=0,0,E249/C249)</f>
        <v>0.24691203608032514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5502701</v>
      </c>
      <c r="D250" s="441">
        <f>LN_IH4+LN_IH5</f>
        <v>5398981</v>
      </c>
      <c r="E250" s="441">
        <f>D250-C250</f>
        <v>-103720</v>
      </c>
      <c r="F250" s="449">
        <f>IF(C250=0,0,E250/C250)</f>
        <v>-1.8848925282329534E-2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1750779.3514175557</v>
      </c>
      <c r="D251" s="441">
        <f>LN_IH6*LN_III10</f>
        <v>1567261.1051546992</v>
      </c>
      <c r="E251" s="441">
        <f>D251-C251</f>
        <v>-183518.24626285653</v>
      </c>
      <c r="F251" s="449">
        <f>IF(C251=0,0,E251/C251)</f>
        <v>-0.10482088797441384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30246171</v>
      </c>
      <c r="D254" s="441">
        <f>LN_IF23</f>
        <v>36071993</v>
      </c>
      <c r="E254" s="441">
        <f>D254-C254</f>
        <v>5825822</v>
      </c>
      <c r="F254" s="449">
        <f>IF(C254=0,0,E254/C254)</f>
        <v>0.1926135377598705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5921881</v>
      </c>
      <c r="D255" s="441">
        <f>LN_IF24</f>
        <v>7390717</v>
      </c>
      <c r="E255" s="441">
        <f>D255-C255</f>
        <v>1468836</v>
      </c>
      <c r="F255" s="449">
        <f>IF(C255=0,0,E255/C255)</f>
        <v>0.24803537929924629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9623341.6364517137</v>
      </c>
      <c r="D256" s="441">
        <f>LN_IH8*LN_III10</f>
        <v>10471278.119762335</v>
      </c>
      <c r="E256" s="441">
        <f>D256-C256</f>
        <v>847936.48331062123</v>
      </c>
      <c r="F256" s="449">
        <f>IF(C256=0,0,E256/C256)</f>
        <v>8.8112478528120666E-2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3701460.6364517137</v>
      </c>
      <c r="D257" s="441">
        <f>LN_IH10-LN_IH9</f>
        <v>3080561.119762335</v>
      </c>
      <c r="E257" s="441">
        <f>D257-C257</f>
        <v>-620899.51668937877</v>
      </c>
      <c r="F257" s="449">
        <f>IF(C257=0,0,E257/C257)</f>
        <v>-0.16774446027462936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69889896</v>
      </c>
      <c r="D261" s="448">
        <f>LN_IA1+LN_IB1+LN_IF1+LN_IG1</f>
        <v>79250360</v>
      </c>
      <c r="E261" s="448">
        <f t="shared" ref="E261:E274" si="26">D261-C261</f>
        <v>9360464</v>
      </c>
      <c r="F261" s="503">
        <f t="shared" ref="F261:F274" si="27">IF(C261=0,0,E261/C261)</f>
        <v>0.13393157717676385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25199767</v>
      </c>
      <c r="D262" s="448">
        <f>+LN_IA2+LN_IB2+LN_IF2+LN_IG2</f>
        <v>25628468</v>
      </c>
      <c r="E262" s="448">
        <f t="shared" si="26"/>
        <v>428701</v>
      </c>
      <c r="F262" s="503">
        <f t="shared" si="27"/>
        <v>1.701210173887719E-2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0.36056380739213006</v>
      </c>
      <c r="D263" s="453">
        <f>IF(LN_IIA1=0,0,LN_IIA2/LN_IIA1)</f>
        <v>0.3233861398232134</v>
      </c>
      <c r="E263" s="454">
        <f t="shared" si="26"/>
        <v>-3.7177667568916661E-2</v>
      </c>
      <c r="F263" s="458">
        <f t="shared" si="27"/>
        <v>-0.10310981525798069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2519</v>
      </c>
      <c r="D264" s="456">
        <f>LN_IA4+LN_IB4+LN_IF4+LN_IG3</f>
        <v>2567</v>
      </c>
      <c r="E264" s="456">
        <f t="shared" si="26"/>
        <v>48</v>
      </c>
      <c r="F264" s="503">
        <f t="shared" si="27"/>
        <v>1.9055180627233027E-2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1.4974912107979359</v>
      </c>
      <c r="D265" s="525">
        <f>IF(LN_IIA4=0,0,LN_IIA6/LN_IIA4)</f>
        <v>1.5737738994935724</v>
      </c>
      <c r="E265" s="525">
        <f t="shared" si="26"/>
        <v>7.628268869563648E-2</v>
      </c>
      <c r="F265" s="503">
        <f t="shared" si="27"/>
        <v>5.0940324821665807E-2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3772.1803600000003</v>
      </c>
      <c r="D266" s="463">
        <f>LN_IA6+LN_IB6+LN_IF6+LN_IG5</f>
        <v>4039.8776000000003</v>
      </c>
      <c r="E266" s="463">
        <f t="shared" si="26"/>
        <v>267.69723999999997</v>
      </c>
      <c r="F266" s="503">
        <f t="shared" si="27"/>
        <v>7.0966182539585657E-2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118179402</v>
      </c>
      <c r="D267" s="448">
        <f>LN_IA11+LN_IB13+LN_IF14+LN_IG9</f>
        <v>143414268</v>
      </c>
      <c r="E267" s="448">
        <f t="shared" si="26"/>
        <v>25234866</v>
      </c>
      <c r="F267" s="503">
        <f t="shared" si="27"/>
        <v>0.21353015477265658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1.690936870187931</v>
      </c>
      <c r="D268" s="453">
        <f>IF(LN_IIA1=0,0,LN_IIA7/LN_IIA1)</f>
        <v>1.8096355398259389</v>
      </c>
      <c r="E268" s="454">
        <f t="shared" si="26"/>
        <v>0.1186986696380079</v>
      </c>
      <c r="F268" s="458">
        <f t="shared" si="27"/>
        <v>7.0196984719373773E-2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40140429</v>
      </c>
      <c r="D269" s="448">
        <f>LN_IA12+LN_IB14+LN_IF15+LN_IG10</f>
        <v>44407453</v>
      </c>
      <c r="E269" s="448">
        <f t="shared" si="26"/>
        <v>4267024</v>
      </c>
      <c r="F269" s="503">
        <f t="shared" si="27"/>
        <v>0.10630240150148869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0.33965672799732055</v>
      </c>
      <c r="D270" s="453">
        <f>IF(LN_IIA7=0,0,LN_IIA9/LN_IIA7)</f>
        <v>0.30964459547358286</v>
      </c>
      <c r="E270" s="454">
        <f t="shared" si="26"/>
        <v>-3.0012132523737689E-2</v>
      </c>
      <c r="F270" s="458">
        <f t="shared" si="27"/>
        <v>-8.8360188537099857E-2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188069298</v>
      </c>
      <c r="D271" s="441">
        <f>LN_IIA1+LN_IIA7</f>
        <v>222664628</v>
      </c>
      <c r="E271" s="441">
        <f t="shared" si="26"/>
        <v>34595330</v>
      </c>
      <c r="F271" s="503">
        <f t="shared" si="27"/>
        <v>0.18394990765584715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65340196</v>
      </c>
      <c r="D272" s="441">
        <f>LN_IIA2+LN_IIA9</f>
        <v>70035921</v>
      </c>
      <c r="E272" s="441">
        <f t="shared" si="26"/>
        <v>4695725</v>
      </c>
      <c r="F272" s="503">
        <f t="shared" si="27"/>
        <v>7.1865792995172526E-2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0.34742617053847885</v>
      </c>
      <c r="D273" s="453">
        <f>IF(LN_IIA11=0,0,LN_IIA12/LN_IIA11)</f>
        <v>0.31453545913004199</v>
      </c>
      <c r="E273" s="454">
        <f t="shared" si="26"/>
        <v>-3.2890711408436857E-2</v>
      </c>
      <c r="F273" s="458">
        <f t="shared" si="27"/>
        <v>-9.4669642639353443E-2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13056</v>
      </c>
      <c r="D274" s="508">
        <f>LN_IA8+LN_IB10+LN_IF11+LN_IG6</f>
        <v>12325</v>
      </c>
      <c r="E274" s="528">
        <f t="shared" si="26"/>
        <v>-731</v>
      </c>
      <c r="F274" s="458">
        <f t="shared" si="27"/>
        <v>-5.5989583333333336E-2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53788190</v>
      </c>
      <c r="D277" s="448">
        <f>LN_IA1+LN_IF1+LN_IG1</f>
        <v>63295477</v>
      </c>
      <c r="E277" s="448">
        <f t="shared" ref="E277:E291" si="28">D277-C277</f>
        <v>9507287</v>
      </c>
      <c r="F277" s="503">
        <f t="shared" ref="F277:F291" si="29">IF(C277=0,0,E277/C277)</f>
        <v>0.17675417224487383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17208122</v>
      </c>
      <c r="D278" s="448">
        <f>LN_IA2+LN_IF2+LN_IG2</f>
        <v>18813629</v>
      </c>
      <c r="E278" s="448">
        <f t="shared" si="28"/>
        <v>1605507</v>
      </c>
      <c r="F278" s="503">
        <f t="shared" si="29"/>
        <v>9.3299373400537261E-2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0.31992379739864829</v>
      </c>
      <c r="D279" s="453">
        <f>IF(D277=0,0,LN_IIB2/D277)</f>
        <v>0.29723496672597949</v>
      </c>
      <c r="E279" s="454">
        <f t="shared" si="28"/>
        <v>-2.2688830672668803E-2</v>
      </c>
      <c r="F279" s="458">
        <f t="shared" si="29"/>
        <v>-7.0919484130769025E-2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1925</v>
      </c>
      <c r="D280" s="456">
        <f>LN_IA4+LN_IF4+LN_IG3</f>
        <v>2006</v>
      </c>
      <c r="E280" s="456">
        <f t="shared" si="28"/>
        <v>81</v>
      </c>
      <c r="F280" s="503">
        <f t="shared" si="29"/>
        <v>4.2077922077922075E-2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1.449221755844156</v>
      </c>
      <c r="D281" s="525">
        <f>IF(LN_IIB4=0,0,LN_IIB6/LN_IIB4)</f>
        <v>1.5462423629112663</v>
      </c>
      <c r="E281" s="525">
        <f t="shared" si="28"/>
        <v>9.7020607067110243E-2</v>
      </c>
      <c r="F281" s="503">
        <f t="shared" si="29"/>
        <v>6.6946695131965356E-2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2789.7518800000003</v>
      </c>
      <c r="D282" s="463">
        <f>LN_IA6+LN_IF6+LN_IG5</f>
        <v>3101.7621800000002</v>
      </c>
      <c r="E282" s="463">
        <f t="shared" si="28"/>
        <v>312.01029999999992</v>
      </c>
      <c r="F282" s="503">
        <f t="shared" si="29"/>
        <v>0.11184159503102473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63527953</v>
      </c>
      <c r="D283" s="448">
        <f>LN_IA11+LN_IF14+LN_IG9</f>
        <v>77742136</v>
      </c>
      <c r="E283" s="448">
        <f t="shared" si="28"/>
        <v>14214183</v>
      </c>
      <c r="F283" s="503">
        <f t="shared" si="29"/>
        <v>0.22374690712921286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1.1810762362518612</v>
      </c>
      <c r="D284" s="453">
        <f>IF(D277=0,0,LN_IIB7/D277)</f>
        <v>1.2282415692988615</v>
      </c>
      <c r="E284" s="454">
        <f t="shared" si="28"/>
        <v>4.7165333047000324E-2</v>
      </c>
      <c r="F284" s="458">
        <f t="shared" si="29"/>
        <v>3.9934198656539938E-2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14133569</v>
      </c>
      <c r="D285" s="448">
        <f>LN_IA12+LN_IF15+LN_IG10</f>
        <v>15808100</v>
      </c>
      <c r="E285" s="448">
        <f t="shared" si="28"/>
        <v>1674531</v>
      </c>
      <c r="F285" s="503">
        <f t="shared" si="29"/>
        <v>0.11847899139983679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0.22247795391738814</v>
      </c>
      <c r="D286" s="453">
        <f>IF(LN_IIB7=0,0,LN_IIB9/LN_IIB7)</f>
        <v>0.2033401809283964</v>
      </c>
      <c r="E286" s="454">
        <f t="shared" si="28"/>
        <v>-1.9137772988991747E-2</v>
      </c>
      <c r="F286" s="458">
        <f t="shared" si="29"/>
        <v>-8.6020986133745633E-2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117316143</v>
      </c>
      <c r="D287" s="441">
        <f>D277+LN_IIB7</f>
        <v>141037613</v>
      </c>
      <c r="E287" s="441">
        <f t="shared" si="28"/>
        <v>23721470</v>
      </c>
      <c r="F287" s="503">
        <f t="shared" si="29"/>
        <v>0.20220124352366409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31341691</v>
      </c>
      <c r="D288" s="441">
        <f>LN_IIB2+LN_IIB9</f>
        <v>34621729</v>
      </c>
      <c r="E288" s="441">
        <f t="shared" si="28"/>
        <v>3280038</v>
      </c>
      <c r="F288" s="503">
        <f t="shared" si="29"/>
        <v>0.10465414900555302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0.26715582526438836</v>
      </c>
      <c r="D289" s="453">
        <f>IF(LN_IIB11=0,0,LN_IIB12/LN_IIB11)</f>
        <v>0.24547869368719394</v>
      </c>
      <c r="E289" s="454">
        <f t="shared" si="28"/>
        <v>-2.167713157719442E-2</v>
      </c>
      <c r="F289" s="458">
        <f t="shared" si="29"/>
        <v>-8.1140403941189904E-2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10705</v>
      </c>
      <c r="D290" s="508">
        <f>LN_IA8+LN_IF11+LN_IG6</f>
        <v>10373</v>
      </c>
      <c r="E290" s="528">
        <f t="shared" si="28"/>
        <v>-332</v>
      </c>
      <c r="F290" s="458">
        <f t="shared" si="29"/>
        <v>-3.1013545072396075E-2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85974452</v>
      </c>
      <c r="D291" s="516">
        <f>LN_IIB11-LN_IIB12</f>
        <v>106415884</v>
      </c>
      <c r="E291" s="441">
        <f t="shared" si="28"/>
        <v>20441432</v>
      </c>
      <c r="F291" s="503">
        <f t="shared" si="29"/>
        <v>0.23776170158083706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5.6398791540785496</v>
      </c>
      <c r="D294" s="466">
        <f>IF(LN_IA4=0,0,LN_IA8/LN_IA4)</f>
        <v>5.2331575864089048</v>
      </c>
      <c r="E294" s="466">
        <f t="shared" ref="E294:E300" si="30">D294-C294</f>
        <v>-0.40672156766964473</v>
      </c>
      <c r="F294" s="503">
        <f t="shared" ref="F294:F300" si="31">IF(C294=0,0,E294/C294)</f>
        <v>-7.2115298317255425E-2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3.957912457912458</v>
      </c>
      <c r="D295" s="466">
        <f>IF(LN_IB4=0,0,(LN_IB10)/(LN_IB4))</f>
        <v>3.4795008912655971</v>
      </c>
      <c r="E295" s="466">
        <f t="shared" si="30"/>
        <v>-0.47841156664686091</v>
      </c>
      <c r="F295" s="503">
        <f t="shared" si="31"/>
        <v>-0.12087472164535745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5.1379310344827589</v>
      </c>
      <c r="D296" s="466">
        <f>IF(LN_IC4=0,0,LN_IC11/LN_IC4)</f>
        <v>5.145833333333333</v>
      </c>
      <c r="E296" s="466">
        <f t="shared" si="30"/>
        <v>7.9022988505741409E-3</v>
      </c>
      <c r="F296" s="503">
        <f t="shared" si="31"/>
        <v>1.5380313199104031E-3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5.1203007518796992</v>
      </c>
      <c r="D297" s="466">
        <f>IF(LN_ID4=0,0,LN_ID11/LN_ID4)</f>
        <v>4.8698630136986303</v>
      </c>
      <c r="E297" s="466">
        <f t="shared" si="30"/>
        <v>-0.25043773818106896</v>
      </c>
      <c r="F297" s="503">
        <f t="shared" si="31"/>
        <v>-4.891074769175062E-2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2.25</v>
      </c>
      <c r="D299" s="466">
        <f>IF(LN_IG3=0,0,LN_IG6/LN_IG3)</f>
        <v>2.5714285714285716</v>
      </c>
      <c r="E299" s="466">
        <f t="shared" si="30"/>
        <v>0.32142857142857162</v>
      </c>
      <c r="F299" s="503">
        <f t="shared" si="31"/>
        <v>0.14285714285714293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5.1830091306073838</v>
      </c>
      <c r="D300" s="466">
        <f>IF(LN_IIA4=0,0,LN_IIA14/LN_IIA4)</f>
        <v>4.8013245033112586</v>
      </c>
      <c r="E300" s="466">
        <f t="shared" si="30"/>
        <v>-0.38168462729612518</v>
      </c>
      <c r="F300" s="503">
        <f t="shared" si="31"/>
        <v>-7.3641511654330527E-2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188069298</v>
      </c>
      <c r="D304" s="441">
        <f>LN_IIA11</f>
        <v>222664628</v>
      </c>
      <c r="E304" s="441">
        <f t="shared" ref="E304:E316" si="32">D304-C304</f>
        <v>34595330</v>
      </c>
      <c r="F304" s="449">
        <f>IF(C304=0,0,E304/C304)</f>
        <v>0.18394990765584715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85974452</v>
      </c>
      <c r="D305" s="441">
        <f>LN_IIB14</f>
        <v>106415884</v>
      </c>
      <c r="E305" s="441">
        <f t="shared" si="32"/>
        <v>20441432</v>
      </c>
      <c r="F305" s="449">
        <f>IF(C305=0,0,E305/C305)</f>
        <v>0.23776170158083706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5502701</v>
      </c>
      <c r="D306" s="441">
        <f>LN_IH6</f>
        <v>5398981</v>
      </c>
      <c r="E306" s="441">
        <f t="shared" si="32"/>
        <v>-103720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36754650</v>
      </c>
      <c r="D307" s="441">
        <f>LN_IB32-LN_IB33</f>
        <v>46212823</v>
      </c>
      <c r="E307" s="441">
        <f t="shared" si="32"/>
        <v>9458173</v>
      </c>
      <c r="F307" s="449">
        <f t="shared" ref="F307:F316" si="33">IF(C307=0,0,E307/C307)</f>
        <v>0.25733269123770736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0</v>
      </c>
      <c r="D308" s="441">
        <v>0</v>
      </c>
      <c r="E308" s="441">
        <f t="shared" si="32"/>
        <v>0</v>
      </c>
      <c r="F308" s="449">
        <f t="shared" si="33"/>
        <v>0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128231803</v>
      </c>
      <c r="D309" s="441">
        <f>LN_III2+LN_III3+LN_III4+LN_III5</f>
        <v>158027688</v>
      </c>
      <c r="E309" s="441">
        <f t="shared" si="32"/>
        <v>29795885</v>
      </c>
      <c r="F309" s="449">
        <f t="shared" si="33"/>
        <v>0.23235955748044812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59837495</v>
      </c>
      <c r="D310" s="441">
        <f>LN_III1-LN_III6</f>
        <v>64636940</v>
      </c>
      <c r="E310" s="441">
        <f t="shared" si="32"/>
        <v>4799445</v>
      </c>
      <c r="F310" s="449">
        <f t="shared" si="33"/>
        <v>8.0207986647836779E-2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59837495</v>
      </c>
      <c r="D312" s="441">
        <f>LN_III7+LN_III8</f>
        <v>64636940</v>
      </c>
      <c r="E312" s="441">
        <f t="shared" si="32"/>
        <v>4799445</v>
      </c>
      <c r="F312" s="449">
        <f t="shared" si="33"/>
        <v>8.0207986647836779E-2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0.31816726938598983</v>
      </c>
      <c r="D313" s="532">
        <f>IF(LN_III1=0,0,LN_III9/LN_III1)</f>
        <v>0.29028831647207115</v>
      </c>
      <c r="E313" s="532">
        <f t="shared" si="32"/>
        <v>-2.7878952913918675E-2</v>
      </c>
      <c r="F313" s="449">
        <f t="shared" si="33"/>
        <v>-8.7623572870083211E-2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1750779.3514175557</v>
      </c>
      <c r="D314" s="441">
        <f>D313*LN_III5</f>
        <v>1567261.1051546992</v>
      </c>
      <c r="E314" s="441">
        <f t="shared" si="32"/>
        <v>-183518.24626285653</v>
      </c>
      <c r="F314" s="449">
        <f t="shared" si="33"/>
        <v>-0.10482088797441384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3701460.6364517137</v>
      </c>
      <c r="D315" s="441">
        <f>D313*LN_IH8-LN_IH9</f>
        <v>3080561.119762335</v>
      </c>
      <c r="E315" s="441">
        <f t="shared" si="32"/>
        <v>-620899.51668937877</v>
      </c>
      <c r="F315" s="449">
        <f t="shared" si="33"/>
        <v>-0.16774446027462936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5452239.9878692692</v>
      </c>
      <c r="D318" s="441">
        <f>D314+D315+D316</f>
        <v>4647822.2249170337</v>
      </c>
      <c r="E318" s="441">
        <f>D318-C318</f>
        <v>-804417.76295223553</v>
      </c>
      <c r="F318" s="449">
        <f>IF(C318=0,0,E318/C318)</f>
        <v>-0.14753894999889786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1905852.0392576789</v>
      </c>
      <c r="D322" s="441">
        <f>LN_ID22</f>
        <v>1007206.0394987187</v>
      </c>
      <c r="E322" s="441">
        <f>LN_IV2-C322</f>
        <v>-898645.99975896021</v>
      </c>
      <c r="F322" s="449">
        <f>IF(C322=0,0,E322/C322)</f>
        <v>-0.47151928966583312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1816018.1518295542</v>
      </c>
      <c r="D324" s="441">
        <f>LN_IC10+LN_IC22</f>
        <v>1566489.5198121034</v>
      </c>
      <c r="E324" s="441">
        <f>LN_IV1-C324</f>
        <v>-249528.63201745087</v>
      </c>
      <c r="F324" s="449">
        <f>IF(C324=0,0,E324/C324)</f>
        <v>-0.1374042609464351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3721870.1910872329</v>
      </c>
      <c r="D325" s="516">
        <f>LN_IV1+LN_IV2+LN_IV3</f>
        <v>2573695.5593108218</v>
      </c>
      <c r="E325" s="441">
        <f>LN_IV4-C325</f>
        <v>-1148174.6317764111</v>
      </c>
      <c r="F325" s="449">
        <f>IF(C325=0,0,E325/C325)</f>
        <v>-0.30849400243080649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0</v>
      </c>
      <c r="D329" s="518">
        <v>0</v>
      </c>
      <c r="E329" s="518">
        <f t="shared" ref="E329:E335" si="34">D329-C329</f>
        <v>0</v>
      </c>
      <c r="F329" s="542">
        <f t="shared" ref="F329:F335" si="35">IF(C329=0,0,E329/C329)</f>
        <v>0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2507443</v>
      </c>
      <c r="D330" s="516">
        <v>-1125279</v>
      </c>
      <c r="E330" s="518">
        <f t="shared" si="34"/>
        <v>-3632722</v>
      </c>
      <c r="F330" s="543">
        <f t="shared" si="35"/>
        <v>-1.4487755055648324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67847638</v>
      </c>
      <c r="D331" s="516">
        <v>68910644</v>
      </c>
      <c r="E331" s="518">
        <f t="shared" si="34"/>
        <v>1063006</v>
      </c>
      <c r="F331" s="542">
        <f t="shared" si="35"/>
        <v>1.5667546156875791E-2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188069273</v>
      </c>
      <c r="D333" s="516">
        <v>222664629</v>
      </c>
      <c r="E333" s="518">
        <f t="shared" si="34"/>
        <v>34595356</v>
      </c>
      <c r="F333" s="542">
        <f t="shared" si="35"/>
        <v>0.18395007035519301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5502701</v>
      </c>
      <c r="D335" s="516">
        <v>5398981</v>
      </c>
      <c r="E335" s="516">
        <f t="shared" si="34"/>
        <v>-103720</v>
      </c>
      <c r="F335" s="542">
        <f t="shared" si="35"/>
        <v>-1.8848925282329534E-2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16101706</v>
      </c>
      <c r="D14" s="589">
        <v>15954883</v>
      </c>
      <c r="E14" s="590">
        <f t="shared" ref="E14:E22" si="0">D14-C14</f>
        <v>-146823</v>
      </c>
    </row>
    <row r="15" spans="1:5" s="421" customFormat="1" x14ac:dyDescent="0.2">
      <c r="A15" s="588">
        <v>2</v>
      </c>
      <c r="B15" s="587" t="s">
        <v>636</v>
      </c>
      <c r="C15" s="589">
        <v>46740240</v>
      </c>
      <c r="D15" s="591">
        <v>54539339</v>
      </c>
      <c r="E15" s="590">
        <f t="shared" si="0"/>
        <v>7799099</v>
      </c>
    </row>
    <row r="16" spans="1:5" s="421" customFormat="1" x14ac:dyDescent="0.2">
      <c r="A16" s="588">
        <v>3</v>
      </c>
      <c r="B16" s="587" t="s">
        <v>778</v>
      </c>
      <c r="C16" s="589">
        <v>6989943</v>
      </c>
      <c r="D16" s="591">
        <v>8608391</v>
      </c>
      <c r="E16" s="590">
        <f t="shared" si="0"/>
        <v>1618448</v>
      </c>
    </row>
    <row r="17" spans="1:5" s="421" customFormat="1" x14ac:dyDescent="0.2">
      <c r="A17" s="588">
        <v>4</v>
      </c>
      <c r="B17" s="587" t="s">
        <v>115</v>
      </c>
      <c r="C17" s="589">
        <v>6989943</v>
      </c>
      <c r="D17" s="591">
        <v>8608391</v>
      </c>
      <c r="E17" s="590">
        <f t="shared" si="0"/>
        <v>1618448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58007</v>
      </c>
      <c r="D19" s="591">
        <v>147747</v>
      </c>
      <c r="E19" s="590">
        <f t="shared" si="0"/>
        <v>89740</v>
      </c>
    </row>
    <row r="20" spans="1:5" s="421" customFormat="1" x14ac:dyDescent="0.2">
      <c r="A20" s="588">
        <v>7</v>
      </c>
      <c r="B20" s="587" t="s">
        <v>759</v>
      </c>
      <c r="C20" s="589">
        <v>1107951</v>
      </c>
      <c r="D20" s="591">
        <v>1046641</v>
      </c>
      <c r="E20" s="590">
        <f t="shared" si="0"/>
        <v>-61310</v>
      </c>
    </row>
    <row r="21" spans="1:5" s="421" customFormat="1" x14ac:dyDescent="0.2">
      <c r="A21" s="588"/>
      <c r="B21" s="592" t="s">
        <v>779</v>
      </c>
      <c r="C21" s="593">
        <f>SUM(C15+C16+C19)</f>
        <v>53788190</v>
      </c>
      <c r="D21" s="593">
        <f>SUM(D15+D16+D19)</f>
        <v>63295477</v>
      </c>
      <c r="E21" s="593">
        <f t="shared" si="0"/>
        <v>9507287</v>
      </c>
    </row>
    <row r="22" spans="1:5" s="421" customFormat="1" x14ac:dyDescent="0.2">
      <c r="A22" s="588"/>
      <c r="B22" s="592" t="s">
        <v>465</v>
      </c>
      <c r="C22" s="593">
        <f>SUM(C14+C21)</f>
        <v>69889896</v>
      </c>
      <c r="D22" s="593">
        <f>SUM(D14+D21)</f>
        <v>79250360</v>
      </c>
      <c r="E22" s="593">
        <f t="shared" si="0"/>
        <v>9360464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54651449</v>
      </c>
      <c r="D25" s="589">
        <v>65672132</v>
      </c>
      <c r="E25" s="590">
        <f t="shared" ref="E25:E33" si="1">D25-C25</f>
        <v>11020683</v>
      </c>
    </row>
    <row r="26" spans="1:5" s="421" customFormat="1" x14ac:dyDescent="0.2">
      <c r="A26" s="588">
        <v>2</v>
      </c>
      <c r="B26" s="587" t="s">
        <v>636</v>
      </c>
      <c r="C26" s="589">
        <v>39612350</v>
      </c>
      <c r="D26" s="591">
        <v>49578911</v>
      </c>
      <c r="E26" s="590">
        <f t="shared" si="1"/>
        <v>9966561</v>
      </c>
    </row>
    <row r="27" spans="1:5" s="421" customFormat="1" x14ac:dyDescent="0.2">
      <c r="A27" s="588">
        <v>3</v>
      </c>
      <c r="B27" s="587" t="s">
        <v>778</v>
      </c>
      <c r="C27" s="589">
        <v>23256228</v>
      </c>
      <c r="D27" s="591">
        <v>27463602</v>
      </c>
      <c r="E27" s="590">
        <f t="shared" si="1"/>
        <v>4207374</v>
      </c>
    </row>
    <row r="28" spans="1:5" s="421" customFormat="1" x14ac:dyDescent="0.2">
      <c r="A28" s="588">
        <v>4</v>
      </c>
      <c r="B28" s="587" t="s">
        <v>115</v>
      </c>
      <c r="C28" s="589">
        <v>23256228</v>
      </c>
      <c r="D28" s="591">
        <v>27463602</v>
      </c>
      <c r="E28" s="590">
        <f t="shared" si="1"/>
        <v>4207374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659375</v>
      </c>
      <c r="D30" s="591">
        <v>699623</v>
      </c>
      <c r="E30" s="590">
        <f t="shared" si="1"/>
        <v>40248</v>
      </c>
    </row>
    <row r="31" spans="1:5" s="421" customFormat="1" x14ac:dyDescent="0.2">
      <c r="A31" s="588">
        <v>7</v>
      </c>
      <c r="B31" s="587" t="s">
        <v>759</v>
      </c>
      <c r="C31" s="590">
        <v>4649453</v>
      </c>
      <c r="D31" s="594">
        <v>4527588</v>
      </c>
      <c r="E31" s="590">
        <f t="shared" si="1"/>
        <v>-121865</v>
      </c>
    </row>
    <row r="32" spans="1:5" s="421" customFormat="1" x14ac:dyDescent="0.2">
      <c r="A32" s="588"/>
      <c r="B32" s="592" t="s">
        <v>781</v>
      </c>
      <c r="C32" s="593">
        <f>SUM(C26+C27+C30)</f>
        <v>63527953</v>
      </c>
      <c r="D32" s="593">
        <f>SUM(D26+D27+D30)</f>
        <v>77742136</v>
      </c>
      <c r="E32" s="593">
        <f t="shared" si="1"/>
        <v>14214183</v>
      </c>
    </row>
    <row r="33" spans="1:5" s="421" customFormat="1" x14ac:dyDescent="0.2">
      <c r="A33" s="588"/>
      <c r="B33" s="592" t="s">
        <v>467</v>
      </c>
      <c r="C33" s="593">
        <f>SUM(C25+C32)</f>
        <v>118179402</v>
      </c>
      <c r="D33" s="593">
        <f>SUM(D25+D32)</f>
        <v>143414268</v>
      </c>
      <c r="E33" s="593">
        <f t="shared" si="1"/>
        <v>25234866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70753155</v>
      </c>
      <c r="D36" s="590">
        <f t="shared" si="2"/>
        <v>81627015</v>
      </c>
      <c r="E36" s="590">
        <f t="shared" ref="E36:E44" si="3">D36-C36</f>
        <v>10873860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86352590</v>
      </c>
      <c r="D37" s="590">
        <f t="shared" si="2"/>
        <v>104118250</v>
      </c>
      <c r="E37" s="590">
        <f t="shared" si="3"/>
        <v>17765660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30246171</v>
      </c>
      <c r="D38" s="590">
        <f t="shared" si="2"/>
        <v>36071993</v>
      </c>
      <c r="E38" s="590">
        <f t="shared" si="3"/>
        <v>5825822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30246171</v>
      </c>
      <c r="D39" s="590">
        <f t="shared" si="2"/>
        <v>36071993</v>
      </c>
      <c r="E39" s="590">
        <f t="shared" si="3"/>
        <v>5825822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717382</v>
      </c>
      <c r="D41" s="590">
        <f t="shared" si="2"/>
        <v>847370</v>
      </c>
      <c r="E41" s="590">
        <f t="shared" si="3"/>
        <v>129988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5757404</v>
      </c>
      <c r="D42" s="590">
        <f t="shared" si="2"/>
        <v>5574229</v>
      </c>
      <c r="E42" s="590">
        <f t="shared" si="3"/>
        <v>-183175</v>
      </c>
    </row>
    <row r="43" spans="1:5" s="421" customFormat="1" x14ac:dyDescent="0.2">
      <c r="A43" s="588"/>
      <c r="B43" s="592" t="s">
        <v>789</v>
      </c>
      <c r="C43" s="593">
        <f>SUM(C37+C38+C41)</f>
        <v>117316143</v>
      </c>
      <c r="D43" s="593">
        <f>SUM(D37+D38+D41)</f>
        <v>141037613</v>
      </c>
      <c r="E43" s="593">
        <f t="shared" si="3"/>
        <v>23721470</v>
      </c>
    </row>
    <row r="44" spans="1:5" s="421" customFormat="1" x14ac:dyDescent="0.2">
      <c r="A44" s="588"/>
      <c r="B44" s="592" t="s">
        <v>726</v>
      </c>
      <c r="C44" s="593">
        <f>SUM(C36+C43)</f>
        <v>188069298</v>
      </c>
      <c r="D44" s="593">
        <f>SUM(D36+D43)</f>
        <v>222664628</v>
      </c>
      <c r="E44" s="593">
        <f t="shared" si="3"/>
        <v>34595330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7991645</v>
      </c>
      <c r="D47" s="589">
        <v>6814839</v>
      </c>
      <c r="E47" s="590">
        <f t="shared" ref="E47:E55" si="4">D47-C47</f>
        <v>-1176806</v>
      </c>
    </row>
    <row r="48" spans="1:5" s="421" customFormat="1" x14ac:dyDescent="0.2">
      <c r="A48" s="588">
        <v>2</v>
      </c>
      <c r="B48" s="587" t="s">
        <v>636</v>
      </c>
      <c r="C48" s="589">
        <v>15389796</v>
      </c>
      <c r="D48" s="591">
        <v>16580364</v>
      </c>
      <c r="E48" s="590">
        <f t="shared" si="4"/>
        <v>1190568</v>
      </c>
    </row>
    <row r="49" spans="1:5" s="421" customFormat="1" x14ac:dyDescent="0.2">
      <c r="A49" s="588">
        <v>3</v>
      </c>
      <c r="B49" s="587" t="s">
        <v>778</v>
      </c>
      <c r="C49" s="589">
        <v>1772603</v>
      </c>
      <c r="D49" s="591">
        <v>2156151</v>
      </c>
      <c r="E49" s="590">
        <f t="shared" si="4"/>
        <v>383548</v>
      </c>
    </row>
    <row r="50" spans="1:5" s="421" customFormat="1" x14ac:dyDescent="0.2">
      <c r="A50" s="588">
        <v>4</v>
      </c>
      <c r="B50" s="587" t="s">
        <v>115</v>
      </c>
      <c r="C50" s="589">
        <v>1772603</v>
      </c>
      <c r="D50" s="591">
        <v>2156151</v>
      </c>
      <c r="E50" s="590">
        <f t="shared" si="4"/>
        <v>383548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45723</v>
      </c>
      <c r="D52" s="591">
        <v>77114</v>
      </c>
      <c r="E52" s="590">
        <f t="shared" si="4"/>
        <v>31391</v>
      </c>
    </row>
    <row r="53" spans="1:5" s="421" customFormat="1" x14ac:dyDescent="0.2">
      <c r="A53" s="588">
        <v>7</v>
      </c>
      <c r="B53" s="587" t="s">
        <v>759</v>
      </c>
      <c r="C53" s="589">
        <v>32437</v>
      </c>
      <c r="D53" s="591">
        <v>2144</v>
      </c>
      <c r="E53" s="590">
        <f t="shared" si="4"/>
        <v>-30293</v>
      </c>
    </row>
    <row r="54" spans="1:5" s="421" customFormat="1" x14ac:dyDescent="0.2">
      <c r="A54" s="588"/>
      <c r="B54" s="592" t="s">
        <v>791</v>
      </c>
      <c r="C54" s="593">
        <f>SUM(C48+C49+C52)</f>
        <v>17208122</v>
      </c>
      <c r="D54" s="593">
        <f>SUM(D48+D49+D52)</f>
        <v>18813629</v>
      </c>
      <c r="E54" s="593">
        <f t="shared" si="4"/>
        <v>1605507</v>
      </c>
    </row>
    <row r="55" spans="1:5" s="421" customFormat="1" x14ac:dyDescent="0.2">
      <c r="A55" s="588"/>
      <c r="B55" s="592" t="s">
        <v>466</v>
      </c>
      <c r="C55" s="593">
        <f>SUM(C47+C54)</f>
        <v>25199767</v>
      </c>
      <c r="D55" s="593">
        <f>SUM(D47+D54)</f>
        <v>25628468</v>
      </c>
      <c r="E55" s="593">
        <f t="shared" si="4"/>
        <v>428701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26006860</v>
      </c>
      <c r="D58" s="589">
        <v>28599353</v>
      </c>
      <c r="E58" s="590">
        <f t="shared" ref="E58:E66" si="5">D58-C58</f>
        <v>2592493</v>
      </c>
    </row>
    <row r="59" spans="1:5" s="421" customFormat="1" x14ac:dyDescent="0.2">
      <c r="A59" s="588">
        <v>2</v>
      </c>
      <c r="B59" s="587" t="s">
        <v>636</v>
      </c>
      <c r="C59" s="589">
        <v>9596522</v>
      </c>
      <c r="D59" s="591">
        <v>10397051</v>
      </c>
      <c r="E59" s="590">
        <f t="shared" si="5"/>
        <v>800529</v>
      </c>
    </row>
    <row r="60" spans="1:5" s="421" customFormat="1" x14ac:dyDescent="0.2">
      <c r="A60" s="588">
        <v>3</v>
      </c>
      <c r="B60" s="587" t="s">
        <v>778</v>
      </c>
      <c r="C60" s="589">
        <f>C61+C62</f>
        <v>4149278</v>
      </c>
      <c r="D60" s="591">
        <f>D61+D62</f>
        <v>5234566</v>
      </c>
      <c r="E60" s="590">
        <f t="shared" si="5"/>
        <v>1085288</v>
      </c>
    </row>
    <row r="61" spans="1:5" s="421" customFormat="1" x14ac:dyDescent="0.2">
      <c r="A61" s="588">
        <v>4</v>
      </c>
      <c r="B61" s="587" t="s">
        <v>115</v>
      </c>
      <c r="C61" s="589">
        <v>4149278</v>
      </c>
      <c r="D61" s="591">
        <v>5234566</v>
      </c>
      <c r="E61" s="590">
        <f t="shared" si="5"/>
        <v>1085288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387769</v>
      </c>
      <c r="D63" s="591">
        <v>176483</v>
      </c>
      <c r="E63" s="590">
        <f t="shared" si="5"/>
        <v>-211286</v>
      </c>
    </row>
    <row r="64" spans="1:5" s="421" customFormat="1" x14ac:dyDescent="0.2">
      <c r="A64" s="588">
        <v>7</v>
      </c>
      <c r="B64" s="587" t="s">
        <v>759</v>
      </c>
      <c r="C64" s="589">
        <v>224697</v>
      </c>
      <c r="D64" s="591">
        <v>175163</v>
      </c>
      <c r="E64" s="590">
        <f t="shared" si="5"/>
        <v>-49534</v>
      </c>
    </row>
    <row r="65" spans="1:5" s="421" customFormat="1" x14ac:dyDescent="0.2">
      <c r="A65" s="588"/>
      <c r="B65" s="592" t="s">
        <v>793</v>
      </c>
      <c r="C65" s="593">
        <f>SUM(C59+C60+C63)</f>
        <v>14133569</v>
      </c>
      <c r="D65" s="593">
        <f>SUM(D59+D60+D63)</f>
        <v>15808100</v>
      </c>
      <c r="E65" s="593">
        <f t="shared" si="5"/>
        <v>1674531</v>
      </c>
    </row>
    <row r="66" spans="1:5" s="421" customFormat="1" x14ac:dyDescent="0.2">
      <c r="A66" s="588"/>
      <c r="B66" s="592" t="s">
        <v>468</v>
      </c>
      <c r="C66" s="593">
        <f>SUM(C58+C65)</f>
        <v>40140429</v>
      </c>
      <c r="D66" s="593">
        <f>SUM(D58+D65)</f>
        <v>44407453</v>
      </c>
      <c r="E66" s="593">
        <f t="shared" si="5"/>
        <v>4267024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33998505</v>
      </c>
      <c r="D69" s="590">
        <f t="shared" si="6"/>
        <v>35414192</v>
      </c>
      <c r="E69" s="590">
        <f t="shared" ref="E69:E77" si="7">D69-C69</f>
        <v>1415687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24986318</v>
      </c>
      <c r="D70" s="590">
        <f t="shared" si="6"/>
        <v>26977415</v>
      </c>
      <c r="E70" s="590">
        <f t="shared" si="7"/>
        <v>1991097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5921881</v>
      </c>
      <c r="D71" s="590">
        <f t="shared" si="6"/>
        <v>7390717</v>
      </c>
      <c r="E71" s="590">
        <f t="shared" si="7"/>
        <v>1468836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5921881</v>
      </c>
      <c r="D72" s="590">
        <f t="shared" si="6"/>
        <v>7390717</v>
      </c>
      <c r="E72" s="590">
        <f t="shared" si="7"/>
        <v>1468836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433492</v>
      </c>
      <c r="D74" s="590">
        <f t="shared" si="6"/>
        <v>253597</v>
      </c>
      <c r="E74" s="590">
        <f t="shared" si="7"/>
        <v>-179895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257134</v>
      </c>
      <c r="D75" s="590">
        <f t="shared" si="6"/>
        <v>177307</v>
      </c>
      <c r="E75" s="590">
        <f t="shared" si="7"/>
        <v>-79827</v>
      </c>
    </row>
    <row r="76" spans="1:5" s="421" customFormat="1" x14ac:dyDescent="0.2">
      <c r="A76" s="588"/>
      <c r="B76" s="592" t="s">
        <v>794</v>
      </c>
      <c r="C76" s="593">
        <f>SUM(C70+C71+C74)</f>
        <v>31341691</v>
      </c>
      <c r="D76" s="593">
        <f>SUM(D70+D71+D74)</f>
        <v>34621729</v>
      </c>
      <c r="E76" s="593">
        <f t="shared" si="7"/>
        <v>3280038</v>
      </c>
    </row>
    <row r="77" spans="1:5" s="421" customFormat="1" x14ac:dyDescent="0.2">
      <c r="A77" s="588"/>
      <c r="B77" s="592" t="s">
        <v>727</v>
      </c>
      <c r="C77" s="593">
        <f>SUM(C69+C76)</f>
        <v>65340196</v>
      </c>
      <c r="D77" s="593">
        <f>SUM(D69+D76)</f>
        <v>70035921</v>
      </c>
      <c r="E77" s="593">
        <f t="shared" si="7"/>
        <v>4695725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8.5615813804973101E-2</v>
      </c>
      <c r="D83" s="599">
        <f t="shared" si="8"/>
        <v>7.1654322212327315E-2</v>
      </c>
      <c r="E83" s="599">
        <f t="shared" ref="E83:E91" si="9">D83-C83</f>
        <v>-1.3961491592645786E-2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0.24852668934830607</v>
      </c>
      <c r="D84" s="599">
        <f t="shared" si="8"/>
        <v>0.24493939378642574</v>
      </c>
      <c r="E84" s="599">
        <f t="shared" si="9"/>
        <v>-3.5872955618803382E-3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3.71668479349564E-2</v>
      </c>
      <c r="D85" s="599">
        <f t="shared" si="8"/>
        <v>3.8660792588933346E-2</v>
      </c>
      <c r="E85" s="599">
        <f t="shared" si="9"/>
        <v>1.493944653976946E-3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3.71668479349564E-2</v>
      </c>
      <c r="D86" s="599">
        <f t="shared" si="8"/>
        <v>3.8660792588933346E-2</v>
      </c>
      <c r="E86" s="599">
        <f t="shared" si="9"/>
        <v>1.493944653976946E-3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3.0843418153238386E-4</v>
      </c>
      <c r="D88" s="599">
        <f t="shared" si="8"/>
        <v>6.6354050630798892E-4</v>
      </c>
      <c r="E88" s="599">
        <f t="shared" si="9"/>
        <v>3.5510632477560506E-4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5.8911848546379965E-3</v>
      </c>
      <c r="D89" s="599">
        <f t="shared" si="8"/>
        <v>4.7005265694917654E-3</v>
      </c>
      <c r="E89" s="599">
        <f t="shared" si="9"/>
        <v>-1.1906582851462311E-3</v>
      </c>
    </row>
    <row r="90" spans="1:5" s="421" customFormat="1" x14ac:dyDescent="0.2">
      <c r="A90" s="588"/>
      <c r="B90" s="592" t="s">
        <v>797</v>
      </c>
      <c r="C90" s="600">
        <f>SUM(C84+C85+C88)</f>
        <v>0.28600197146479484</v>
      </c>
      <c r="D90" s="600">
        <f>SUM(D84+D85+D88)</f>
        <v>0.28426372688166712</v>
      </c>
      <c r="E90" s="601">
        <f t="shared" si="9"/>
        <v>-1.7382445831277127E-3</v>
      </c>
    </row>
    <row r="91" spans="1:5" s="421" customFormat="1" x14ac:dyDescent="0.2">
      <c r="A91" s="588"/>
      <c r="B91" s="592" t="s">
        <v>798</v>
      </c>
      <c r="C91" s="600">
        <f>SUM(C83+C90)</f>
        <v>0.37161778526976796</v>
      </c>
      <c r="D91" s="600">
        <f>SUM(D83+D90)</f>
        <v>0.35591804909399444</v>
      </c>
      <c r="E91" s="601">
        <f t="shared" si="9"/>
        <v>-1.5699736175773527E-2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0.29059208271197995</v>
      </c>
      <c r="D95" s="599">
        <f t="shared" si="10"/>
        <v>0.29493742490612385</v>
      </c>
      <c r="E95" s="599">
        <f t="shared" ref="E95:E103" si="11">D95-C95</f>
        <v>4.3453421941438974E-3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0.21062635114424685</v>
      </c>
      <c r="D96" s="599">
        <f t="shared" si="10"/>
        <v>0.22266181856239869</v>
      </c>
      <c r="E96" s="599">
        <f t="shared" si="11"/>
        <v>1.2035467418151841E-2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0.12365775938611734</v>
      </c>
      <c r="D97" s="599">
        <f t="shared" si="10"/>
        <v>0.12334065920879</v>
      </c>
      <c r="E97" s="599">
        <f t="shared" si="11"/>
        <v>-3.1710017732733409E-4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0.12365775938611734</v>
      </c>
      <c r="D98" s="599">
        <f t="shared" si="10"/>
        <v>0.12334065920879</v>
      </c>
      <c r="E98" s="599">
        <f t="shared" si="11"/>
        <v>-3.1710017732733409E-4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3.5060214878879382E-3</v>
      </c>
      <c r="D100" s="599">
        <f t="shared" si="10"/>
        <v>3.1420482286930638E-3</v>
      </c>
      <c r="E100" s="599">
        <f t="shared" si="11"/>
        <v>-3.6397325919487441E-4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2.4722020284246502E-2</v>
      </c>
      <c r="D101" s="599">
        <f t="shared" si="10"/>
        <v>2.0333665210623394E-2</v>
      </c>
      <c r="E101" s="599">
        <f t="shared" si="11"/>
        <v>-4.3883550736231076E-3</v>
      </c>
    </row>
    <row r="102" spans="1:5" s="421" customFormat="1" x14ac:dyDescent="0.2">
      <c r="A102" s="588"/>
      <c r="B102" s="592" t="s">
        <v>800</v>
      </c>
      <c r="C102" s="600">
        <f>SUM(C96+C97+C100)</f>
        <v>0.33779013201825214</v>
      </c>
      <c r="D102" s="600">
        <f>SUM(D96+D97+D100)</f>
        <v>0.34914452599988177</v>
      </c>
      <c r="E102" s="601">
        <f t="shared" si="11"/>
        <v>1.1354393981629629E-2</v>
      </c>
    </row>
    <row r="103" spans="1:5" s="421" customFormat="1" x14ac:dyDescent="0.2">
      <c r="A103" s="588"/>
      <c r="B103" s="592" t="s">
        <v>801</v>
      </c>
      <c r="C103" s="600">
        <f>SUM(C95+C102)</f>
        <v>0.62838221473023204</v>
      </c>
      <c r="D103" s="600">
        <f>SUM(D95+D102)</f>
        <v>0.64408195090600562</v>
      </c>
      <c r="E103" s="601">
        <f t="shared" si="11"/>
        <v>1.5699736175773582E-2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0.12230824958039611</v>
      </c>
      <c r="D109" s="599">
        <f t="shared" si="12"/>
        <v>9.7304910147465618E-2</v>
      </c>
      <c r="E109" s="599">
        <f t="shared" ref="E109:E117" si="13">D109-C109</f>
        <v>-2.5003339432930496E-2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0.23553336142426018</v>
      </c>
      <c r="D110" s="599">
        <f t="shared" si="12"/>
        <v>0.23674085759506183</v>
      </c>
      <c r="E110" s="599">
        <f t="shared" si="13"/>
        <v>1.2074961708016529E-3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2.7128828937091037E-2</v>
      </c>
      <c r="D111" s="599">
        <f t="shared" si="12"/>
        <v>3.0786358902883563E-2</v>
      </c>
      <c r="E111" s="599">
        <f t="shared" si="13"/>
        <v>3.6575299657925255E-3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2.7128828937091037E-2</v>
      </c>
      <c r="D112" s="599">
        <f t="shared" si="12"/>
        <v>3.0786358902883563E-2</v>
      </c>
      <c r="E112" s="599">
        <f t="shared" si="13"/>
        <v>3.6575299657925255E-3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6.9976833249780883E-4</v>
      </c>
      <c r="D114" s="599">
        <f t="shared" si="12"/>
        <v>1.1010635528017115E-3</v>
      </c>
      <c r="E114" s="599">
        <f t="shared" si="13"/>
        <v>4.012952203039027E-4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4.9643254819743731E-4</v>
      </c>
      <c r="D115" s="599">
        <f t="shared" si="12"/>
        <v>3.0612862219660108E-5</v>
      </c>
      <c r="E115" s="599">
        <f t="shared" si="13"/>
        <v>-4.6581968597777721E-4</v>
      </c>
    </row>
    <row r="116" spans="1:5" s="421" customFormat="1" x14ac:dyDescent="0.2">
      <c r="A116" s="588"/>
      <c r="B116" s="592" t="s">
        <v>797</v>
      </c>
      <c r="C116" s="600">
        <f>SUM(C110+C111+C114)</f>
        <v>0.26336195869384899</v>
      </c>
      <c r="D116" s="600">
        <f>SUM(D110+D111+D114)</f>
        <v>0.26862828005074713</v>
      </c>
      <c r="E116" s="601">
        <f t="shared" si="13"/>
        <v>5.2663213568981404E-3</v>
      </c>
    </row>
    <row r="117" spans="1:5" s="421" customFormat="1" x14ac:dyDescent="0.2">
      <c r="A117" s="588"/>
      <c r="B117" s="592" t="s">
        <v>798</v>
      </c>
      <c r="C117" s="600">
        <f>SUM(C109+C116)</f>
        <v>0.38567020827424509</v>
      </c>
      <c r="D117" s="600">
        <f>SUM(D109+D116)</f>
        <v>0.36593319019821274</v>
      </c>
      <c r="E117" s="601">
        <f t="shared" si="13"/>
        <v>-1.9737018076032342E-2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0.39802237507827493</v>
      </c>
      <c r="D121" s="599">
        <f t="shared" si="14"/>
        <v>0.40835263664198834</v>
      </c>
      <c r="E121" s="599">
        <f t="shared" ref="E121:E129" si="15">D121-C121</f>
        <v>1.0330261563713417E-2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0.14687011345971476</v>
      </c>
      <c r="D122" s="599">
        <f t="shared" si="14"/>
        <v>0.14845312022097917</v>
      </c>
      <c r="E122" s="599">
        <f t="shared" si="15"/>
        <v>1.5830067612644105E-3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6.3502686768800026E-2</v>
      </c>
      <c r="D123" s="599">
        <f t="shared" si="14"/>
        <v>7.4741160325427866E-2</v>
      </c>
      <c r="E123" s="599">
        <f t="shared" si="15"/>
        <v>1.123847355662784E-2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6.3502686768800026E-2</v>
      </c>
      <c r="D124" s="599">
        <f t="shared" si="14"/>
        <v>7.4741160325427866E-2</v>
      </c>
      <c r="E124" s="599">
        <f t="shared" si="15"/>
        <v>1.123847355662784E-2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5.9346164189651345E-3</v>
      </c>
      <c r="D126" s="599">
        <f t="shared" si="14"/>
        <v>2.5198926133919194E-3</v>
      </c>
      <c r="E126" s="599">
        <f t="shared" si="15"/>
        <v>-3.4147238055732151E-3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3.4388785733057794E-3</v>
      </c>
      <c r="D127" s="599">
        <f t="shared" si="14"/>
        <v>2.501045142249218E-3</v>
      </c>
      <c r="E127" s="599">
        <f t="shared" si="15"/>
        <v>-9.3783343105656143E-4</v>
      </c>
    </row>
    <row r="128" spans="1:5" s="421" customFormat="1" x14ac:dyDescent="0.2">
      <c r="A128" s="588"/>
      <c r="B128" s="592" t="s">
        <v>800</v>
      </c>
      <c r="C128" s="600">
        <f>SUM(C122+C123+C126)</f>
        <v>0.21630741664747993</v>
      </c>
      <c r="D128" s="600">
        <f>SUM(D122+D123+D126)</f>
        <v>0.22571417315979897</v>
      </c>
      <c r="E128" s="601">
        <f t="shared" si="15"/>
        <v>9.4067565123190366E-3</v>
      </c>
    </row>
    <row r="129" spans="1:5" s="421" customFormat="1" x14ac:dyDescent="0.2">
      <c r="A129" s="588"/>
      <c r="B129" s="592" t="s">
        <v>801</v>
      </c>
      <c r="C129" s="600">
        <f>SUM(C121+C128)</f>
        <v>0.61432979172575486</v>
      </c>
      <c r="D129" s="600">
        <f>SUM(D121+D128)</f>
        <v>0.63406680980178731</v>
      </c>
      <c r="E129" s="601">
        <f t="shared" si="15"/>
        <v>1.9737018076032453E-2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594</v>
      </c>
      <c r="D137" s="606">
        <v>561</v>
      </c>
      <c r="E137" s="607">
        <f t="shared" ref="E137:E145" si="16">D137-C137</f>
        <v>-33</v>
      </c>
    </row>
    <row r="138" spans="1:5" s="421" customFormat="1" x14ac:dyDescent="0.2">
      <c r="A138" s="588">
        <v>2</v>
      </c>
      <c r="B138" s="587" t="s">
        <v>636</v>
      </c>
      <c r="C138" s="606">
        <v>1655</v>
      </c>
      <c r="D138" s="606">
        <v>1707</v>
      </c>
      <c r="E138" s="607">
        <f t="shared" si="16"/>
        <v>52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266</v>
      </c>
      <c r="D139" s="606">
        <f>D140+D141</f>
        <v>292</v>
      </c>
      <c r="E139" s="607">
        <f t="shared" si="16"/>
        <v>26</v>
      </c>
    </row>
    <row r="140" spans="1:5" s="421" customFormat="1" x14ac:dyDescent="0.2">
      <c r="A140" s="588">
        <v>4</v>
      </c>
      <c r="B140" s="587" t="s">
        <v>115</v>
      </c>
      <c r="C140" s="606">
        <v>266</v>
      </c>
      <c r="D140" s="606">
        <v>292</v>
      </c>
      <c r="E140" s="607">
        <f t="shared" si="16"/>
        <v>26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4</v>
      </c>
      <c r="D142" s="606">
        <v>7</v>
      </c>
      <c r="E142" s="607">
        <f t="shared" si="16"/>
        <v>3</v>
      </c>
    </row>
    <row r="143" spans="1:5" s="421" customFormat="1" x14ac:dyDescent="0.2">
      <c r="A143" s="588">
        <v>7</v>
      </c>
      <c r="B143" s="587" t="s">
        <v>759</v>
      </c>
      <c r="C143" s="606">
        <v>58</v>
      </c>
      <c r="D143" s="606">
        <v>48</v>
      </c>
      <c r="E143" s="607">
        <f t="shared" si="16"/>
        <v>-10</v>
      </c>
    </row>
    <row r="144" spans="1:5" s="421" customFormat="1" x14ac:dyDescent="0.2">
      <c r="A144" s="588"/>
      <c r="B144" s="592" t="s">
        <v>808</v>
      </c>
      <c r="C144" s="608">
        <f>SUM(C138+C139+C142)</f>
        <v>1925</v>
      </c>
      <c r="D144" s="608">
        <f>SUM(D138+D139+D142)</f>
        <v>2006</v>
      </c>
      <c r="E144" s="609">
        <f t="shared" si="16"/>
        <v>81</v>
      </c>
    </row>
    <row r="145" spans="1:5" s="421" customFormat="1" x14ac:dyDescent="0.2">
      <c r="A145" s="588"/>
      <c r="B145" s="592" t="s">
        <v>138</v>
      </c>
      <c r="C145" s="608">
        <f>SUM(C137+C144)</f>
        <v>2519</v>
      </c>
      <c r="D145" s="608">
        <f>SUM(D137+D144)</f>
        <v>2567</v>
      </c>
      <c r="E145" s="609">
        <f t="shared" si="16"/>
        <v>48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2351</v>
      </c>
      <c r="D149" s="610">
        <v>1952</v>
      </c>
      <c r="E149" s="607">
        <f t="shared" ref="E149:E157" si="17">D149-C149</f>
        <v>-399</v>
      </c>
    </row>
    <row r="150" spans="1:5" s="421" customFormat="1" x14ac:dyDescent="0.2">
      <c r="A150" s="588">
        <v>2</v>
      </c>
      <c r="B150" s="587" t="s">
        <v>636</v>
      </c>
      <c r="C150" s="610">
        <v>9334</v>
      </c>
      <c r="D150" s="610">
        <v>8933</v>
      </c>
      <c r="E150" s="607">
        <f t="shared" si="17"/>
        <v>-401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1362</v>
      </c>
      <c r="D151" s="610">
        <f>D152+D153</f>
        <v>1422</v>
      </c>
      <c r="E151" s="607">
        <f t="shared" si="17"/>
        <v>60</v>
      </c>
    </row>
    <row r="152" spans="1:5" s="421" customFormat="1" x14ac:dyDescent="0.2">
      <c r="A152" s="588">
        <v>4</v>
      </c>
      <c r="B152" s="587" t="s">
        <v>115</v>
      </c>
      <c r="C152" s="610">
        <v>1362</v>
      </c>
      <c r="D152" s="610">
        <v>1422</v>
      </c>
      <c r="E152" s="607">
        <f t="shared" si="17"/>
        <v>60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9</v>
      </c>
      <c r="D154" s="610">
        <v>18</v>
      </c>
      <c r="E154" s="607">
        <f t="shared" si="17"/>
        <v>9</v>
      </c>
    </row>
    <row r="155" spans="1:5" s="421" customFormat="1" x14ac:dyDescent="0.2">
      <c r="A155" s="588">
        <v>7</v>
      </c>
      <c r="B155" s="587" t="s">
        <v>759</v>
      </c>
      <c r="C155" s="610">
        <v>298</v>
      </c>
      <c r="D155" s="610">
        <v>247</v>
      </c>
      <c r="E155" s="607">
        <f t="shared" si="17"/>
        <v>-51</v>
      </c>
    </row>
    <row r="156" spans="1:5" s="421" customFormat="1" x14ac:dyDescent="0.2">
      <c r="A156" s="588"/>
      <c r="B156" s="592" t="s">
        <v>809</v>
      </c>
      <c r="C156" s="608">
        <f>SUM(C150+C151+C154)</f>
        <v>10705</v>
      </c>
      <c r="D156" s="608">
        <f>SUM(D150+D151+D154)</f>
        <v>10373</v>
      </c>
      <c r="E156" s="609">
        <f t="shared" si="17"/>
        <v>-332</v>
      </c>
    </row>
    <row r="157" spans="1:5" s="421" customFormat="1" x14ac:dyDescent="0.2">
      <c r="A157" s="588"/>
      <c r="B157" s="592" t="s">
        <v>140</v>
      </c>
      <c r="C157" s="608">
        <f>SUM(C149+C156)</f>
        <v>13056</v>
      </c>
      <c r="D157" s="608">
        <f>SUM(D149+D156)</f>
        <v>12325</v>
      </c>
      <c r="E157" s="609">
        <f t="shared" si="17"/>
        <v>-731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3.957912457912458</v>
      </c>
      <c r="D161" s="612">
        <f t="shared" si="18"/>
        <v>3.4795008912655971</v>
      </c>
      <c r="E161" s="613">
        <f t="shared" ref="E161:E169" si="19">D161-C161</f>
        <v>-0.47841156664686091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5.6398791540785496</v>
      </c>
      <c r="D162" s="612">
        <f t="shared" si="18"/>
        <v>5.2331575864089048</v>
      </c>
      <c r="E162" s="613">
        <f t="shared" si="19"/>
        <v>-0.40672156766964473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5.1203007518796992</v>
      </c>
      <c r="D163" s="612">
        <f t="shared" si="18"/>
        <v>4.8698630136986303</v>
      </c>
      <c r="E163" s="613">
        <f t="shared" si="19"/>
        <v>-0.25043773818106896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5.1203007518796992</v>
      </c>
      <c r="D164" s="612">
        <f t="shared" si="18"/>
        <v>4.8698630136986303</v>
      </c>
      <c r="E164" s="613">
        <f t="shared" si="19"/>
        <v>-0.25043773818106896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2.25</v>
      </c>
      <c r="D166" s="612">
        <f t="shared" si="18"/>
        <v>2.5714285714285716</v>
      </c>
      <c r="E166" s="613">
        <f t="shared" si="19"/>
        <v>0.32142857142857162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5.1379310344827589</v>
      </c>
      <c r="D167" s="612">
        <f t="shared" si="18"/>
        <v>5.145833333333333</v>
      </c>
      <c r="E167" s="613">
        <f t="shared" si="19"/>
        <v>7.9022988505741409E-3</v>
      </c>
    </row>
    <row r="168" spans="1:5" s="421" customFormat="1" x14ac:dyDescent="0.2">
      <c r="A168" s="588"/>
      <c r="B168" s="592" t="s">
        <v>811</v>
      </c>
      <c r="C168" s="614">
        <f t="shared" si="18"/>
        <v>5.5610389610389612</v>
      </c>
      <c r="D168" s="614">
        <f t="shared" si="18"/>
        <v>5.1709870388833501</v>
      </c>
      <c r="E168" s="615">
        <f t="shared" si="19"/>
        <v>-0.39005192215561113</v>
      </c>
    </row>
    <row r="169" spans="1:5" s="421" customFormat="1" x14ac:dyDescent="0.2">
      <c r="A169" s="588"/>
      <c r="B169" s="592" t="s">
        <v>745</v>
      </c>
      <c r="C169" s="614">
        <f t="shared" si="18"/>
        <v>5.1830091306073838</v>
      </c>
      <c r="D169" s="614">
        <f t="shared" si="18"/>
        <v>4.8013245033112586</v>
      </c>
      <c r="E169" s="615">
        <f t="shared" si="19"/>
        <v>-0.38168462729612518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1.6539200000000001</v>
      </c>
      <c r="D173" s="617">
        <f t="shared" si="20"/>
        <v>1.67222</v>
      </c>
      <c r="E173" s="618">
        <f t="shared" ref="E173:E181" si="21">D173-C173</f>
        <v>1.8299999999999983E-2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1.49234</v>
      </c>
      <c r="D174" s="617">
        <f t="shared" si="20"/>
        <v>1.5663100000000001</v>
      </c>
      <c r="E174" s="618">
        <f t="shared" si="21"/>
        <v>7.3970000000000091E-2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1.18327</v>
      </c>
      <c r="D175" s="617">
        <f t="shared" si="20"/>
        <v>1.42516</v>
      </c>
      <c r="E175" s="618">
        <f t="shared" si="21"/>
        <v>0.24188999999999994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1.18327</v>
      </c>
      <c r="D176" s="617">
        <f t="shared" si="20"/>
        <v>1.42516</v>
      </c>
      <c r="E176" s="618">
        <f t="shared" si="21"/>
        <v>0.24188999999999994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1.29484</v>
      </c>
      <c r="D178" s="617">
        <f t="shared" si="20"/>
        <v>1.70347</v>
      </c>
      <c r="E178" s="618">
        <f t="shared" si="21"/>
        <v>0.40863000000000005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1.12859</v>
      </c>
      <c r="D179" s="617">
        <f t="shared" si="20"/>
        <v>1.1844399999999999</v>
      </c>
      <c r="E179" s="618">
        <f t="shared" si="21"/>
        <v>5.5849999999999955E-2</v>
      </c>
    </row>
    <row r="180" spans="1:5" s="421" customFormat="1" x14ac:dyDescent="0.2">
      <c r="A180" s="588"/>
      <c r="B180" s="592" t="s">
        <v>813</v>
      </c>
      <c r="C180" s="619">
        <f t="shared" si="20"/>
        <v>1.449221755844156</v>
      </c>
      <c r="D180" s="619">
        <f t="shared" si="20"/>
        <v>1.5462423629112663</v>
      </c>
      <c r="E180" s="620">
        <f t="shared" si="21"/>
        <v>9.7020607067110243E-2</v>
      </c>
    </row>
    <row r="181" spans="1:5" s="421" customFormat="1" x14ac:dyDescent="0.2">
      <c r="A181" s="588"/>
      <c r="B181" s="592" t="s">
        <v>724</v>
      </c>
      <c r="C181" s="619">
        <f t="shared" si="20"/>
        <v>1.4974912107979359</v>
      </c>
      <c r="D181" s="619">
        <f t="shared" si="20"/>
        <v>1.5737738994935724</v>
      </c>
      <c r="E181" s="620">
        <f t="shared" si="21"/>
        <v>7.628268869563648E-2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70753155</v>
      </c>
      <c r="D185" s="589">
        <v>81627015</v>
      </c>
      <c r="E185" s="590">
        <f>D185-C185</f>
        <v>10873860</v>
      </c>
    </row>
    <row r="186" spans="1:5" s="421" customFormat="1" ht="25.5" x14ac:dyDescent="0.2">
      <c r="A186" s="588">
        <v>2</v>
      </c>
      <c r="B186" s="587" t="s">
        <v>816</v>
      </c>
      <c r="C186" s="589">
        <v>33998505</v>
      </c>
      <c r="D186" s="589">
        <v>35414192</v>
      </c>
      <c r="E186" s="590">
        <f>D186-C186</f>
        <v>1415687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36754650</v>
      </c>
      <c r="D188" s="622">
        <f>+D185-D186</f>
        <v>46212823</v>
      </c>
      <c r="E188" s="590">
        <f t="shared" ref="E188:E197" si="22">D188-C188</f>
        <v>9458173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0.51947718797840181</v>
      </c>
      <c r="D189" s="623">
        <f>IF(D185=0,0,+D188/D185)</f>
        <v>0.56614618334383537</v>
      </c>
      <c r="E189" s="599">
        <f t="shared" si="22"/>
        <v>4.6668995365433563E-2</v>
      </c>
    </row>
    <row r="190" spans="1:5" s="421" customFormat="1" x14ac:dyDescent="0.2">
      <c r="A190" s="588">
        <v>5</v>
      </c>
      <c r="B190" s="587" t="s">
        <v>763</v>
      </c>
      <c r="C190" s="589">
        <v>0</v>
      </c>
      <c r="D190" s="589">
        <v>0</v>
      </c>
      <c r="E190" s="622">
        <f t="shared" si="22"/>
        <v>0</v>
      </c>
    </row>
    <row r="191" spans="1:5" s="421" customFormat="1" x14ac:dyDescent="0.2">
      <c r="A191" s="588">
        <v>6</v>
      </c>
      <c r="B191" s="587" t="s">
        <v>749</v>
      </c>
      <c r="C191" s="589">
        <v>0</v>
      </c>
      <c r="D191" s="589">
        <v>0</v>
      </c>
      <c r="E191" s="622">
        <f t="shared" si="22"/>
        <v>0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2192753</v>
      </c>
      <c r="D193" s="589">
        <v>1271767</v>
      </c>
      <c r="E193" s="622">
        <f t="shared" si="22"/>
        <v>-920986</v>
      </c>
    </row>
    <row r="194" spans="1:5" s="421" customFormat="1" x14ac:dyDescent="0.2">
      <c r="A194" s="588">
        <v>9</v>
      </c>
      <c r="B194" s="587" t="s">
        <v>819</v>
      </c>
      <c r="C194" s="589">
        <v>3309948</v>
      </c>
      <c r="D194" s="589">
        <v>4127214</v>
      </c>
      <c r="E194" s="622">
        <f t="shared" si="22"/>
        <v>817266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5502701</v>
      </c>
      <c r="D195" s="589">
        <f>+D193+D194</f>
        <v>5398981</v>
      </c>
      <c r="E195" s="625">
        <f t="shared" si="22"/>
        <v>-103720</v>
      </c>
    </row>
    <row r="196" spans="1:5" s="421" customFormat="1" x14ac:dyDescent="0.2">
      <c r="A196" s="588">
        <v>11</v>
      </c>
      <c r="B196" s="587" t="s">
        <v>821</v>
      </c>
      <c r="C196" s="589">
        <v>6871608</v>
      </c>
      <c r="D196" s="589">
        <v>6078316</v>
      </c>
      <c r="E196" s="622">
        <f t="shared" si="22"/>
        <v>-793292</v>
      </c>
    </row>
    <row r="197" spans="1:5" s="421" customFormat="1" x14ac:dyDescent="0.2">
      <c r="A197" s="588">
        <v>12</v>
      </c>
      <c r="B197" s="587" t="s">
        <v>711</v>
      </c>
      <c r="C197" s="589">
        <v>74038954</v>
      </c>
      <c r="D197" s="589">
        <v>71670098</v>
      </c>
      <c r="E197" s="622">
        <f t="shared" si="22"/>
        <v>-2368856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982.42848000000004</v>
      </c>
      <c r="D203" s="629">
        <v>938.11541999999997</v>
      </c>
      <c r="E203" s="630">
        <f t="shared" ref="E203:E211" si="23">D203-C203</f>
        <v>-44.313060000000064</v>
      </c>
    </row>
    <row r="204" spans="1:5" s="421" customFormat="1" x14ac:dyDescent="0.2">
      <c r="A204" s="588">
        <v>2</v>
      </c>
      <c r="B204" s="587" t="s">
        <v>636</v>
      </c>
      <c r="C204" s="629">
        <v>2469.8227000000002</v>
      </c>
      <c r="D204" s="629">
        <v>2673.6911700000001</v>
      </c>
      <c r="E204" s="630">
        <f t="shared" si="23"/>
        <v>203.86846999999989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314.74982</v>
      </c>
      <c r="D205" s="629">
        <f>D206+D207</f>
        <v>416.14672000000002</v>
      </c>
      <c r="E205" s="630">
        <f t="shared" si="23"/>
        <v>101.39690000000002</v>
      </c>
    </row>
    <row r="206" spans="1:5" s="421" customFormat="1" x14ac:dyDescent="0.2">
      <c r="A206" s="588">
        <v>4</v>
      </c>
      <c r="B206" s="587" t="s">
        <v>115</v>
      </c>
      <c r="C206" s="629">
        <v>314.74982</v>
      </c>
      <c r="D206" s="629">
        <v>416.14672000000002</v>
      </c>
      <c r="E206" s="630">
        <f t="shared" si="23"/>
        <v>101.39690000000002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5.17936</v>
      </c>
      <c r="D208" s="629">
        <v>11.924290000000001</v>
      </c>
      <c r="E208" s="630">
        <f t="shared" si="23"/>
        <v>6.744930000000001</v>
      </c>
    </row>
    <row r="209" spans="1:5" s="421" customFormat="1" x14ac:dyDescent="0.2">
      <c r="A209" s="588">
        <v>7</v>
      </c>
      <c r="B209" s="587" t="s">
        <v>759</v>
      </c>
      <c r="C209" s="629">
        <v>65.458219999999997</v>
      </c>
      <c r="D209" s="629">
        <v>56.853119999999997</v>
      </c>
      <c r="E209" s="630">
        <f t="shared" si="23"/>
        <v>-8.6051000000000002</v>
      </c>
    </row>
    <row r="210" spans="1:5" s="421" customFormat="1" x14ac:dyDescent="0.2">
      <c r="A210" s="588"/>
      <c r="B210" s="592" t="s">
        <v>824</v>
      </c>
      <c r="C210" s="631">
        <f>C204+C205+C208</f>
        <v>2789.7518800000003</v>
      </c>
      <c r="D210" s="631">
        <f>D204+D205+D208</f>
        <v>3101.7621800000002</v>
      </c>
      <c r="E210" s="632">
        <f t="shared" si="23"/>
        <v>312.01029999999992</v>
      </c>
    </row>
    <row r="211" spans="1:5" s="421" customFormat="1" x14ac:dyDescent="0.2">
      <c r="A211" s="588"/>
      <c r="B211" s="592" t="s">
        <v>725</v>
      </c>
      <c r="C211" s="631">
        <f>C210+C203</f>
        <v>3772.1803600000003</v>
      </c>
      <c r="D211" s="631">
        <f>D210+D203</f>
        <v>4039.8776000000003</v>
      </c>
      <c r="E211" s="632">
        <f t="shared" si="23"/>
        <v>267.69723999999997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2016.1193295915352</v>
      </c>
      <c r="D215" s="633">
        <f>IF(D14*D137=0,0,D25/D14*D137)</f>
        <v>2309.1404714155533</v>
      </c>
      <c r="E215" s="633">
        <f t="shared" ref="E215:E223" si="24">D215-C215</f>
        <v>293.02114182401806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1402.6123796112302</v>
      </c>
      <c r="D216" s="633">
        <f>IF(D15*D138=0,0,D26/D15*D138)</f>
        <v>1551.7459989201557</v>
      </c>
      <c r="E216" s="633">
        <f t="shared" si="24"/>
        <v>149.13361930892552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885.00816787776387</v>
      </c>
      <c r="D217" s="633">
        <f>D218+D219</f>
        <v>931.57615447532532</v>
      </c>
      <c r="E217" s="633">
        <f t="shared" si="24"/>
        <v>46.567986597561458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885.00816787776387</v>
      </c>
      <c r="D218" s="633">
        <f t="shared" si="25"/>
        <v>931.57615447532532</v>
      </c>
      <c r="E218" s="633">
        <f t="shared" si="24"/>
        <v>46.567986597561458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45.468650335304361</v>
      </c>
      <c r="D220" s="633">
        <f t="shared" si="25"/>
        <v>33.146940377808015</v>
      </c>
      <c r="E220" s="633">
        <f t="shared" si="24"/>
        <v>-12.321709957496346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243.39368257260475</v>
      </c>
      <c r="D221" s="633">
        <f t="shared" si="25"/>
        <v>207.63970071877557</v>
      </c>
      <c r="E221" s="633">
        <f t="shared" si="24"/>
        <v>-35.753981853829174</v>
      </c>
    </row>
    <row r="222" spans="1:5" s="421" customFormat="1" x14ac:dyDescent="0.2">
      <c r="A222" s="588"/>
      <c r="B222" s="592" t="s">
        <v>826</v>
      </c>
      <c r="C222" s="634">
        <f>C216+C218+C219+C220</f>
        <v>2333.0891978242985</v>
      </c>
      <c r="D222" s="634">
        <f>D216+D218+D219+D220</f>
        <v>2516.4690937732889</v>
      </c>
      <c r="E222" s="634">
        <f t="shared" si="24"/>
        <v>183.37989594899045</v>
      </c>
    </row>
    <row r="223" spans="1:5" s="421" customFormat="1" x14ac:dyDescent="0.2">
      <c r="A223" s="588"/>
      <c r="B223" s="592" t="s">
        <v>827</v>
      </c>
      <c r="C223" s="634">
        <f>C215+C222</f>
        <v>4349.2085274158335</v>
      </c>
      <c r="D223" s="634">
        <f>D215+D222</f>
        <v>4825.6095651888427</v>
      </c>
      <c r="E223" s="634">
        <f t="shared" si="24"/>
        <v>476.40103777300919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8134.5819697735142</v>
      </c>
      <c r="D227" s="636">
        <f t="shared" si="26"/>
        <v>7264.3929038070819</v>
      </c>
      <c r="E227" s="636">
        <f t="shared" ref="E227:E235" si="27">D227-C227</f>
        <v>-870.18906596643228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6231.1339190460913</v>
      </c>
      <c r="D228" s="636">
        <f t="shared" si="26"/>
        <v>6201.3011024006937</v>
      </c>
      <c r="E228" s="636">
        <f t="shared" si="27"/>
        <v>-29.832816645397543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5631.7839991139626</v>
      </c>
      <c r="D229" s="636">
        <f t="shared" si="26"/>
        <v>5181.2279092335511</v>
      </c>
      <c r="E229" s="636">
        <f t="shared" si="27"/>
        <v>-450.55608988041149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5631.7839991139626</v>
      </c>
      <c r="D230" s="636">
        <f t="shared" si="26"/>
        <v>5181.2279092335511</v>
      </c>
      <c r="E230" s="636">
        <f t="shared" si="27"/>
        <v>-450.55608988041149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8827.9246856754507</v>
      </c>
      <c r="D232" s="636">
        <f t="shared" si="26"/>
        <v>6466.9678446263879</v>
      </c>
      <c r="E232" s="636">
        <f t="shared" si="27"/>
        <v>-2360.9568410490629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495.53745885543481</v>
      </c>
      <c r="D233" s="636">
        <f t="shared" si="26"/>
        <v>37.711210923868386</v>
      </c>
      <c r="E233" s="636">
        <f t="shared" si="27"/>
        <v>-457.8262479315664</v>
      </c>
    </row>
    <row r="234" spans="1:5" x14ac:dyDescent="0.2">
      <c r="A234" s="588"/>
      <c r="B234" s="592" t="s">
        <v>829</v>
      </c>
      <c r="C234" s="637">
        <f t="shared" si="26"/>
        <v>6168.3342247626688</v>
      </c>
      <c r="D234" s="637">
        <f t="shared" si="26"/>
        <v>6065.464696587409</v>
      </c>
      <c r="E234" s="637">
        <f t="shared" si="27"/>
        <v>-102.8695281752598</v>
      </c>
    </row>
    <row r="235" spans="1:5" s="421" customFormat="1" x14ac:dyDescent="0.2">
      <c r="A235" s="588"/>
      <c r="B235" s="592" t="s">
        <v>830</v>
      </c>
      <c r="C235" s="637">
        <f t="shared" si="26"/>
        <v>6680.4247398181133</v>
      </c>
      <c r="D235" s="637">
        <f t="shared" si="26"/>
        <v>6343.8723985102915</v>
      </c>
      <c r="E235" s="637">
        <f t="shared" si="27"/>
        <v>-336.55234130782173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12899.464638965084</v>
      </c>
      <c r="D239" s="636">
        <f t="shared" si="28"/>
        <v>12385.280737151506</v>
      </c>
      <c r="E239" s="638">
        <f t="shared" ref="E239:E247" si="29">D239-C239</f>
        <v>-514.1839018135779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6841.8917011554695</v>
      </c>
      <c r="D240" s="636">
        <f t="shared" si="28"/>
        <v>6700.227361459416</v>
      </c>
      <c r="E240" s="638">
        <f t="shared" si="29"/>
        <v>-141.6643396960535</v>
      </c>
    </row>
    <row r="241" spans="1:5" x14ac:dyDescent="0.2">
      <c r="A241" s="588">
        <v>3</v>
      </c>
      <c r="B241" s="587" t="s">
        <v>778</v>
      </c>
      <c r="C241" s="636">
        <f t="shared" si="28"/>
        <v>4688.4064470838794</v>
      </c>
      <c r="D241" s="636">
        <f t="shared" si="28"/>
        <v>5619.0424957240011</v>
      </c>
      <c r="E241" s="638">
        <f t="shared" si="29"/>
        <v>930.63604864012177</v>
      </c>
    </row>
    <row r="242" spans="1:5" x14ac:dyDescent="0.2">
      <c r="A242" s="588">
        <v>4</v>
      </c>
      <c r="B242" s="587" t="s">
        <v>115</v>
      </c>
      <c r="C242" s="636">
        <f t="shared" si="28"/>
        <v>4688.4064470838794</v>
      </c>
      <c r="D242" s="636">
        <f t="shared" si="28"/>
        <v>5619.0424957240011</v>
      </c>
      <c r="E242" s="638">
        <f t="shared" si="29"/>
        <v>930.63604864012177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8528.2716144075821</v>
      </c>
      <c r="D244" s="636">
        <f t="shared" si="28"/>
        <v>5324.2621487368397</v>
      </c>
      <c r="E244" s="638">
        <f t="shared" si="29"/>
        <v>-3204.0094656707424</v>
      </c>
    </row>
    <row r="245" spans="1:5" x14ac:dyDescent="0.2">
      <c r="A245" s="588">
        <v>7</v>
      </c>
      <c r="B245" s="587" t="s">
        <v>759</v>
      </c>
      <c r="C245" s="636">
        <f t="shared" si="28"/>
        <v>923.18336953126345</v>
      </c>
      <c r="D245" s="636">
        <f t="shared" si="28"/>
        <v>843.59108298484023</v>
      </c>
      <c r="E245" s="638">
        <f t="shared" si="29"/>
        <v>-79.592286546423225</v>
      </c>
    </row>
    <row r="246" spans="1:5" ht="25.5" x14ac:dyDescent="0.2">
      <c r="A246" s="588"/>
      <c r="B246" s="592" t="s">
        <v>832</v>
      </c>
      <c r="C246" s="637">
        <f t="shared" si="28"/>
        <v>6057.877689880067</v>
      </c>
      <c r="D246" s="637">
        <f t="shared" si="28"/>
        <v>6281.8574005599003</v>
      </c>
      <c r="E246" s="639">
        <f t="shared" si="29"/>
        <v>223.97971067983326</v>
      </c>
    </row>
    <row r="247" spans="1:5" x14ac:dyDescent="0.2">
      <c r="A247" s="588"/>
      <c r="B247" s="592" t="s">
        <v>833</v>
      </c>
      <c r="C247" s="637">
        <f t="shared" si="28"/>
        <v>9229.3640893439097</v>
      </c>
      <c r="D247" s="637">
        <f t="shared" si="28"/>
        <v>9202.454612231395</v>
      </c>
      <c r="E247" s="639">
        <f t="shared" si="29"/>
        <v>-26.909477112514651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1905852.0392576789</v>
      </c>
      <c r="D251" s="622">
        <f>((IF((IF(D15=0,0,D26/D15)*D138)=0,0,D59/(IF(D15=0,0,D26/D15)*D138)))-(IF((IF(D17=0,0,D28/D17)*D140)=0,0,D61/(IF(D17=0,0,D28/D17)*D140))))*(IF(D17=0,0,D28/D17)*D140)</f>
        <v>1007206.0394987187</v>
      </c>
      <c r="E251" s="622">
        <f>D251-C251</f>
        <v>-898645.99975896021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1816018.1518295542</v>
      </c>
      <c r="D253" s="622">
        <f>IF(D233=0,0,(D228-D233)*D209+IF(D221=0,0,(D240-D245)*D221))</f>
        <v>1566489.5198121034</v>
      </c>
      <c r="E253" s="622">
        <f>D253-C253</f>
        <v>-249528.63201745087</v>
      </c>
    </row>
    <row r="254" spans="1:5" ht="15" customHeight="1" x14ac:dyDescent="0.2">
      <c r="A254" s="588"/>
      <c r="B254" s="592" t="s">
        <v>760</v>
      </c>
      <c r="C254" s="640">
        <f>+C251+C252+C253</f>
        <v>3721870.1910872329</v>
      </c>
      <c r="D254" s="640">
        <f>+D251+D252+D253</f>
        <v>2573695.5593108218</v>
      </c>
      <c r="E254" s="640">
        <f>D254-C254</f>
        <v>-1148174.6317764111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188069298</v>
      </c>
      <c r="D258" s="625">
        <f>+D44</f>
        <v>222664628</v>
      </c>
      <c r="E258" s="622">
        <f t="shared" ref="E258:E271" si="30">D258-C258</f>
        <v>34595330</v>
      </c>
    </row>
    <row r="259" spans="1:5" x14ac:dyDescent="0.2">
      <c r="A259" s="588">
        <v>2</v>
      </c>
      <c r="B259" s="587" t="s">
        <v>743</v>
      </c>
      <c r="C259" s="622">
        <f>+(C43-C76)</f>
        <v>85974452</v>
      </c>
      <c r="D259" s="625">
        <f>+(D43-D76)</f>
        <v>106415884</v>
      </c>
      <c r="E259" s="622">
        <f t="shared" si="30"/>
        <v>20441432</v>
      </c>
    </row>
    <row r="260" spans="1:5" x14ac:dyDescent="0.2">
      <c r="A260" s="588">
        <v>3</v>
      </c>
      <c r="B260" s="587" t="s">
        <v>747</v>
      </c>
      <c r="C260" s="622">
        <f>C195</f>
        <v>5502701</v>
      </c>
      <c r="D260" s="622">
        <f>D195</f>
        <v>5398981</v>
      </c>
      <c r="E260" s="622">
        <f t="shared" si="30"/>
        <v>-103720</v>
      </c>
    </row>
    <row r="261" spans="1:5" x14ac:dyDescent="0.2">
      <c r="A261" s="588">
        <v>4</v>
      </c>
      <c r="B261" s="587" t="s">
        <v>748</v>
      </c>
      <c r="C261" s="622">
        <f>C188</f>
        <v>36754650</v>
      </c>
      <c r="D261" s="622">
        <f>D188</f>
        <v>46212823</v>
      </c>
      <c r="E261" s="622">
        <f t="shared" si="30"/>
        <v>9458173</v>
      </c>
    </row>
    <row r="262" spans="1:5" x14ac:dyDescent="0.2">
      <c r="A262" s="588">
        <v>5</v>
      </c>
      <c r="B262" s="587" t="s">
        <v>749</v>
      </c>
      <c r="C262" s="622">
        <f>C191</f>
        <v>0</v>
      </c>
      <c r="D262" s="622">
        <f>D191</f>
        <v>0</v>
      </c>
      <c r="E262" s="622">
        <f t="shared" si="30"/>
        <v>0</v>
      </c>
    </row>
    <row r="263" spans="1:5" x14ac:dyDescent="0.2">
      <c r="A263" s="588">
        <v>6</v>
      </c>
      <c r="B263" s="587" t="s">
        <v>750</v>
      </c>
      <c r="C263" s="622">
        <f>+C259+C260+C261+C262</f>
        <v>128231803</v>
      </c>
      <c r="D263" s="622">
        <f>+D259+D260+D261+D262</f>
        <v>158027688</v>
      </c>
      <c r="E263" s="622">
        <f t="shared" si="30"/>
        <v>29795885</v>
      </c>
    </row>
    <row r="264" spans="1:5" x14ac:dyDescent="0.2">
      <c r="A264" s="588">
        <v>7</v>
      </c>
      <c r="B264" s="587" t="s">
        <v>655</v>
      </c>
      <c r="C264" s="622">
        <f>+C258-C263</f>
        <v>59837495</v>
      </c>
      <c r="D264" s="622">
        <f>+D258-D263</f>
        <v>64636940</v>
      </c>
      <c r="E264" s="622">
        <f t="shared" si="30"/>
        <v>4799445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59837495</v>
      </c>
      <c r="D266" s="622">
        <f>+D264+D265</f>
        <v>64636940</v>
      </c>
      <c r="E266" s="641">
        <f t="shared" si="30"/>
        <v>4799445</v>
      </c>
    </row>
    <row r="267" spans="1:5" x14ac:dyDescent="0.2">
      <c r="A267" s="588">
        <v>10</v>
      </c>
      <c r="B267" s="587" t="s">
        <v>838</v>
      </c>
      <c r="C267" s="642">
        <f>IF(C258=0,0,C266/C258)</f>
        <v>0.31816726938598983</v>
      </c>
      <c r="D267" s="642">
        <f>IF(D258=0,0,D266/D258)</f>
        <v>0.29028831647207115</v>
      </c>
      <c r="E267" s="643">
        <f t="shared" si="30"/>
        <v>-2.7878952913918675E-2</v>
      </c>
    </row>
    <row r="268" spans="1:5" x14ac:dyDescent="0.2">
      <c r="A268" s="588">
        <v>11</v>
      </c>
      <c r="B268" s="587" t="s">
        <v>717</v>
      </c>
      <c r="C268" s="622">
        <f>+C260*C267</f>
        <v>1750779.3514175557</v>
      </c>
      <c r="D268" s="644">
        <f>+D260*D267</f>
        <v>1567261.1051546992</v>
      </c>
      <c r="E268" s="622">
        <f t="shared" si="30"/>
        <v>-183518.24626285653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3701460.6364517137</v>
      </c>
      <c r="D269" s="644">
        <f>((D17+D18+D28+D29)*D267)-(D50+D51+D61+D62)</f>
        <v>3080561.119762335</v>
      </c>
      <c r="E269" s="622">
        <f t="shared" si="30"/>
        <v>-620899.51668937877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5452239.9878692692</v>
      </c>
      <c r="D271" s="622">
        <f>+D268+D269+D270</f>
        <v>4647822.2249170337</v>
      </c>
      <c r="E271" s="625">
        <f t="shared" si="30"/>
        <v>-804417.76295223553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0.49632287411035825</v>
      </c>
      <c r="D276" s="623">
        <f t="shared" si="31"/>
        <v>0.42713186928415581</v>
      </c>
      <c r="E276" s="650">
        <f t="shared" ref="E276:E284" si="32">D276-C276</f>
        <v>-6.919100482620244E-2</v>
      </c>
    </row>
    <row r="277" spans="1:5" x14ac:dyDescent="0.2">
      <c r="A277" s="588">
        <v>2</v>
      </c>
      <c r="B277" s="587" t="s">
        <v>636</v>
      </c>
      <c r="C277" s="623">
        <f t="shared" si="31"/>
        <v>0.32926223742111721</v>
      </c>
      <c r="D277" s="623">
        <f t="shared" si="31"/>
        <v>0.30400742480579018</v>
      </c>
      <c r="E277" s="650">
        <f t="shared" si="32"/>
        <v>-2.5254812615327027E-2</v>
      </c>
    </row>
    <row r="278" spans="1:5" x14ac:dyDescent="0.2">
      <c r="A278" s="588">
        <v>3</v>
      </c>
      <c r="B278" s="587" t="s">
        <v>778</v>
      </c>
      <c r="C278" s="623">
        <f t="shared" si="31"/>
        <v>0.25359334117602961</v>
      </c>
      <c r="D278" s="623">
        <f t="shared" si="31"/>
        <v>0.2504708487335206</v>
      </c>
      <c r="E278" s="650">
        <f t="shared" si="32"/>
        <v>-3.1224924425090061E-3</v>
      </c>
    </row>
    <row r="279" spans="1:5" x14ac:dyDescent="0.2">
      <c r="A279" s="588">
        <v>4</v>
      </c>
      <c r="B279" s="587" t="s">
        <v>115</v>
      </c>
      <c r="C279" s="623">
        <f t="shared" si="31"/>
        <v>0.25359334117602961</v>
      </c>
      <c r="D279" s="623">
        <f t="shared" si="31"/>
        <v>0.2504708487335206</v>
      </c>
      <c r="E279" s="650">
        <f t="shared" si="32"/>
        <v>-3.1224924425090061E-3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0.7882324547037427</v>
      </c>
      <c r="D281" s="623">
        <f t="shared" si="31"/>
        <v>0.52193276344020523</v>
      </c>
      <c r="E281" s="650">
        <f t="shared" si="32"/>
        <v>-0.26629969126353747</v>
      </c>
    </row>
    <row r="282" spans="1:5" x14ac:dyDescent="0.2">
      <c r="A282" s="588">
        <v>7</v>
      </c>
      <c r="B282" s="587" t="s">
        <v>759</v>
      </c>
      <c r="C282" s="623">
        <f t="shared" si="31"/>
        <v>2.927656547988133E-2</v>
      </c>
      <c r="D282" s="623">
        <f t="shared" si="31"/>
        <v>2.0484578761963269E-3</v>
      </c>
      <c r="E282" s="650">
        <f t="shared" si="32"/>
        <v>-2.7228107603685003E-2</v>
      </c>
    </row>
    <row r="283" spans="1:5" ht="29.25" customHeight="1" x14ac:dyDescent="0.2">
      <c r="A283" s="588"/>
      <c r="B283" s="592" t="s">
        <v>845</v>
      </c>
      <c r="C283" s="651">
        <f t="shared" si="31"/>
        <v>0.31992379739864829</v>
      </c>
      <c r="D283" s="651">
        <f t="shared" si="31"/>
        <v>0.29723496672597949</v>
      </c>
      <c r="E283" s="652">
        <f t="shared" si="32"/>
        <v>-2.2688830672668803E-2</v>
      </c>
    </row>
    <row r="284" spans="1:5" x14ac:dyDescent="0.2">
      <c r="A284" s="588"/>
      <c r="B284" s="592" t="s">
        <v>846</v>
      </c>
      <c r="C284" s="651">
        <f t="shared" si="31"/>
        <v>0.36056380739213006</v>
      </c>
      <c r="D284" s="651">
        <f t="shared" si="31"/>
        <v>0.3233861398232134</v>
      </c>
      <c r="E284" s="652">
        <f t="shared" si="32"/>
        <v>-3.7177667568916661E-2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0.47586771212598589</v>
      </c>
      <c r="D287" s="623">
        <f t="shared" si="33"/>
        <v>0.43548689724280615</v>
      </c>
      <c r="E287" s="650">
        <f t="shared" ref="E287:E295" si="34">D287-C287</f>
        <v>-4.0380814883179739E-2</v>
      </c>
    </row>
    <row r="288" spans="1:5" x14ac:dyDescent="0.2">
      <c r="A288" s="588">
        <v>2</v>
      </c>
      <c r="B288" s="587" t="s">
        <v>636</v>
      </c>
      <c r="C288" s="623">
        <f t="shared" si="33"/>
        <v>0.24226086056495008</v>
      </c>
      <c r="D288" s="623">
        <f t="shared" si="33"/>
        <v>0.20970712729047236</v>
      </c>
      <c r="E288" s="650">
        <f t="shared" si="34"/>
        <v>-3.255373327447772E-2</v>
      </c>
    </row>
    <row r="289" spans="1:5" x14ac:dyDescent="0.2">
      <c r="A289" s="588">
        <v>3</v>
      </c>
      <c r="B289" s="587" t="s">
        <v>778</v>
      </c>
      <c r="C289" s="623">
        <f t="shared" si="33"/>
        <v>0.17841577748549764</v>
      </c>
      <c r="D289" s="623">
        <f t="shared" si="33"/>
        <v>0.19060012594123671</v>
      </c>
      <c r="E289" s="650">
        <f t="shared" si="34"/>
        <v>1.2184348455739069E-2</v>
      </c>
    </row>
    <row r="290" spans="1:5" x14ac:dyDescent="0.2">
      <c r="A290" s="588">
        <v>4</v>
      </c>
      <c r="B290" s="587" t="s">
        <v>115</v>
      </c>
      <c r="C290" s="623">
        <f t="shared" si="33"/>
        <v>0.17841577748549764</v>
      </c>
      <c r="D290" s="623">
        <f t="shared" si="33"/>
        <v>0.19060012594123671</v>
      </c>
      <c r="E290" s="650">
        <f t="shared" si="34"/>
        <v>1.2184348455739069E-2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0.58808568720379151</v>
      </c>
      <c r="D292" s="623">
        <f t="shared" si="33"/>
        <v>0.25225442845646867</v>
      </c>
      <c r="E292" s="650">
        <f t="shared" si="34"/>
        <v>-0.33583125874732284</v>
      </c>
    </row>
    <row r="293" spans="1:5" x14ac:dyDescent="0.2">
      <c r="A293" s="588">
        <v>7</v>
      </c>
      <c r="B293" s="587" t="s">
        <v>759</v>
      </c>
      <c r="C293" s="623">
        <f t="shared" si="33"/>
        <v>4.8327620474924685E-2</v>
      </c>
      <c r="D293" s="623">
        <f t="shared" si="33"/>
        <v>3.8687928318566087E-2</v>
      </c>
      <c r="E293" s="650">
        <f t="shared" si="34"/>
        <v>-9.639692156358598E-3</v>
      </c>
    </row>
    <row r="294" spans="1:5" ht="29.25" customHeight="1" x14ac:dyDescent="0.2">
      <c r="A294" s="588"/>
      <c r="B294" s="592" t="s">
        <v>848</v>
      </c>
      <c r="C294" s="651">
        <f t="shared" si="33"/>
        <v>0.22247795391738814</v>
      </c>
      <c r="D294" s="651">
        <f t="shared" si="33"/>
        <v>0.2033401809283964</v>
      </c>
      <c r="E294" s="652">
        <f t="shared" si="34"/>
        <v>-1.9137772988991747E-2</v>
      </c>
    </row>
    <row r="295" spans="1:5" x14ac:dyDescent="0.2">
      <c r="A295" s="588"/>
      <c r="B295" s="592" t="s">
        <v>849</v>
      </c>
      <c r="C295" s="651">
        <f t="shared" si="33"/>
        <v>0.33965672799732055</v>
      </c>
      <c r="D295" s="651">
        <f t="shared" si="33"/>
        <v>0.30964459547358286</v>
      </c>
      <c r="E295" s="652">
        <f t="shared" si="34"/>
        <v>-3.0012132523737689E-2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65340196</v>
      </c>
      <c r="D301" s="590">
        <f>+D48+D47+D50+D51+D52+D59+D58+D61+D62+D63</f>
        <v>70035921</v>
      </c>
      <c r="E301" s="590">
        <f>D301-C301</f>
        <v>4695725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65340196</v>
      </c>
      <c r="D303" s="593">
        <f>+D301+D302</f>
        <v>70035921</v>
      </c>
      <c r="E303" s="593">
        <f>D303-C303</f>
        <v>4695725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2507443</v>
      </c>
      <c r="D305" s="654">
        <v>-1125279</v>
      </c>
      <c r="E305" s="655">
        <f>D305-C305</f>
        <v>-3632722</v>
      </c>
    </row>
    <row r="306" spans="1:5" x14ac:dyDescent="0.2">
      <c r="A306" s="588">
        <v>4</v>
      </c>
      <c r="B306" s="592" t="s">
        <v>856</v>
      </c>
      <c r="C306" s="593">
        <f>+C303+C305+C194+C190-C191</f>
        <v>71157587</v>
      </c>
      <c r="D306" s="593">
        <f>+D303+D305</f>
        <v>68910642</v>
      </c>
      <c r="E306" s="656">
        <f>D306-C306</f>
        <v>-2246945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67847638</v>
      </c>
      <c r="D308" s="589">
        <v>68910644</v>
      </c>
      <c r="E308" s="590">
        <f>D308-C308</f>
        <v>1063006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3309949</v>
      </c>
      <c r="D310" s="658">
        <f>D306-D308</f>
        <v>-2</v>
      </c>
      <c r="E310" s="656">
        <f>D310-C310</f>
        <v>-3309951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188069298</v>
      </c>
      <c r="D314" s="590">
        <f>+D14+D15+D16+D19+D25+D26+D27+D30</f>
        <v>222664628</v>
      </c>
      <c r="E314" s="590">
        <f>D314-C314</f>
        <v>34595330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188069298</v>
      </c>
      <c r="D316" s="657">
        <f>D314+D315</f>
        <v>222664628</v>
      </c>
      <c r="E316" s="593">
        <f>D316-C316</f>
        <v>34595330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188069273</v>
      </c>
      <c r="D318" s="589">
        <v>222664629</v>
      </c>
      <c r="E318" s="590">
        <f>D318-C318</f>
        <v>34595356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25</v>
      </c>
      <c r="D320" s="657">
        <f>D316-D318</f>
        <v>-1</v>
      </c>
      <c r="E320" s="593">
        <f>D320-C320</f>
        <v>-26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5502701</v>
      </c>
      <c r="D324" s="589">
        <f>+D193+D194</f>
        <v>5398981</v>
      </c>
      <c r="E324" s="590">
        <f>D324-C324</f>
        <v>-103720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5502701</v>
      </c>
      <c r="D326" s="657">
        <f>D324+D325</f>
        <v>5398981</v>
      </c>
      <c r="E326" s="593">
        <f>D326-C326</f>
        <v>-103720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5502701</v>
      </c>
      <c r="D328" s="589">
        <v>5398981</v>
      </c>
      <c r="E328" s="590">
        <f>D328-C328</f>
        <v>-103720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15954883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54539339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8608391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8608391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147747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1046641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63295477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79250360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65672132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49578911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27463602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27463602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699623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4527588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77742136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143414268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81627015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141037613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222664628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6814839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16580364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2156151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2156151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77114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2144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18813629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25628468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28599353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10397051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5234566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5234566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176483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175163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15808100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44407453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35414192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34621729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70035921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561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1707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292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292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7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48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2006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2567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1.67222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1.5663100000000001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1.42516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1.42516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1.70347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1.1844399999999999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1.5462423629112663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1.5737738994935724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81627015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35414192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46212823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0.56614618334383537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0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0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1271767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4127214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5398981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6078316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71670098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70035921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70035921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-1125279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68910642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68910644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222664628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222664628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222664629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-1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5398981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5398981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5398981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1117</v>
      </c>
      <c r="D12" s="185">
        <v>1303</v>
      </c>
      <c r="E12" s="185">
        <f>+D12-C12</f>
        <v>186</v>
      </c>
      <c r="F12" s="77">
        <f>IF(C12=0,0,+E12/C12)</f>
        <v>0.16651745747538049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1026</v>
      </c>
      <c r="D13" s="185">
        <v>1145</v>
      </c>
      <c r="E13" s="185">
        <f>+D13-C13</f>
        <v>119</v>
      </c>
      <c r="F13" s="77">
        <f>IF(C13=0,0,+E13/C13)</f>
        <v>0.11598440545808966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2192753</v>
      </c>
      <c r="D15" s="76">
        <v>1271767</v>
      </c>
      <c r="E15" s="76">
        <f>+D15-C15</f>
        <v>-920986</v>
      </c>
      <c r="F15" s="77">
        <f>IF(C15=0,0,+E15/C15)</f>
        <v>-0.42001356285910907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2137.1861598440546</v>
      </c>
      <c r="D16" s="79">
        <f>IF(D13=0,0,+D15/+D13)</f>
        <v>1110.713537117904</v>
      </c>
      <c r="E16" s="79">
        <f>+D16-C16</f>
        <v>-1026.4726227261506</v>
      </c>
      <c r="F16" s="80">
        <f>IF(C16=0,0,+E16/C16)</f>
        <v>-0.48029162925191776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0.44494699999999998</v>
      </c>
      <c r="D18" s="704">
        <v>0.37980199999999997</v>
      </c>
      <c r="E18" s="704">
        <f>+D18-C18</f>
        <v>-6.5145000000000008E-2</v>
      </c>
      <c r="F18" s="77">
        <f>IF(C18=0,0,+E18/C18)</f>
        <v>-0.14641069610537888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975658.86909099994</v>
      </c>
      <c r="D19" s="79">
        <f>+D15*D18</f>
        <v>483019.65013399994</v>
      </c>
      <c r="E19" s="79">
        <f>+D19-C19</f>
        <v>-492639.218957</v>
      </c>
      <c r="F19" s="80">
        <f>IF(C19=0,0,+E19/C19)</f>
        <v>-0.50492978085258555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950.9345702641325</v>
      </c>
      <c r="D20" s="79">
        <f>IF(D13=0,0,+D19/D13)</f>
        <v>421.85122282445411</v>
      </c>
      <c r="E20" s="79">
        <f>+D20-C20</f>
        <v>-529.08334743967839</v>
      </c>
      <c r="F20" s="80">
        <f>IF(C20=0,0,+E20/C20)</f>
        <v>-0.55638249358493685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369081</v>
      </c>
      <c r="D22" s="76">
        <v>273433</v>
      </c>
      <c r="E22" s="76">
        <f>+D22-C22</f>
        <v>-95648</v>
      </c>
      <c r="F22" s="77">
        <f>IF(C22=0,0,+E22/C22)</f>
        <v>-0.25915178510950171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948318</v>
      </c>
      <c r="D23" s="185">
        <v>790135</v>
      </c>
      <c r="E23" s="185">
        <f>+D23-C23</f>
        <v>-158183</v>
      </c>
      <c r="F23" s="77">
        <f>IF(C23=0,0,+E23/C23)</f>
        <v>-0.16680375148420679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875354</v>
      </c>
      <c r="D24" s="185">
        <v>208199</v>
      </c>
      <c r="E24" s="185">
        <f>+D24-C24</f>
        <v>-667155</v>
      </c>
      <c r="F24" s="77">
        <f>IF(C24=0,0,+E24/C24)</f>
        <v>-0.76215451120346744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2192753</v>
      </c>
      <c r="D25" s="79">
        <f>+D22+D23+D24</f>
        <v>1271767</v>
      </c>
      <c r="E25" s="79">
        <f>+E22+E23+E24</f>
        <v>-920986</v>
      </c>
      <c r="F25" s="80">
        <f>IF(C25=0,0,+E25/C25)</f>
        <v>-0.42001356285910907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283</v>
      </c>
      <c r="D27" s="185">
        <v>174</v>
      </c>
      <c r="E27" s="185">
        <f>+D27-C27</f>
        <v>-109</v>
      </c>
      <c r="F27" s="77">
        <f>IF(C27=0,0,+E27/C27)</f>
        <v>-0.38515901060070673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46</v>
      </c>
      <c r="D28" s="185">
        <v>38</v>
      </c>
      <c r="E28" s="185">
        <f>+D28-C28</f>
        <v>-8</v>
      </c>
      <c r="F28" s="77">
        <f>IF(C28=0,0,+E28/C28)</f>
        <v>-0.17391304347826086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11052</v>
      </c>
      <c r="D29" s="185">
        <v>585</v>
      </c>
      <c r="E29" s="185">
        <f>+D29-C29</f>
        <v>-10467</v>
      </c>
      <c r="F29" s="77">
        <f>IF(C29=0,0,+E29/C29)</f>
        <v>-0.94706840390879476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211</v>
      </c>
      <c r="D30" s="185">
        <v>388</v>
      </c>
      <c r="E30" s="185">
        <f>+D30-C30</f>
        <v>177</v>
      </c>
      <c r="F30" s="77">
        <f>IF(C30=0,0,+E30/C30)</f>
        <v>0.83886255924170616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748390</v>
      </c>
      <c r="D33" s="76">
        <v>838596</v>
      </c>
      <c r="E33" s="76">
        <f>+D33-C33</f>
        <v>90206</v>
      </c>
      <c r="F33" s="77">
        <f>IF(C33=0,0,+E33/C33)</f>
        <v>0.12053341172383383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1332020</v>
      </c>
      <c r="D34" s="185">
        <v>2602788</v>
      </c>
      <c r="E34" s="185">
        <f>+D34-C34</f>
        <v>1270768</v>
      </c>
      <c r="F34" s="77">
        <f>IF(C34=0,0,+E34/C34)</f>
        <v>0.95401570546988779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1229538</v>
      </c>
      <c r="D35" s="185">
        <v>685830</v>
      </c>
      <c r="E35" s="185">
        <f>+D35-C35</f>
        <v>-543708</v>
      </c>
      <c r="F35" s="77">
        <f>IF(C35=0,0,+E35/C35)</f>
        <v>-0.44220512094786824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3309948</v>
      </c>
      <c r="D36" s="79">
        <f>+D33+D34+D35</f>
        <v>4127214</v>
      </c>
      <c r="E36" s="79">
        <f>+E33+E34+E35</f>
        <v>817266</v>
      </c>
      <c r="F36" s="80">
        <f>IF(C36=0,0,+E36/C36)</f>
        <v>0.24691203608032514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2192753</v>
      </c>
      <c r="D39" s="76">
        <f>+D25</f>
        <v>1271767</v>
      </c>
      <c r="E39" s="76">
        <f>+D39-C39</f>
        <v>-920986</v>
      </c>
      <c r="F39" s="77">
        <f>IF(C39=0,0,+E39/C39)</f>
        <v>-0.42001356285910907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3309948</v>
      </c>
      <c r="D40" s="185">
        <f>+D36</f>
        <v>4127214</v>
      </c>
      <c r="E40" s="185">
        <f>+D40-C40</f>
        <v>817266</v>
      </c>
      <c r="F40" s="77">
        <f>IF(C40=0,0,+E40/C40)</f>
        <v>0.24691203608032514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5502701</v>
      </c>
      <c r="D41" s="79">
        <f>+D39+D40</f>
        <v>5398981</v>
      </c>
      <c r="E41" s="79">
        <f>+E39+E40</f>
        <v>-103720</v>
      </c>
      <c r="F41" s="80">
        <f>IF(C41=0,0,+E41/C41)</f>
        <v>-1.8848925282329534E-2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1117471</v>
      </c>
      <c r="D43" s="76">
        <f t="shared" si="0"/>
        <v>1112029</v>
      </c>
      <c r="E43" s="76">
        <f>+D43-C43</f>
        <v>-5442</v>
      </c>
      <c r="F43" s="77">
        <f>IF(C43=0,0,+E43/C43)</f>
        <v>-4.8699250360859474E-3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2280338</v>
      </c>
      <c r="D44" s="185">
        <f t="shared" si="0"/>
        <v>3392923</v>
      </c>
      <c r="E44" s="185">
        <f>+D44-C44</f>
        <v>1112585</v>
      </c>
      <c r="F44" s="77">
        <f>IF(C44=0,0,+E44/C44)</f>
        <v>0.48790354763197386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2104892</v>
      </c>
      <c r="D45" s="185">
        <f t="shared" si="0"/>
        <v>894029</v>
      </c>
      <c r="E45" s="185">
        <f>+D45-C45</f>
        <v>-1210863</v>
      </c>
      <c r="F45" s="77">
        <f>IF(C45=0,0,+E45/C45)</f>
        <v>-0.57526134357487224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5502701</v>
      </c>
      <c r="D46" s="79">
        <f>+D43+D44+D45</f>
        <v>5398981</v>
      </c>
      <c r="E46" s="79">
        <f>+E43+E44+E45</f>
        <v>-103720</v>
      </c>
      <c r="F46" s="80">
        <f>IF(C46=0,0,+E46/C46)</f>
        <v>-1.8848925282329534E-2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70753155</v>
      </c>
      <c r="D15" s="76">
        <v>81627015</v>
      </c>
      <c r="E15" s="76">
        <f>+D15-C15</f>
        <v>10873860</v>
      </c>
      <c r="F15" s="77">
        <f>IF(C15=0,0,E15/C15)</f>
        <v>0.15368728080041094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36754650</v>
      </c>
      <c r="D17" s="76">
        <v>46212823</v>
      </c>
      <c r="E17" s="76">
        <f>+D17-C17</f>
        <v>9458173</v>
      </c>
      <c r="F17" s="77">
        <f>IF(C17=0,0,E17/C17)</f>
        <v>0.25733269123770736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33998505</v>
      </c>
      <c r="D19" s="79">
        <f>+D15-D17</f>
        <v>35414192</v>
      </c>
      <c r="E19" s="79">
        <f>+D19-C19</f>
        <v>1415687</v>
      </c>
      <c r="F19" s="80">
        <f>IF(C19=0,0,E19/C19)</f>
        <v>4.1639683862569839E-2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0.51947718797840181</v>
      </c>
      <c r="D21" s="720">
        <f>IF(D15=0,0,D17/D15)</f>
        <v>0.56614618334383537</v>
      </c>
      <c r="E21" s="720">
        <f>+D21-C21</f>
        <v>4.6668995365433563E-2</v>
      </c>
      <c r="F21" s="80">
        <f>IF(C21=0,0,E21/C21)</f>
        <v>8.9838392224787955E-2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54124323</v>
      </c>
      <c r="D10" s="744">
        <v>69889896</v>
      </c>
      <c r="E10" s="744">
        <v>79250360</v>
      </c>
    </row>
    <row r="11" spans="1:6" ht="26.1" customHeight="1" x14ac:dyDescent="0.25">
      <c r="A11" s="742">
        <v>2</v>
      </c>
      <c r="B11" s="743" t="s">
        <v>933</v>
      </c>
      <c r="C11" s="744">
        <v>93948299</v>
      </c>
      <c r="D11" s="744">
        <v>118179402</v>
      </c>
      <c r="E11" s="744">
        <v>143414268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148072622</v>
      </c>
      <c r="D12" s="744">
        <f>+D11+D10</f>
        <v>188069298</v>
      </c>
      <c r="E12" s="744">
        <f>+E11+E10</f>
        <v>222664628</v>
      </c>
    </row>
    <row r="13" spans="1:6" ht="26.1" customHeight="1" x14ac:dyDescent="0.25">
      <c r="A13" s="742">
        <v>4</v>
      </c>
      <c r="B13" s="743" t="s">
        <v>507</v>
      </c>
      <c r="C13" s="744">
        <v>63387116</v>
      </c>
      <c r="D13" s="744">
        <v>67847638</v>
      </c>
      <c r="E13" s="744">
        <v>68910644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68017199</v>
      </c>
      <c r="D16" s="744">
        <v>74038954</v>
      </c>
      <c r="E16" s="744">
        <v>71670098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12370</v>
      </c>
      <c r="D19" s="747">
        <v>13056</v>
      </c>
      <c r="E19" s="747">
        <v>12325</v>
      </c>
    </row>
    <row r="20" spans="1:5" ht="26.1" customHeight="1" x14ac:dyDescent="0.25">
      <c r="A20" s="742">
        <v>2</v>
      </c>
      <c r="B20" s="743" t="s">
        <v>381</v>
      </c>
      <c r="C20" s="748">
        <v>2515</v>
      </c>
      <c r="D20" s="748">
        <v>2519</v>
      </c>
      <c r="E20" s="748">
        <v>2567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4.9184890656063622</v>
      </c>
      <c r="D21" s="749">
        <f>IF(D20=0,0,+D19/D20)</f>
        <v>5.1830091306073838</v>
      </c>
      <c r="E21" s="749">
        <f>IF(E20=0,0,+E19/E20)</f>
        <v>4.8013245033112586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33841.685819146413</v>
      </c>
      <c r="D22" s="748">
        <f>IF(D10=0,0,D19*(D12/D10))</f>
        <v>35132.871777173626</v>
      </c>
      <c r="E22" s="748">
        <f>IF(E10=0,0,E19*(E12/E10))</f>
        <v>34628.758028354699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6880.5044329145694</v>
      </c>
      <c r="D23" s="748">
        <f>IF(D10=0,0,D20*(D12/D10))</f>
        <v>6778.4699760033973</v>
      </c>
      <c r="E23" s="748">
        <f>IF(E10=0,0,E20*(E12/E10))</f>
        <v>7212.3344307331854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1.3970120119284293</v>
      </c>
      <c r="D26" s="750">
        <v>1.4974912107979359</v>
      </c>
      <c r="E26" s="750">
        <v>1.5737738994935724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17281.038587554671</v>
      </c>
      <c r="D27" s="748">
        <f>D19*D26</f>
        <v>19551.245248177853</v>
      </c>
      <c r="E27" s="748">
        <f>E19*E26</f>
        <v>19396.763311258281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3513.4852099999998</v>
      </c>
      <c r="D28" s="748">
        <f>D20*D26</f>
        <v>3772.1803600000007</v>
      </c>
      <c r="E28" s="748">
        <f>E20*E26</f>
        <v>4039.8776000000003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47277.241593255523</v>
      </c>
      <c r="D29" s="748">
        <f>D22*D26</f>
        <v>52611.166696408363</v>
      </c>
      <c r="E29" s="748">
        <f>E22*E26</f>
        <v>54497.835556903126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9612.1473409084592</v>
      </c>
      <c r="D30" s="748">
        <f>D23*D26</f>
        <v>10150.699211722784</v>
      </c>
      <c r="E30" s="748">
        <f>E23*E26</f>
        <v>11350.58368150672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11970.300889248181</v>
      </c>
      <c r="D33" s="744">
        <f>IF(D19=0,0,D12/D19)</f>
        <v>14404.817555147059</v>
      </c>
      <c r="E33" s="744">
        <f>IF(E19=0,0,E12/E19)</f>
        <v>18066.095578093307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58875.794035785286</v>
      </c>
      <c r="D34" s="744">
        <f>IF(D20=0,0,D12/D20)</f>
        <v>74660.300913060739</v>
      </c>
      <c r="E34" s="744">
        <f>IF(E20=0,0,E12/E20)</f>
        <v>86741.187378262563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4375.4505254648338</v>
      </c>
      <c r="D35" s="744">
        <f>IF(D22=0,0,D12/D22)</f>
        <v>5353.0863970588234</v>
      </c>
      <c r="E35" s="744">
        <f>IF(E22=0,0,E12/E22)</f>
        <v>6430.0494929006081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21520.605566600399</v>
      </c>
      <c r="D36" s="744">
        <f>IF(D23=0,0,D12/D23)</f>
        <v>27745.095672886069</v>
      </c>
      <c r="E36" s="744">
        <f>IF(E23=0,0,E12/E23)</f>
        <v>30872.754187767823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3132.0063736781917</v>
      </c>
      <c r="D37" s="744">
        <f>IF(D29=0,0,D12/D29)</f>
        <v>3574.7030489791255</v>
      </c>
      <c r="E37" s="744">
        <f>IF(E29=0,0,E12/E29)</f>
        <v>4085.7517683891861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15404.739102345618</v>
      </c>
      <c r="D38" s="744">
        <f>IF(D30=0,0,D12/D30)</f>
        <v>18527.718542068862</v>
      </c>
      <c r="E38" s="744">
        <f>IF(E30=0,0,E12/E30)</f>
        <v>19617.020080014303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1599.3388535442994</v>
      </c>
      <c r="D39" s="744">
        <f>IF(D22=0,0,D10/D22)</f>
        <v>1989.3021112327217</v>
      </c>
      <c r="E39" s="744">
        <f>IF(E22=0,0,E10/E22)</f>
        <v>2288.5706710910126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7866.3306633570519</v>
      </c>
      <c r="D40" s="744">
        <f>IF(D23=0,0,D10/D23)</f>
        <v>10310.571006055743</v>
      </c>
      <c r="E40" s="744">
        <f>IF(E23=0,0,E10/E23)</f>
        <v>10988.17044066877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5124.261600646726</v>
      </c>
      <c r="D43" s="744">
        <f>IF(D19=0,0,D13/D19)</f>
        <v>5196.6634497549021</v>
      </c>
      <c r="E43" s="744">
        <f>IF(E19=0,0,E13/E19)</f>
        <v>5591.1273022312371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25203.624652087474</v>
      </c>
      <c r="D44" s="744">
        <f>IF(D20=0,0,D13/D20)</f>
        <v>26934.354108773321</v>
      </c>
      <c r="E44" s="744">
        <f>IF(E20=0,0,E13/E20)</f>
        <v>26844.81651733541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1873.0484154586011</v>
      </c>
      <c r="D45" s="744">
        <f>IF(D22=0,0,D13/D22)</f>
        <v>1931.1725619902688</v>
      </c>
      <c r="E45" s="744">
        <f>IF(E22=0,0,E13/E22)</f>
        <v>1989.9831216463099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9212.5681507844529</v>
      </c>
      <c r="D46" s="744">
        <f>IF(D23=0,0,D13/D23)</f>
        <v>10009.285021574018</v>
      </c>
      <c r="E46" s="744">
        <f>IF(E23=0,0,E13/E23)</f>
        <v>9554.5547231362561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1340.7532644426251</v>
      </c>
      <c r="D47" s="744">
        <f>IF(D29=0,0,D13/D29)</f>
        <v>1289.6052731830368</v>
      </c>
      <c r="E47" s="744">
        <f>IF(E29=0,0,E13/E29)</f>
        <v>1264.4657039277818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6594.4802708370871</v>
      </c>
      <c r="D48" s="744">
        <f>IF(D30=0,0,D13/D30)</f>
        <v>6684.0359057871101</v>
      </c>
      <c r="E48" s="744">
        <f>IF(E30=0,0,E13/E30)</f>
        <v>6071.1101678651767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5498.5609539207762</v>
      </c>
      <c r="D51" s="744">
        <f>IF(D19=0,0,D16/D19)</f>
        <v>5670.8757659313724</v>
      </c>
      <c r="E51" s="744">
        <f>IF(E19=0,0,E16/E19)</f>
        <v>5815.0180933062884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27044.611928429422</v>
      </c>
      <c r="D52" s="744">
        <f>IF(D20=0,0,D16/D20)</f>
        <v>29392.200873362446</v>
      </c>
      <c r="E52" s="744">
        <f>IF(E20=0,0,E16/E20)</f>
        <v>27919.788858589793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2009.8643833374963</v>
      </c>
      <c r="D53" s="744">
        <f>IF(D22=0,0,D16/D22)</f>
        <v>2107.3982926754156</v>
      </c>
      <c r="E53" s="744">
        <f>IF(E22=0,0,E16/E22)</f>
        <v>2069.6698952158531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9885.4959927971504</v>
      </c>
      <c r="D54" s="744">
        <f>IF(D23=0,0,D16/D23)</f>
        <v>10922.664592763093</v>
      </c>
      <c r="E54" s="744">
        <f>IF(E23=0,0,E16/E23)</f>
        <v>9937.1567816655206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1438.6879756052265</v>
      </c>
      <c r="D55" s="744">
        <f>IF(D29=0,0,D16/D29)</f>
        <v>1407.2859175931269</v>
      </c>
      <c r="E55" s="744">
        <f>IF(E29=0,0,E16/E29)</f>
        <v>1315.0998983283787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7076.1710768336588</v>
      </c>
      <c r="D56" s="744">
        <f>IF(D30=0,0,D16/D30)</f>
        <v>7293.9757602603668</v>
      </c>
      <c r="E56" s="744">
        <f>IF(E30=0,0,E16/E30)</f>
        <v>6314.2213661461892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9289670</v>
      </c>
      <c r="D59" s="752">
        <v>9755837</v>
      </c>
      <c r="E59" s="752">
        <v>9743100</v>
      </c>
    </row>
    <row r="60" spans="1:6" ht="26.1" customHeight="1" x14ac:dyDescent="0.25">
      <c r="A60" s="742">
        <v>2</v>
      </c>
      <c r="B60" s="743" t="s">
        <v>969</v>
      </c>
      <c r="C60" s="752">
        <v>3086106</v>
      </c>
      <c r="D60" s="752">
        <v>3613110</v>
      </c>
      <c r="E60" s="752">
        <v>3448259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12375776</v>
      </c>
      <c r="D61" s="755">
        <f>D59+D60</f>
        <v>13368947</v>
      </c>
      <c r="E61" s="755">
        <f>E59+E60</f>
        <v>13191359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2400624</v>
      </c>
      <c r="D64" s="744">
        <v>3035027</v>
      </c>
      <c r="E64" s="752">
        <v>3972965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751111</v>
      </c>
      <c r="D65" s="752">
        <v>1040916</v>
      </c>
      <c r="E65" s="752">
        <v>1318628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3151735</v>
      </c>
      <c r="D66" s="757">
        <f>D64+D65</f>
        <v>4075943</v>
      </c>
      <c r="E66" s="757">
        <f>E64+E65</f>
        <v>5291593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17845484</v>
      </c>
      <c r="D69" s="752">
        <v>17477527</v>
      </c>
      <c r="E69" s="752">
        <v>17793574</v>
      </c>
    </row>
    <row r="70" spans="1:6" ht="26.1" customHeight="1" x14ac:dyDescent="0.25">
      <c r="A70" s="742">
        <v>2</v>
      </c>
      <c r="B70" s="743" t="s">
        <v>977</v>
      </c>
      <c r="C70" s="752">
        <v>5001423</v>
      </c>
      <c r="D70" s="752">
        <v>5388687</v>
      </c>
      <c r="E70" s="752">
        <v>5257714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22846907</v>
      </c>
      <c r="D71" s="755">
        <f>D69+D70</f>
        <v>22866214</v>
      </c>
      <c r="E71" s="755">
        <f>E69+E70</f>
        <v>23051288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29535778</v>
      </c>
      <c r="D75" s="744">
        <f t="shared" si="0"/>
        <v>30268391</v>
      </c>
      <c r="E75" s="744">
        <f t="shared" si="0"/>
        <v>31509639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8838640</v>
      </c>
      <c r="D76" s="744">
        <f t="shared" si="0"/>
        <v>10042713</v>
      </c>
      <c r="E76" s="744">
        <f t="shared" si="0"/>
        <v>10024601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38374418</v>
      </c>
      <c r="D77" s="757">
        <f>D75+D76</f>
        <v>40311104</v>
      </c>
      <c r="E77" s="757">
        <f>E75+E76</f>
        <v>41534240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115.1</v>
      </c>
      <c r="D80" s="749">
        <v>119</v>
      </c>
      <c r="E80" s="749">
        <v>116.6</v>
      </c>
    </row>
    <row r="81" spans="1:5" ht="26.1" customHeight="1" x14ac:dyDescent="0.25">
      <c r="A81" s="742">
        <v>2</v>
      </c>
      <c r="B81" s="743" t="s">
        <v>617</v>
      </c>
      <c r="C81" s="749">
        <v>6.6</v>
      </c>
      <c r="D81" s="749">
        <v>6.3</v>
      </c>
      <c r="E81" s="749">
        <v>5.2</v>
      </c>
    </row>
    <row r="82" spans="1:5" ht="26.1" customHeight="1" x14ac:dyDescent="0.25">
      <c r="A82" s="742">
        <v>3</v>
      </c>
      <c r="B82" s="743" t="s">
        <v>983</v>
      </c>
      <c r="C82" s="749">
        <v>283.39999999999998</v>
      </c>
      <c r="D82" s="749">
        <v>251.3</v>
      </c>
      <c r="E82" s="749">
        <v>256.5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405.09999999999997</v>
      </c>
      <c r="D83" s="759">
        <f>D80+D81+D82</f>
        <v>376.6</v>
      </c>
      <c r="E83" s="759">
        <f>E80+E81+E82</f>
        <v>378.3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80709.55690703736</v>
      </c>
      <c r="D86" s="752">
        <f>IF(D80=0,0,D59/D80)</f>
        <v>81981.823529411762</v>
      </c>
      <c r="E86" s="752">
        <f>IF(E80=0,0,E59/E80)</f>
        <v>83560.034305317327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26812.38922675934</v>
      </c>
      <c r="D87" s="752">
        <f>IF(D80=0,0,D60/D80)</f>
        <v>30362.268907563026</v>
      </c>
      <c r="E87" s="752">
        <f>IF(E80=0,0,E60/E80)</f>
        <v>29573.404802744426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107521.94613379671</v>
      </c>
      <c r="D88" s="755">
        <f>+D86+D87</f>
        <v>112344.09243697478</v>
      </c>
      <c r="E88" s="755">
        <f>+E86+E87</f>
        <v>113133.43910806175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363730.90909090912</v>
      </c>
      <c r="D91" s="744">
        <f>IF(D81=0,0,D64/D81)</f>
        <v>481750.31746031746</v>
      </c>
      <c r="E91" s="744">
        <f>IF(E81=0,0,E64/E81)</f>
        <v>764031.73076923075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113804.69696969698</v>
      </c>
      <c r="D92" s="744">
        <f>IF(D81=0,0,D65/D81)</f>
        <v>165224.76190476192</v>
      </c>
      <c r="E92" s="744">
        <f>IF(E81=0,0,E65/E81)</f>
        <v>253582.30769230769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477535.60606060608</v>
      </c>
      <c r="D93" s="757">
        <f>+D91+D92</f>
        <v>646975.07936507941</v>
      </c>
      <c r="E93" s="757">
        <f>+E91+E92</f>
        <v>1017614.0384615385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62969.244883556814</v>
      </c>
      <c r="D96" s="752">
        <f>IF(D82=0,0,D69/D82)</f>
        <v>69548.45602865101</v>
      </c>
      <c r="E96" s="752">
        <f>IF(E82=0,0,E69/E82)</f>
        <v>69370.658869395716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17647.928722653494</v>
      </c>
      <c r="D97" s="752">
        <f>IF(D82=0,0,D70/D82)</f>
        <v>21443.243135694389</v>
      </c>
      <c r="E97" s="752">
        <f>IF(E82=0,0,E70/E82)</f>
        <v>20497.910331384017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80617.173606210301</v>
      </c>
      <c r="D98" s="757">
        <f>+D96+D97</f>
        <v>90991.699164345395</v>
      </c>
      <c r="E98" s="757">
        <f>+E96+E97</f>
        <v>89868.569200779733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72909.84448284375</v>
      </c>
      <c r="D101" s="744">
        <f>IF(D83=0,0,D75/D83)</f>
        <v>80372.78544875198</v>
      </c>
      <c r="E101" s="744">
        <f>IF(E83=0,0,E75/E83)</f>
        <v>83292.727993655833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21818.415206121947</v>
      </c>
      <c r="D102" s="761">
        <f>IF(D83=0,0,D76/D83)</f>
        <v>26666.789697291555</v>
      </c>
      <c r="E102" s="761">
        <f>IF(E83=0,0,E76/E83)</f>
        <v>26499.077451757865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94728.2596889657</v>
      </c>
      <c r="D103" s="757">
        <f>+D101+D102</f>
        <v>107039.57514604353</v>
      </c>
      <c r="E103" s="757">
        <f>+E101+E102</f>
        <v>109791.8054454137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3102.2164915117219</v>
      </c>
      <c r="D108" s="744">
        <f>IF(D19=0,0,D77/D19)</f>
        <v>3087.5539215686276</v>
      </c>
      <c r="E108" s="744">
        <f>IF(E19=0,0,E77/E19)</f>
        <v>3369.9180527383369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15258.217892644136</v>
      </c>
      <c r="D109" s="744">
        <f>IF(D20=0,0,D77/D20)</f>
        <v>16002.82016673283</v>
      </c>
      <c r="E109" s="744">
        <f>IF(E20=0,0,E77/E20)</f>
        <v>16180.070120763537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1133.9393139300741</v>
      </c>
      <c r="D110" s="744">
        <f>IF(D22=0,0,D77/D22)</f>
        <v>1147.3899502343202</v>
      </c>
      <c r="E110" s="744">
        <f>IF(E22=0,0,E77/E22)</f>
        <v>1199.4146589372613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5577.2681166262491</v>
      </c>
      <c r="D111" s="744">
        <f>IF(D23=0,0,D77/D23)</f>
        <v>5946.932588431634</v>
      </c>
      <c r="E111" s="744">
        <f>IF(E23=0,0,E77/E23)</f>
        <v>5758.7789915861886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811.68902217582888</v>
      </c>
      <c r="D112" s="744">
        <f>IF(D29=0,0,D77/D29)</f>
        <v>766.20813662267517</v>
      </c>
      <c r="E112" s="744">
        <f>IF(E29=0,0,E77/E29)</f>
        <v>762.12641429828204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3992.2835802445338</v>
      </c>
      <c r="D113" s="744">
        <f>IF(D30=0,0,D77/D30)</f>
        <v>3971.2637680609955</v>
      </c>
      <c r="E113" s="744">
        <f>IF(E30=0,0,E77/E30)</f>
        <v>3659.2162275910896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188069269</v>
      </c>
      <c r="D12" s="76">
        <v>222664629</v>
      </c>
      <c r="E12" s="76">
        <f t="shared" ref="E12:E21" si="0">D12-C12</f>
        <v>34595360</v>
      </c>
      <c r="F12" s="77">
        <f t="shared" ref="F12:F21" si="1">IF(C12=0,0,E12/C12)</f>
        <v>0.18395009553634198</v>
      </c>
    </row>
    <row r="13" spans="1:8" ht="23.1" customHeight="1" x14ac:dyDescent="0.2">
      <c r="A13" s="74">
        <v>2</v>
      </c>
      <c r="B13" s="75" t="s">
        <v>72</v>
      </c>
      <c r="C13" s="76">
        <v>118028878</v>
      </c>
      <c r="D13" s="76">
        <v>148355004</v>
      </c>
      <c r="E13" s="76">
        <f t="shared" si="0"/>
        <v>30326126</v>
      </c>
      <c r="F13" s="77">
        <f t="shared" si="1"/>
        <v>0.25693818761879617</v>
      </c>
    </row>
    <row r="14" spans="1:8" ht="23.1" customHeight="1" x14ac:dyDescent="0.2">
      <c r="A14" s="74">
        <v>3</v>
      </c>
      <c r="B14" s="75" t="s">
        <v>73</v>
      </c>
      <c r="C14" s="76">
        <v>2192753</v>
      </c>
      <c r="D14" s="76">
        <v>1271767</v>
      </c>
      <c r="E14" s="76">
        <f t="shared" si="0"/>
        <v>-920986</v>
      </c>
      <c r="F14" s="77">
        <f t="shared" si="1"/>
        <v>-0.42001356285910907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67847638</v>
      </c>
      <c r="D16" s="79">
        <f>D12-D13-D14-D15</f>
        <v>73037858</v>
      </c>
      <c r="E16" s="79">
        <f t="shared" si="0"/>
        <v>5190220</v>
      </c>
      <c r="F16" s="80">
        <f t="shared" si="1"/>
        <v>7.6498167850736376E-2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4127214</v>
      </c>
      <c r="E17" s="76">
        <f t="shared" si="0"/>
        <v>4127214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67847638</v>
      </c>
      <c r="D18" s="79">
        <f>D16-D17</f>
        <v>68910644</v>
      </c>
      <c r="E18" s="79">
        <f t="shared" si="0"/>
        <v>1063006</v>
      </c>
      <c r="F18" s="80">
        <f t="shared" si="1"/>
        <v>1.5667546156875791E-2</v>
      </c>
    </row>
    <row r="19" spans="1:7" ht="23.1" customHeight="1" x14ac:dyDescent="0.2">
      <c r="A19" s="74">
        <v>6</v>
      </c>
      <c r="B19" s="75" t="s">
        <v>78</v>
      </c>
      <c r="C19" s="76">
        <v>6839751</v>
      </c>
      <c r="D19" s="76">
        <v>5965488</v>
      </c>
      <c r="E19" s="76">
        <f t="shared" si="0"/>
        <v>-874263</v>
      </c>
      <c r="F19" s="77">
        <f t="shared" si="1"/>
        <v>-0.12782088119874541</v>
      </c>
      <c r="G19" s="65"/>
    </row>
    <row r="20" spans="1:7" ht="33" customHeight="1" x14ac:dyDescent="0.2">
      <c r="A20" s="74">
        <v>7</v>
      </c>
      <c r="B20" s="82" t="s">
        <v>79</v>
      </c>
      <c r="C20" s="76">
        <v>31857</v>
      </c>
      <c r="D20" s="76">
        <v>112828</v>
      </c>
      <c r="E20" s="76">
        <f t="shared" si="0"/>
        <v>80971</v>
      </c>
      <c r="F20" s="77">
        <f t="shared" si="1"/>
        <v>2.541701980726371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74719246</v>
      </c>
      <c r="D21" s="79">
        <f>SUM(D18:D20)</f>
        <v>74988960</v>
      </c>
      <c r="E21" s="79">
        <f t="shared" si="0"/>
        <v>269714</v>
      </c>
      <c r="F21" s="80">
        <f t="shared" si="1"/>
        <v>3.6096991663968343E-3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30268391</v>
      </c>
      <c r="D24" s="76">
        <v>31509639</v>
      </c>
      <c r="E24" s="76">
        <f t="shared" ref="E24:E33" si="2">D24-C24</f>
        <v>1241248</v>
      </c>
      <c r="F24" s="77">
        <f t="shared" ref="F24:F33" si="3">IF(C24=0,0,E24/C24)</f>
        <v>4.1008060190579669E-2</v>
      </c>
    </row>
    <row r="25" spans="1:7" ht="23.1" customHeight="1" x14ac:dyDescent="0.2">
      <c r="A25" s="74">
        <v>2</v>
      </c>
      <c r="B25" s="75" t="s">
        <v>83</v>
      </c>
      <c r="C25" s="76">
        <v>10042713</v>
      </c>
      <c r="D25" s="76">
        <v>10024601</v>
      </c>
      <c r="E25" s="76">
        <f t="shared" si="2"/>
        <v>-18112</v>
      </c>
      <c r="F25" s="77">
        <f t="shared" si="3"/>
        <v>-1.8034967244408956E-3</v>
      </c>
    </row>
    <row r="26" spans="1:7" ht="23.1" customHeight="1" x14ac:dyDescent="0.2">
      <c r="A26" s="74">
        <v>3</v>
      </c>
      <c r="B26" s="75" t="s">
        <v>84</v>
      </c>
      <c r="C26" s="76">
        <v>2796725</v>
      </c>
      <c r="D26" s="76">
        <v>2942670</v>
      </c>
      <c r="E26" s="76">
        <f t="shared" si="2"/>
        <v>145945</v>
      </c>
      <c r="F26" s="77">
        <f t="shared" si="3"/>
        <v>5.218425122241193E-2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10946929</v>
      </c>
      <c r="D27" s="76">
        <v>10014110</v>
      </c>
      <c r="E27" s="76">
        <f t="shared" si="2"/>
        <v>-932819</v>
      </c>
      <c r="F27" s="77">
        <f t="shared" si="3"/>
        <v>-8.5212848279184059E-2</v>
      </c>
    </row>
    <row r="28" spans="1:7" ht="23.1" customHeight="1" x14ac:dyDescent="0.2">
      <c r="A28" s="74">
        <v>5</v>
      </c>
      <c r="B28" s="75" t="s">
        <v>86</v>
      </c>
      <c r="C28" s="76">
        <v>3811952</v>
      </c>
      <c r="D28" s="76">
        <v>3565031</v>
      </c>
      <c r="E28" s="76">
        <f t="shared" si="2"/>
        <v>-246921</v>
      </c>
      <c r="F28" s="77">
        <f t="shared" si="3"/>
        <v>-6.4775474612482009E-2</v>
      </c>
    </row>
    <row r="29" spans="1:7" ht="23.1" customHeight="1" x14ac:dyDescent="0.2">
      <c r="A29" s="74">
        <v>6</v>
      </c>
      <c r="B29" s="75" t="s">
        <v>87</v>
      </c>
      <c r="C29" s="76">
        <v>3309948</v>
      </c>
      <c r="D29" s="76">
        <v>0</v>
      </c>
      <c r="E29" s="76">
        <f t="shared" si="2"/>
        <v>-3309948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719107</v>
      </c>
      <c r="D30" s="76">
        <v>682298</v>
      </c>
      <c r="E30" s="76">
        <f t="shared" si="2"/>
        <v>-36809</v>
      </c>
      <c r="F30" s="77">
        <f t="shared" si="3"/>
        <v>-5.1187097330439003E-2</v>
      </c>
    </row>
    <row r="31" spans="1:7" ht="23.1" customHeight="1" x14ac:dyDescent="0.2">
      <c r="A31" s="74">
        <v>8</v>
      </c>
      <c r="B31" s="75" t="s">
        <v>89</v>
      </c>
      <c r="C31" s="76">
        <v>1722659</v>
      </c>
      <c r="D31" s="76">
        <v>2170991</v>
      </c>
      <c r="E31" s="76">
        <f t="shared" si="2"/>
        <v>448332</v>
      </c>
      <c r="F31" s="77">
        <f t="shared" si="3"/>
        <v>0.26025580222202999</v>
      </c>
    </row>
    <row r="32" spans="1:7" ht="23.1" customHeight="1" x14ac:dyDescent="0.2">
      <c r="A32" s="74">
        <v>9</v>
      </c>
      <c r="B32" s="75" t="s">
        <v>90</v>
      </c>
      <c r="C32" s="76">
        <v>10420530</v>
      </c>
      <c r="D32" s="76">
        <v>10760758</v>
      </c>
      <c r="E32" s="76">
        <f t="shared" si="2"/>
        <v>340228</v>
      </c>
      <c r="F32" s="77">
        <f t="shared" si="3"/>
        <v>3.2649778850020107E-2</v>
      </c>
    </row>
    <row r="33" spans="1:6" ht="23.1" customHeight="1" x14ac:dyDescent="0.25">
      <c r="A33" s="71"/>
      <c r="B33" s="78" t="s">
        <v>91</v>
      </c>
      <c r="C33" s="79">
        <f>SUM(C24:C32)</f>
        <v>74038954</v>
      </c>
      <c r="D33" s="79">
        <f>SUM(D24:D32)</f>
        <v>71670098</v>
      </c>
      <c r="E33" s="79">
        <f t="shared" si="2"/>
        <v>-2368856</v>
      </c>
      <c r="F33" s="80">
        <f t="shared" si="3"/>
        <v>-3.1994725371187714E-2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680292</v>
      </c>
      <c r="D35" s="79">
        <f>+D21-D33</f>
        <v>3318862</v>
      </c>
      <c r="E35" s="79">
        <f>D35-C35</f>
        <v>2638570</v>
      </c>
      <c r="F35" s="80">
        <f>IF(C35=0,0,E35/C35)</f>
        <v>3.8785844901895068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94</v>
      </c>
      <c r="D38" s="76">
        <v>54</v>
      </c>
      <c r="E38" s="76">
        <f>D38-C38</f>
        <v>-40</v>
      </c>
      <c r="F38" s="77">
        <f>IF(C38=0,0,E38/C38)</f>
        <v>-0.42553191489361702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-180055</v>
      </c>
      <c r="D40" s="76">
        <v>-660290</v>
      </c>
      <c r="E40" s="76">
        <f>D40-C40</f>
        <v>-480235</v>
      </c>
      <c r="F40" s="77">
        <f>IF(C40=0,0,E40/C40)</f>
        <v>2.6671572575046514</v>
      </c>
    </row>
    <row r="41" spans="1:6" ht="23.1" customHeight="1" x14ac:dyDescent="0.25">
      <c r="A41" s="83"/>
      <c r="B41" s="78" t="s">
        <v>97</v>
      </c>
      <c r="C41" s="79">
        <f>SUM(C38:C40)</f>
        <v>-179961</v>
      </c>
      <c r="D41" s="79">
        <f>SUM(D38:D40)</f>
        <v>-660236</v>
      </c>
      <c r="E41" s="79">
        <f>D41-C41</f>
        <v>-480275</v>
      </c>
      <c r="F41" s="80">
        <f>IF(C41=0,0,E41/C41)</f>
        <v>2.6687726785247916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500331</v>
      </c>
      <c r="D43" s="79">
        <f>D35+D41</f>
        <v>2658626</v>
      </c>
      <c r="E43" s="79">
        <f>D43-C43</f>
        <v>2158295</v>
      </c>
      <c r="F43" s="80">
        <f>IF(C43=0,0,E43/C43)</f>
        <v>4.3137343078881782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500331</v>
      </c>
      <c r="D50" s="79">
        <f>D43+D48</f>
        <v>2658626</v>
      </c>
      <c r="E50" s="79">
        <f>D50-C50</f>
        <v>2158295</v>
      </c>
      <c r="F50" s="80">
        <f>IF(C50=0,0,E50/C50)</f>
        <v>4.3137343078881782</v>
      </c>
    </row>
    <row r="51" spans="1:6" ht="23.1" customHeight="1" x14ac:dyDescent="0.2">
      <c r="A51" s="85"/>
      <c r="B51" s="75" t="s">
        <v>104</v>
      </c>
      <c r="C51" s="76">
        <v>2317670</v>
      </c>
      <c r="D51" s="76">
        <v>1276419</v>
      </c>
      <c r="E51" s="76">
        <f>D51-C51</f>
        <v>-1041251</v>
      </c>
      <c r="F51" s="77">
        <f>IF(C51=0,0,E51/C51)</f>
        <v>-0.44926628898851001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36905378</v>
      </c>
      <c r="D14" s="113">
        <v>43412552</v>
      </c>
      <c r="E14" s="113">
        <f t="shared" ref="E14:E25" si="0">D14-C14</f>
        <v>6507174</v>
      </c>
      <c r="F14" s="114">
        <f t="shared" ref="F14:F25" si="1">IF(C14=0,0,E14/C14)</f>
        <v>0.17632048098789288</v>
      </c>
    </row>
    <row r="15" spans="1:6" x14ac:dyDescent="0.2">
      <c r="A15" s="115">
        <v>2</v>
      </c>
      <c r="B15" s="116" t="s">
        <v>114</v>
      </c>
      <c r="C15" s="113">
        <v>9834862</v>
      </c>
      <c r="D15" s="113">
        <v>11126787</v>
      </c>
      <c r="E15" s="113">
        <f t="shared" si="0"/>
        <v>1291925</v>
      </c>
      <c r="F15" s="114">
        <f t="shared" si="1"/>
        <v>0.13136178219887579</v>
      </c>
    </row>
    <row r="16" spans="1:6" x14ac:dyDescent="0.2">
      <c r="A16" s="115">
        <v>3</v>
      </c>
      <c r="B16" s="116" t="s">
        <v>115</v>
      </c>
      <c r="C16" s="113">
        <v>6519440</v>
      </c>
      <c r="D16" s="113">
        <v>8608391</v>
      </c>
      <c r="E16" s="113">
        <f t="shared" si="0"/>
        <v>2088951</v>
      </c>
      <c r="F16" s="114">
        <f t="shared" si="1"/>
        <v>0.32041877829997667</v>
      </c>
    </row>
    <row r="17" spans="1:6" x14ac:dyDescent="0.2">
      <c r="A17" s="115">
        <v>4</v>
      </c>
      <c r="B17" s="116" t="s">
        <v>116</v>
      </c>
      <c r="C17" s="113">
        <v>470503</v>
      </c>
      <c r="D17" s="113">
        <v>0</v>
      </c>
      <c r="E17" s="113">
        <f t="shared" si="0"/>
        <v>-470503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58007</v>
      </c>
      <c r="D18" s="113">
        <v>147747</v>
      </c>
      <c r="E18" s="113">
        <f t="shared" si="0"/>
        <v>89740</v>
      </c>
      <c r="F18" s="114">
        <f t="shared" si="1"/>
        <v>1.5470546658161946</v>
      </c>
    </row>
    <row r="19" spans="1:6" x14ac:dyDescent="0.2">
      <c r="A19" s="115">
        <v>6</v>
      </c>
      <c r="B19" s="116" t="s">
        <v>118</v>
      </c>
      <c r="C19" s="113">
        <v>924925</v>
      </c>
      <c r="D19" s="113">
        <v>1267171</v>
      </c>
      <c r="E19" s="113">
        <f t="shared" si="0"/>
        <v>342246</v>
      </c>
      <c r="F19" s="114">
        <f t="shared" si="1"/>
        <v>0.37002567775765605</v>
      </c>
    </row>
    <row r="20" spans="1:6" x14ac:dyDescent="0.2">
      <c r="A20" s="115">
        <v>7</v>
      </c>
      <c r="B20" s="116" t="s">
        <v>119</v>
      </c>
      <c r="C20" s="113">
        <v>13144163</v>
      </c>
      <c r="D20" s="113">
        <v>13104553</v>
      </c>
      <c r="E20" s="113">
        <f t="shared" si="0"/>
        <v>-39610</v>
      </c>
      <c r="F20" s="114">
        <f t="shared" si="1"/>
        <v>-3.0135049299069099E-3</v>
      </c>
    </row>
    <row r="21" spans="1:6" x14ac:dyDescent="0.2">
      <c r="A21" s="115">
        <v>8</v>
      </c>
      <c r="B21" s="116" t="s">
        <v>120</v>
      </c>
      <c r="C21" s="113">
        <v>924667</v>
      </c>
      <c r="D21" s="113">
        <v>536518</v>
      </c>
      <c r="E21" s="113">
        <f t="shared" si="0"/>
        <v>-388149</v>
      </c>
      <c r="F21" s="114">
        <f t="shared" si="1"/>
        <v>-0.41977165833754204</v>
      </c>
    </row>
    <row r="22" spans="1:6" x14ac:dyDescent="0.2">
      <c r="A22" s="115">
        <v>9</v>
      </c>
      <c r="B22" s="116" t="s">
        <v>121</v>
      </c>
      <c r="C22" s="113">
        <v>1107951</v>
      </c>
      <c r="D22" s="113">
        <v>1046641</v>
      </c>
      <c r="E22" s="113">
        <f t="shared" si="0"/>
        <v>-61310</v>
      </c>
      <c r="F22" s="114">
        <f t="shared" si="1"/>
        <v>-5.5336382204628186E-2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69889896</v>
      </c>
      <c r="D25" s="119">
        <f>SUM(D14:D24)</f>
        <v>79250360</v>
      </c>
      <c r="E25" s="119">
        <f t="shared" si="0"/>
        <v>9360464</v>
      </c>
      <c r="F25" s="120">
        <f t="shared" si="1"/>
        <v>0.13393157717676385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30556593</v>
      </c>
      <c r="D27" s="113">
        <v>37021821</v>
      </c>
      <c r="E27" s="113">
        <f t="shared" ref="E27:E38" si="2">D27-C27</f>
        <v>6465228</v>
      </c>
      <c r="F27" s="114">
        <f t="shared" ref="F27:F38" si="3">IF(C27=0,0,E27/C27)</f>
        <v>0.21158209621079158</v>
      </c>
    </row>
    <row r="28" spans="1:6" x14ac:dyDescent="0.2">
      <c r="A28" s="115">
        <v>2</v>
      </c>
      <c r="B28" s="116" t="s">
        <v>114</v>
      </c>
      <c r="C28" s="113">
        <v>9055757</v>
      </c>
      <c r="D28" s="113">
        <v>12557090</v>
      </c>
      <c r="E28" s="113">
        <f t="shared" si="2"/>
        <v>3501333</v>
      </c>
      <c r="F28" s="114">
        <f t="shared" si="3"/>
        <v>0.38664166894054247</v>
      </c>
    </row>
    <row r="29" spans="1:6" x14ac:dyDescent="0.2">
      <c r="A29" s="115">
        <v>3</v>
      </c>
      <c r="B29" s="116" t="s">
        <v>115</v>
      </c>
      <c r="C29" s="113">
        <v>20506295</v>
      </c>
      <c r="D29" s="113">
        <v>27463602</v>
      </c>
      <c r="E29" s="113">
        <f t="shared" si="2"/>
        <v>6957307</v>
      </c>
      <c r="F29" s="114">
        <f t="shared" si="3"/>
        <v>0.33927664651269279</v>
      </c>
    </row>
    <row r="30" spans="1:6" x14ac:dyDescent="0.2">
      <c r="A30" s="115">
        <v>4</v>
      </c>
      <c r="B30" s="116" t="s">
        <v>116</v>
      </c>
      <c r="C30" s="113">
        <v>2749933</v>
      </c>
      <c r="D30" s="113">
        <v>0</v>
      </c>
      <c r="E30" s="113">
        <f t="shared" si="2"/>
        <v>-2749933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659375</v>
      </c>
      <c r="D31" s="113">
        <v>699623</v>
      </c>
      <c r="E31" s="113">
        <f t="shared" si="2"/>
        <v>40248</v>
      </c>
      <c r="F31" s="114">
        <f t="shared" si="3"/>
        <v>6.1039620853080567E-2</v>
      </c>
    </row>
    <row r="32" spans="1:6" x14ac:dyDescent="0.2">
      <c r="A32" s="115">
        <v>6</v>
      </c>
      <c r="B32" s="116" t="s">
        <v>118</v>
      </c>
      <c r="C32" s="113">
        <v>2784166</v>
      </c>
      <c r="D32" s="113">
        <v>3547479</v>
      </c>
      <c r="E32" s="113">
        <f t="shared" si="2"/>
        <v>763313</v>
      </c>
      <c r="F32" s="114">
        <f t="shared" si="3"/>
        <v>0.27416217280147809</v>
      </c>
    </row>
    <row r="33" spans="1:6" x14ac:dyDescent="0.2">
      <c r="A33" s="115">
        <v>7</v>
      </c>
      <c r="B33" s="116" t="s">
        <v>119</v>
      </c>
      <c r="C33" s="113">
        <v>45584609</v>
      </c>
      <c r="D33" s="113">
        <v>55338432</v>
      </c>
      <c r="E33" s="113">
        <f t="shared" si="2"/>
        <v>9753823</v>
      </c>
      <c r="F33" s="114">
        <f t="shared" si="3"/>
        <v>0.21397184738383956</v>
      </c>
    </row>
    <row r="34" spans="1:6" x14ac:dyDescent="0.2">
      <c r="A34" s="115">
        <v>8</v>
      </c>
      <c r="B34" s="116" t="s">
        <v>120</v>
      </c>
      <c r="C34" s="113">
        <v>1633221</v>
      </c>
      <c r="D34" s="113">
        <v>2258633</v>
      </c>
      <c r="E34" s="113">
        <f t="shared" si="2"/>
        <v>625412</v>
      </c>
      <c r="F34" s="114">
        <f t="shared" si="3"/>
        <v>0.38293164244153116</v>
      </c>
    </row>
    <row r="35" spans="1:6" x14ac:dyDescent="0.2">
      <c r="A35" s="115">
        <v>9</v>
      </c>
      <c r="B35" s="116" t="s">
        <v>121</v>
      </c>
      <c r="C35" s="113">
        <v>4649453</v>
      </c>
      <c r="D35" s="113">
        <v>4527588</v>
      </c>
      <c r="E35" s="113">
        <f t="shared" si="2"/>
        <v>-121865</v>
      </c>
      <c r="F35" s="114">
        <f t="shared" si="3"/>
        <v>-2.6210610151344686E-2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118179402</v>
      </c>
      <c r="D38" s="119">
        <f>SUM(D27:D37)</f>
        <v>143414268</v>
      </c>
      <c r="E38" s="119">
        <f t="shared" si="2"/>
        <v>25234866</v>
      </c>
      <c r="F38" s="120">
        <f t="shared" si="3"/>
        <v>0.21353015477265658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67461971</v>
      </c>
      <c r="D41" s="119">
        <f t="shared" si="4"/>
        <v>80434373</v>
      </c>
      <c r="E41" s="123">
        <f t="shared" ref="E41:E52" si="5">D41-C41</f>
        <v>12972402</v>
      </c>
      <c r="F41" s="124">
        <f t="shared" ref="F41:F52" si="6">IF(C41=0,0,E41/C41)</f>
        <v>0.19229206926076917</v>
      </c>
    </row>
    <row r="42" spans="1:6" ht="15.75" x14ac:dyDescent="0.25">
      <c r="A42" s="121">
        <v>2</v>
      </c>
      <c r="B42" s="122" t="s">
        <v>114</v>
      </c>
      <c r="C42" s="119">
        <f t="shared" si="4"/>
        <v>18890619</v>
      </c>
      <c r="D42" s="119">
        <f t="shared" si="4"/>
        <v>23683877</v>
      </c>
      <c r="E42" s="123">
        <f t="shared" si="5"/>
        <v>4793258</v>
      </c>
      <c r="F42" s="124">
        <f t="shared" si="6"/>
        <v>0.25373747678675856</v>
      </c>
    </row>
    <row r="43" spans="1:6" ht="15.75" x14ac:dyDescent="0.25">
      <c r="A43" s="121">
        <v>3</v>
      </c>
      <c r="B43" s="122" t="s">
        <v>115</v>
      </c>
      <c r="C43" s="119">
        <f t="shared" si="4"/>
        <v>27025735</v>
      </c>
      <c r="D43" s="119">
        <f t="shared" si="4"/>
        <v>36071993</v>
      </c>
      <c r="E43" s="123">
        <f t="shared" si="5"/>
        <v>9046258</v>
      </c>
      <c r="F43" s="124">
        <f t="shared" si="6"/>
        <v>0.3347275476504154</v>
      </c>
    </row>
    <row r="44" spans="1:6" ht="15.75" x14ac:dyDescent="0.25">
      <c r="A44" s="121">
        <v>4</v>
      </c>
      <c r="B44" s="122" t="s">
        <v>116</v>
      </c>
      <c r="C44" s="119">
        <f t="shared" si="4"/>
        <v>3220436</v>
      </c>
      <c r="D44" s="119">
        <f t="shared" si="4"/>
        <v>0</v>
      </c>
      <c r="E44" s="123">
        <f t="shared" si="5"/>
        <v>-3220436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717382</v>
      </c>
      <c r="D45" s="119">
        <f t="shared" si="4"/>
        <v>847370</v>
      </c>
      <c r="E45" s="123">
        <f t="shared" si="5"/>
        <v>129988</v>
      </c>
      <c r="F45" s="124">
        <f t="shared" si="6"/>
        <v>0.18119774401922545</v>
      </c>
    </row>
    <row r="46" spans="1:6" ht="15.75" x14ac:dyDescent="0.25">
      <c r="A46" s="121">
        <v>6</v>
      </c>
      <c r="B46" s="122" t="s">
        <v>118</v>
      </c>
      <c r="C46" s="119">
        <f t="shared" si="4"/>
        <v>3709091</v>
      </c>
      <c r="D46" s="119">
        <f t="shared" si="4"/>
        <v>4814650</v>
      </c>
      <c r="E46" s="123">
        <f t="shared" si="5"/>
        <v>1105559</v>
      </c>
      <c r="F46" s="124">
        <f t="shared" si="6"/>
        <v>0.29806737014540757</v>
      </c>
    </row>
    <row r="47" spans="1:6" ht="15.75" x14ac:dyDescent="0.25">
      <c r="A47" s="121">
        <v>7</v>
      </c>
      <c r="B47" s="122" t="s">
        <v>119</v>
      </c>
      <c r="C47" s="119">
        <f t="shared" si="4"/>
        <v>58728772</v>
      </c>
      <c r="D47" s="119">
        <f t="shared" si="4"/>
        <v>68442985</v>
      </c>
      <c r="E47" s="123">
        <f t="shared" si="5"/>
        <v>9714213</v>
      </c>
      <c r="F47" s="124">
        <f t="shared" si="6"/>
        <v>0.16540807289483253</v>
      </c>
    </row>
    <row r="48" spans="1:6" ht="15.75" x14ac:dyDescent="0.25">
      <c r="A48" s="121">
        <v>8</v>
      </c>
      <c r="B48" s="122" t="s">
        <v>120</v>
      </c>
      <c r="C48" s="119">
        <f t="shared" si="4"/>
        <v>2557888</v>
      </c>
      <c r="D48" s="119">
        <f t="shared" si="4"/>
        <v>2795151</v>
      </c>
      <c r="E48" s="123">
        <f t="shared" si="5"/>
        <v>237263</v>
      </c>
      <c r="F48" s="124">
        <f t="shared" si="6"/>
        <v>9.2757384216979002E-2</v>
      </c>
    </row>
    <row r="49" spans="1:6" ht="15.75" x14ac:dyDescent="0.25">
      <c r="A49" s="121">
        <v>9</v>
      </c>
      <c r="B49" s="122" t="s">
        <v>121</v>
      </c>
      <c r="C49" s="119">
        <f t="shared" si="4"/>
        <v>5757404</v>
      </c>
      <c r="D49" s="119">
        <f t="shared" si="4"/>
        <v>5574229</v>
      </c>
      <c r="E49" s="123">
        <f t="shared" si="5"/>
        <v>-183175</v>
      </c>
      <c r="F49" s="124">
        <f t="shared" si="6"/>
        <v>-3.1815554371379881E-2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188069298</v>
      </c>
      <c r="D52" s="128">
        <f>SUM(D41:D51)</f>
        <v>222664628</v>
      </c>
      <c r="E52" s="127">
        <f t="shared" si="5"/>
        <v>34595330</v>
      </c>
      <c r="F52" s="129">
        <f t="shared" si="6"/>
        <v>0.18394990765584715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12222209</v>
      </c>
      <c r="D57" s="113">
        <v>13319126</v>
      </c>
      <c r="E57" s="113">
        <f t="shared" ref="E57:E68" si="7">D57-C57</f>
        <v>1096917</v>
      </c>
      <c r="F57" s="114">
        <f t="shared" ref="F57:F68" si="8">IF(C57=0,0,E57/C57)</f>
        <v>8.9747851636312229E-2</v>
      </c>
    </row>
    <row r="58" spans="1:6" x14ac:dyDescent="0.2">
      <c r="A58" s="115">
        <v>2</v>
      </c>
      <c r="B58" s="116" t="s">
        <v>114</v>
      </c>
      <c r="C58" s="113">
        <v>3167587</v>
      </c>
      <c r="D58" s="113">
        <v>3261238</v>
      </c>
      <c r="E58" s="113">
        <f t="shared" si="7"/>
        <v>93651</v>
      </c>
      <c r="F58" s="114">
        <f t="shared" si="8"/>
        <v>2.9565407358977037E-2</v>
      </c>
    </row>
    <row r="59" spans="1:6" x14ac:dyDescent="0.2">
      <c r="A59" s="115">
        <v>3</v>
      </c>
      <c r="B59" s="116" t="s">
        <v>115</v>
      </c>
      <c r="C59" s="113">
        <v>1647735</v>
      </c>
      <c r="D59" s="113">
        <v>2156151</v>
      </c>
      <c r="E59" s="113">
        <f t="shared" si="7"/>
        <v>508416</v>
      </c>
      <c r="F59" s="114">
        <f t="shared" si="8"/>
        <v>0.30855447022731203</v>
      </c>
    </row>
    <row r="60" spans="1:6" x14ac:dyDescent="0.2">
      <c r="A60" s="115">
        <v>4</v>
      </c>
      <c r="B60" s="116" t="s">
        <v>116</v>
      </c>
      <c r="C60" s="113">
        <v>124868</v>
      </c>
      <c r="D60" s="113">
        <v>0</v>
      </c>
      <c r="E60" s="113">
        <f t="shared" si="7"/>
        <v>-124868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45723</v>
      </c>
      <c r="D61" s="113">
        <v>77114</v>
      </c>
      <c r="E61" s="113">
        <f t="shared" si="7"/>
        <v>31391</v>
      </c>
      <c r="F61" s="114">
        <f t="shared" si="8"/>
        <v>0.6865472519301008</v>
      </c>
    </row>
    <row r="62" spans="1:6" x14ac:dyDescent="0.2">
      <c r="A62" s="115">
        <v>6</v>
      </c>
      <c r="B62" s="116" t="s">
        <v>118</v>
      </c>
      <c r="C62" s="113">
        <v>671871</v>
      </c>
      <c r="D62" s="113">
        <v>481467</v>
      </c>
      <c r="E62" s="113">
        <f t="shared" si="7"/>
        <v>-190404</v>
      </c>
      <c r="F62" s="114">
        <f t="shared" si="8"/>
        <v>-0.28339368718102137</v>
      </c>
    </row>
    <row r="63" spans="1:6" x14ac:dyDescent="0.2">
      <c r="A63" s="115">
        <v>7</v>
      </c>
      <c r="B63" s="116" t="s">
        <v>119</v>
      </c>
      <c r="C63" s="113">
        <v>6859254</v>
      </c>
      <c r="D63" s="113">
        <v>6096608</v>
      </c>
      <c r="E63" s="113">
        <f t="shared" si="7"/>
        <v>-762646</v>
      </c>
      <c r="F63" s="114">
        <f t="shared" si="8"/>
        <v>-0.11118497725845988</v>
      </c>
    </row>
    <row r="64" spans="1:6" x14ac:dyDescent="0.2">
      <c r="A64" s="115">
        <v>8</v>
      </c>
      <c r="B64" s="116" t="s">
        <v>120</v>
      </c>
      <c r="C64" s="113">
        <v>428083</v>
      </c>
      <c r="D64" s="113">
        <v>234620</v>
      </c>
      <c r="E64" s="113">
        <f t="shared" si="7"/>
        <v>-193463</v>
      </c>
      <c r="F64" s="114">
        <f t="shared" si="8"/>
        <v>-0.45192871475858654</v>
      </c>
    </row>
    <row r="65" spans="1:6" x14ac:dyDescent="0.2">
      <c r="A65" s="115">
        <v>9</v>
      </c>
      <c r="B65" s="116" t="s">
        <v>121</v>
      </c>
      <c r="C65" s="113">
        <v>32437</v>
      </c>
      <c r="D65" s="113">
        <v>2144</v>
      </c>
      <c r="E65" s="113">
        <f t="shared" si="7"/>
        <v>-30293</v>
      </c>
      <c r="F65" s="114">
        <f t="shared" si="8"/>
        <v>-0.93390264204457873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25199767</v>
      </c>
      <c r="D68" s="119">
        <f>SUM(D57:D67)</f>
        <v>25628468</v>
      </c>
      <c r="E68" s="119">
        <f t="shared" si="7"/>
        <v>428701</v>
      </c>
      <c r="F68" s="120">
        <f t="shared" si="8"/>
        <v>1.701210173887719E-2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7627908</v>
      </c>
      <c r="D70" s="113">
        <v>7693707</v>
      </c>
      <c r="E70" s="113">
        <f t="shared" ref="E70:E81" si="9">D70-C70</f>
        <v>65799</v>
      </c>
      <c r="F70" s="114">
        <f t="shared" ref="F70:F81" si="10">IF(C70=0,0,E70/C70)</f>
        <v>8.6260872574760988E-3</v>
      </c>
    </row>
    <row r="71" spans="1:6" x14ac:dyDescent="0.2">
      <c r="A71" s="115">
        <v>2</v>
      </c>
      <c r="B71" s="116" t="s">
        <v>114</v>
      </c>
      <c r="C71" s="113">
        <v>1968614</v>
      </c>
      <c r="D71" s="113">
        <v>2703344</v>
      </c>
      <c r="E71" s="113">
        <f t="shared" si="9"/>
        <v>734730</v>
      </c>
      <c r="F71" s="114">
        <f t="shared" si="10"/>
        <v>0.37322197241307842</v>
      </c>
    </row>
    <row r="72" spans="1:6" x14ac:dyDescent="0.2">
      <c r="A72" s="115">
        <v>3</v>
      </c>
      <c r="B72" s="116" t="s">
        <v>115</v>
      </c>
      <c r="C72" s="113">
        <v>3712403</v>
      </c>
      <c r="D72" s="113">
        <v>5234566</v>
      </c>
      <c r="E72" s="113">
        <f t="shared" si="9"/>
        <v>1522163</v>
      </c>
      <c r="F72" s="114">
        <f t="shared" si="10"/>
        <v>0.41002094869549455</v>
      </c>
    </row>
    <row r="73" spans="1:6" x14ac:dyDescent="0.2">
      <c r="A73" s="115">
        <v>4</v>
      </c>
      <c r="B73" s="116" t="s">
        <v>116</v>
      </c>
      <c r="C73" s="113">
        <v>436875</v>
      </c>
      <c r="D73" s="113">
        <v>0</v>
      </c>
      <c r="E73" s="113">
        <f t="shared" si="9"/>
        <v>-436875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387769</v>
      </c>
      <c r="D74" s="113">
        <v>176483</v>
      </c>
      <c r="E74" s="113">
        <f t="shared" si="9"/>
        <v>-211286</v>
      </c>
      <c r="F74" s="114">
        <f t="shared" si="10"/>
        <v>-0.54487594418326379</v>
      </c>
    </row>
    <row r="75" spans="1:6" x14ac:dyDescent="0.2">
      <c r="A75" s="115">
        <v>6</v>
      </c>
      <c r="B75" s="116" t="s">
        <v>118</v>
      </c>
      <c r="C75" s="113">
        <v>2450691</v>
      </c>
      <c r="D75" s="113">
        <v>1522985</v>
      </c>
      <c r="E75" s="113">
        <f t="shared" si="9"/>
        <v>-927706</v>
      </c>
      <c r="F75" s="114">
        <f t="shared" si="10"/>
        <v>-0.37854874400730243</v>
      </c>
    </row>
    <row r="76" spans="1:6" x14ac:dyDescent="0.2">
      <c r="A76" s="115">
        <v>7</v>
      </c>
      <c r="B76" s="116" t="s">
        <v>119</v>
      </c>
      <c r="C76" s="113">
        <v>22862074</v>
      </c>
      <c r="D76" s="113">
        <v>25973169</v>
      </c>
      <c r="E76" s="113">
        <f t="shared" si="9"/>
        <v>3111095</v>
      </c>
      <c r="F76" s="114">
        <f t="shared" si="10"/>
        <v>0.13608104846480681</v>
      </c>
    </row>
    <row r="77" spans="1:6" x14ac:dyDescent="0.2">
      <c r="A77" s="115">
        <v>8</v>
      </c>
      <c r="B77" s="116" t="s">
        <v>120</v>
      </c>
      <c r="C77" s="113">
        <v>469398</v>
      </c>
      <c r="D77" s="113">
        <v>928036</v>
      </c>
      <c r="E77" s="113">
        <f t="shared" si="9"/>
        <v>458638</v>
      </c>
      <c r="F77" s="114">
        <f t="shared" si="10"/>
        <v>0.97707702205804026</v>
      </c>
    </row>
    <row r="78" spans="1:6" x14ac:dyDescent="0.2">
      <c r="A78" s="115">
        <v>9</v>
      </c>
      <c r="B78" s="116" t="s">
        <v>121</v>
      </c>
      <c r="C78" s="113">
        <v>224697</v>
      </c>
      <c r="D78" s="113">
        <v>175163</v>
      </c>
      <c r="E78" s="113">
        <f t="shared" si="9"/>
        <v>-49534</v>
      </c>
      <c r="F78" s="114">
        <f t="shared" si="10"/>
        <v>-0.22044798105893715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40140429</v>
      </c>
      <c r="D81" s="119">
        <f>SUM(D70:D80)</f>
        <v>44407453</v>
      </c>
      <c r="E81" s="119">
        <f t="shared" si="9"/>
        <v>4267024</v>
      </c>
      <c r="F81" s="120">
        <f t="shared" si="10"/>
        <v>0.10630240150148869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19850117</v>
      </c>
      <c r="D84" s="119">
        <f t="shared" si="11"/>
        <v>21012833</v>
      </c>
      <c r="E84" s="119">
        <f t="shared" ref="E84:E95" si="12">D84-C84</f>
        <v>1162716</v>
      </c>
      <c r="F84" s="120">
        <f t="shared" ref="F84:F95" si="13">IF(C84=0,0,E84/C84)</f>
        <v>5.8574768098344207E-2</v>
      </c>
    </row>
    <row r="85" spans="1:6" ht="15.75" x14ac:dyDescent="0.25">
      <c r="A85" s="130">
        <v>2</v>
      </c>
      <c r="B85" s="122" t="s">
        <v>114</v>
      </c>
      <c r="C85" s="119">
        <f t="shared" si="11"/>
        <v>5136201</v>
      </c>
      <c r="D85" s="119">
        <f t="shared" si="11"/>
        <v>5964582</v>
      </c>
      <c r="E85" s="119">
        <f t="shared" si="12"/>
        <v>828381</v>
      </c>
      <c r="F85" s="120">
        <f t="shared" si="13"/>
        <v>0.16128282362781363</v>
      </c>
    </row>
    <row r="86" spans="1:6" ht="15.75" x14ac:dyDescent="0.25">
      <c r="A86" s="130">
        <v>3</v>
      </c>
      <c r="B86" s="122" t="s">
        <v>115</v>
      </c>
      <c r="C86" s="119">
        <f t="shared" si="11"/>
        <v>5360138</v>
      </c>
      <c r="D86" s="119">
        <f t="shared" si="11"/>
        <v>7390717</v>
      </c>
      <c r="E86" s="119">
        <f t="shared" si="12"/>
        <v>2030579</v>
      </c>
      <c r="F86" s="120">
        <f t="shared" si="13"/>
        <v>0.37882961222267036</v>
      </c>
    </row>
    <row r="87" spans="1:6" ht="15.75" x14ac:dyDescent="0.25">
      <c r="A87" s="130">
        <v>4</v>
      </c>
      <c r="B87" s="122" t="s">
        <v>116</v>
      </c>
      <c r="C87" s="119">
        <f t="shared" si="11"/>
        <v>561743</v>
      </c>
      <c r="D87" s="119">
        <f t="shared" si="11"/>
        <v>0</v>
      </c>
      <c r="E87" s="119">
        <f t="shared" si="12"/>
        <v>-561743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433492</v>
      </c>
      <c r="D88" s="119">
        <f t="shared" si="11"/>
        <v>253597</v>
      </c>
      <c r="E88" s="119">
        <f t="shared" si="12"/>
        <v>-179895</v>
      </c>
      <c r="F88" s="120">
        <f t="shared" si="13"/>
        <v>-0.41499035737683743</v>
      </c>
    </row>
    <row r="89" spans="1:6" ht="15.75" x14ac:dyDescent="0.25">
      <c r="A89" s="130">
        <v>6</v>
      </c>
      <c r="B89" s="122" t="s">
        <v>118</v>
      </c>
      <c r="C89" s="119">
        <f t="shared" si="11"/>
        <v>3122562</v>
      </c>
      <c r="D89" s="119">
        <f t="shared" si="11"/>
        <v>2004452</v>
      </c>
      <c r="E89" s="119">
        <f t="shared" si="12"/>
        <v>-1118110</v>
      </c>
      <c r="F89" s="120">
        <f t="shared" si="13"/>
        <v>-0.35807455544517613</v>
      </c>
    </row>
    <row r="90" spans="1:6" ht="15.75" x14ac:dyDescent="0.25">
      <c r="A90" s="130">
        <v>7</v>
      </c>
      <c r="B90" s="122" t="s">
        <v>119</v>
      </c>
      <c r="C90" s="119">
        <f t="shared" si="11"/>
        <v>29721328</v>
      </c>
      <c r="D90" s="119">
        <f t="shared" si="11"/>
        <v>32069777</v>
      </c>
      <c r="E90" s="119">
        <f t="shared" si="12"/>
        <v>2348449</v>
      </c>
      <c r="F90" s="120">
        <f t="shared" si="13"/>
        <v>7.9015614645482873E-2</v>
      </c>
    </row>
    <row r="91" spans="1:6" ht="15.75" x14ac:dyDescent="0.25">
      <c r="A91" s="130">
        <v>8</v>
      </c>
      <c r="B91" s="122" t="s">
        <v>120</v>
      </c>
      <c r="C91" s="119">
        <f t="shared" si="11"/>
        <v>897481</v>
      </c>
      <c r="D91" s="119">
        <f t="shared" si="11"/>
        <v>1162656</v>
      </c>
      <c r="E91" s="119">
        <f t="shared" si="12"/>
        <v>265175</v>
      </c>
      <c r="F91" s="120">
        <f t="shared" si="13"/>
        <v>0.2954658650155268</v>
      </c>
    </row>
    <row r="92" spans="1:6" ht="15.75" x14ac:dyDescent="0.25">
      <c r="A92" s="130">
        <v>9</v>
      </c>
      <c r="B92" s="122" t="s">
        <v>121</v>
      </c>
      <c r="C92" s="119">
        <f t="shared" si="11"/>
        <v>257134</v>
      </c>
      <c r="D92" s="119">
        <f t="shared" si="11"/>
        <v>177307</v>
      </c>
      <c r="E92" s="119">
        <f t="shared" si="12"/>
        <v>-79827</v>
      </c>
      <c r="F92" s="120">
        <f t="shared" si="13"/>
        <v>-0.31044902657758211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65340196</v>
      </c>
      <c r="D95" s="128">
        <f>SUM(D84:D94)</f>
        <v>70035921</v>
      </c>
      <c r="E95" s="128">
        <f t="shared" si="12"/>
        <v>4695725</v>
      </c>
      <c r="F95" s="129">
        <f t="shared" si="13"/>
        <v>7.1865792995172526E-2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1309</v>
      </c>
      <c r="D100" s="133">
        <v>1341</v>
      </c>
      <c r="E100" s="133">
        <f t="shared" ref="E100:E111" si="14">D100-C100</f>
        <v>32</v>
      </c>
      <c r="F100" s="114">
        <f t="shared" ref="F100:F111" si="15">IF(C100=0,0,E100/C100)</f>
        <v>2.4446142093200916E-2</v>
      </c>
    </row>
    <row r="101" spans="1:6" x14ac:dyDescent="0.2">
      <c r="A101" s="115">
        <v>2</v>
      </c>
      <c r="B101" s="116" t="s">
        <v>114</v>
      </c>
      <c r="C101" s="133">
        <v>346</v>
      </c>
      <c r="D101" s="133">
        <v>366</v>
      </c>
      <c r="E101" s="133">
        <f t="shared" si="14"/>
        <v>20</v>
      </c>
      <c r="F101" s="114">
        <f t="shared" si="15"/>
        <v>5.7803468208092484E-2</v>
      </c>
    </row>
    <row r="102" spans="1:6" x14ac:dyDescent="0.2">
      <c r="A102" s="115">
        <v>3</v>
      </c>
      <c r="B102" s="116" t="s">
        <v>115</v>
      </c>
      <c r="C102" s="133">
        <v>248</v>
      </c>
      <c r="D102" s="133">
        <v>292</v>
      </c>
      <c r="E102" s="133">
        <f t="shared" si="14"/>
        <v>44</v>
      </c>
      <c r="F102" s="114">
        <f t="shared" si="15"/>
        <v>0.17741935483870969</v>
      </c>
    </row>
    <row r="103" spans="1:6" x14ac:dyDescent="0.2">
      <c r="A103" s="115">
        <v>4</v>
      </c>
      <c r="B103" s="116" t="s">
        <v>116</v>
      </c>
      <c r="C103" s="133">
        <v>18</v>
      </c>
      <c r="D103" s="133">
        <v>0</v>
      </c>
      <c r="E103" s="133">
        <f t="shared" si="14"/>
        <v>-18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4</v>
      </c>
      <c r="D104" s="133">
        <v>7</v>
      </c>
      <c r="E104" s="133">
        <f t="shared" si="14"/>
        <v>3</v>
      </c>
      <c r="F104" s="114">
        <f t="shared" si="15"/>
        <v>0.75</v>
      </c>
    </row>
    <row r="105" spans="1:6" x14ac:dyDescent="0.2">
      <c r="A105" s="115">
        <v>6</v>
      </c>
      <c r="B105" s="116" t="s">
        <v>118</v>
      </c>
      <c r="C105" s="133">
        <v>63</v>
      </c>
      <c r="D105" s="133">
        <v>54</v>
      </c>
      <c r="E105" s="133">
        <f t="shared" si="14"/>
        <v>-9</v>
      </c>
      <c r="F105" s="114">
        <f t="shared" si="15"/>
        <v>-0.14285714285714285</v>
      </c>
    </row>
    <row r="106" spans="1:6" x14ac:dyDescent="0.2">
      <c r="A106" s="115">
        <v>7</v>
      </c>
      <c r="B106" s="116" t="s">
        <v>119</v>
      </c>
      <c r="C106" s="133">
        <v>449</v>
      </c>
      <c r="D106" s="133">
        <v>439</v>
      </c>
      <c r="E106" s="133">
        <f t="shared" si="14"/>
        <v>-10</v>
      </c>
      <c r="F106" s="114">
        <f t="shared" si="15"/>
        <v>-2.2271714922048998E-2</v>
      </c>
    </row>
    <row r="107" spans="1:6" x14ac:dyDescent="0.2">
      <c r="A107" s="115">
        <v>8</v>
      </c>
      <c r="B107" s="116" t="s">
        <v>120</v>
      </c>
      <c r="C107" s="133">
        <v>24</v>
      </c>
      <c r="D107" s="133">
        <v>20</v>
      </c>
      <c r="E107" s="133">
        <f t="shared" si="14"/>
        <v>-4</v>
      </c>
      <c r="F107" s="114">
        <f t="shared" si="15"/>
        <v>-0.16666666666666666</v>
      </c>
    </row>
    <row r="108" spans="1:6" x14ac:dyDescent="0.2">
      <c r="A108" s="115">
        <v>9</v>
      </c>
      <c r="B108" s="116" t="s">
        <v>121</v>
      </c>
      <c r="C108" s="133">
        <v>58</v>
      </c>
      <c r="D108" s="133">
        <v>48</v>
      </c>
      <c r="E108" s="133">
        <f t="shared" si="14"/>
        <v>-10</v>
      </c>
      <c r="F108" s="114">
        <f t="shared" si="15"/>
        <v>-0.17241379310344829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2519</v>
      </c>
      <c r="D111" s="134">
        <f>SUM(D100:D110)</f>
        <v>2567</v>
      </c>
      <c r="E111" s="134">
        <f t="shared" si="14"/>
        <v>48</v>
      </c>
      <c r="F111" s="120">
        <f t="shared" si="15"/>
        <v>1.9055180627233027E-2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7534</v>
      </c>
      <c r="D113" s="133">
        <v>7172</v>
      </c>
      <c r="E113" s="133">
        <f t="shared" ref="E113:E124" si="16">D113-C113</f>
        <v>-362</v>
      </c>
      <c r="F113" s="114">
        <f t="shared" ref="F113:F124" si="17">IF(C113=0,0,E113/C113)</f>
        <v>-4.804884523493496E-2</v>
      </c>
    </row>
    <row r="114" spans="1:6" x14ac:dyDescent="0.2">
      <c r="A114" s="115">
        <v>2</v>
      </c>
      <c r="B114" s="116" t="s">
        <v>114</v>
      </c>
      <c r="C114" s="133">
        <v>1800</v>
      </c>
      <c r="D114" s="133">
        <v>1761</v>
      </c>
      <c r="E114" s="133">
        <f t="shared" si="16"/>
        <v>-39</v>
      </c>
      <c r="F114" s="114">
        <f t="shared" si="17"/>
        <v>-2.1666666666666667E-2</v>
      </c>
    </row>
    <row r="115" spans="1:6" x14ac:dyDescent="0.2">
      <c r="A115" s="115">
        <v>3</v>
      </c>
      <c r="B115" s="116" t="s">
        <v>115</v>
      </c>
      <c r="C115" s="133">
        <v>1258</v>
      </c>
      <c r="D115" s="133">
        <v>1422</v>
      </c>
      <c r="E115" s="133">
        <f t="shared" si="16"/>
        <v>164</v>
      </c>
      <c r="F115" s="114">
        <f t="shared" si="17"/>
        <v>0.13036565977742448</v>
      </c>
    </row>
    <row r="116" spans="1:6" x14ac:dyDescent="0.2">
      <c r="A116" s="115">
        <v>4</v>
      </c>
      <c r="B116" s="116" t="s">
        <v>116</v>
      </c>
      <c r="C116" s="133">
        <v>104</v>
      </c>
      <c r="D116" s="133">
        <v>0</v>
      </c>
      <c r="E116" s="133">
        <f t="shared" si="16"/>
        <v>-104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9</v>
      </c>
      <c r="D117" s="133">
        <v>18</v>
      </c>
      <c r="E117" s="133">
        <f t="shared" si="16"/>
        <v>9</v>
      </c>
      <c r="F117" s="114">
        <f t="shared" si="17"/>
        <v>1</v>
      </c>
    </row>
    <row r="118" spans="1:6" x14ac:dyDescent="0.2">
      <c r="A118" s="115">
        <v>6</v>
      </c>
      <c r="B118" s="116" t="s">
        <v>118</v>
      </c>
      <c r="C118" s="133">
        <v>249</v>
      </c>
      <c r="D118" s="133">
        <v>195</v>
      </c>
      <c r="E118" s="133">
        <f t="shared" si="16"/>
        <v>-54</v>
      </c>
      <c r="F118" s="114">
        <f t="shared" si="17"/>
        <v>-0.21686746987951808</v>
      </c>
    </row>
    <row r="119" spans="1:6" x14ac:dyDescent="0.2">
      <c r="A119" s="115">
        <v>7</v>
      </c>
      <c r="B119" s="116" t="s">
        <v>119</v>
      </c>
      <c r="C119" s="133">
        <v>1720</v>
      </c>
      <c r="D119" s="133">
        <v>1481</v>
      </c>
      <c r="E119" s="133">
        <f t="shared" si="16"/>
        <v>-239</v>
      </c>
      <c r="F119" s="114">
        <f t="shared" si="17"/>
        <v>-0.13895348837209304</v>
      </c>
    </row>
    <row r="120" spans="1:6" x14ac:dyDescent="0.2">
      <c r="A120" s="115">
        <v>8</v>
      </c>
      <c r="B120" s="116" t="s">
        <v>120</v>
      </c>
      <c r="C120" s="133">
        <v>84</v>
      </c>
      <c r="D120" s="133">
        <v>29</v>
      </c>
      <c r="E120" s="133">
        <f t="shared" si="16"/>
        <v>-55</v>
      </c>
      <c r="F120" s="114">
        <f t="shared" si="17"/>
        <v>-0.65476190476190477</v>
      </c>
    </row>
    <row r="121" spans="1:6" x14ac:dyDescent="0.2">
      <c r="A121" s="115">
        <v>9</v>
      </c>
      <c r="B121" s="116" t="s">
        <v>121</v>
      </c>
      <c r="C121" s="133">
        <v>298</v>
      </c>
      <c r="D121" s="133">
        <v>247</v>
      </c>
      <c r="E121" s="133">
        <f t="shared" si="16"/>
        <v>-51</v>
      </c>
      <c r="F121" s="114">
        <f t="shared" si="17"/>
        <v>-0.17114093959731544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13056</v>
      </c>
      <c r="D124" s="134">
        <f>SUM(D113:D123)</f>
        <v>12325</v>
      </c>
      <c r="E124" s="134">
        <f t="shared" si="16"/>
        <v>-731</v>
      </c>
      <c r="F124" s="120">
        <f t="shared" si="17"/>
        <v>-5.5989583333333336E-2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20478</v>
      </c>
      <c r="D126" s="133">
        <v>26910</v>
      </c>
      <c r="E126" s="133">
        <f t="shared" ref="E126:E137" si="18">D126-C126</f>
        <v>6432</v>
      </c>
      <c r="F126" s="114">
        <f t="shared" ref="F126:F137" si="19">IF(C126=0,0,E126/C126)</f>
        <v>0.31409317316144153</v>
      </c>
    </row>
    <row r="127" spans="1:6" x14ac:dyDescent="0.2">
      <c r="A127" s="115">
        <v>2</v>
      </c>
      <c r="B127" s="116" t="s">
        <v>114</v>
      </c>
      <c r="C127" s="133">
        <v>6269</v>
      </c>
      <c r="D127" s="133">
        <v>8959</v>
      </c>
      <c r="E127" s="133">
        <f t="shared" si="18"/>
        <v>2690</v>
      </c>
      <c r="F127" s="114">
        <f t="shared" si="19"/>
        <v>0.42909554952943052</v>
      </c>
    </row>
    <row r="128" spans="1:6" x14ac:dyDescent="0.2">
      <c r="A128" s="115">
        <v>3</v>
      </c>
      <c r="B128" s="116" t="s">
        <v>115</v>
      </c>
      <c r="C128" s="133">
        <v>16108</v>
      </c>
      <c r="D128" s="133">
        <v>19539</v>
      </c>
      <c r="E128" s="133">
        <f t="shared" si="18"/>
        <v>3431</v>
      </c>
      <c r="F128" s="114">
        <f t="shared" si="19"/>
        <v>0.21299975167618573</v>
      </c>
    </row>
    <row r="129" spans="1:6" x14ac:dyDescent="0.2">
      <c r="A129" s="115">
        <v>4</v>
      </c>
      <c r="B129" s="116" t="s">
        <v>116</v>
      </c>
      <c r="C129" s="133">
        <v>2670</v>
      </c>
      <c r="D129" s="133">
        <v>0</v>
      </c>
      <c r="E129" s="133">
        <f t="shared" si="18"/>
        <v>-2670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575</v>
      </c>
      <c r="D130" s="133">
        <v>582</v>
      </c>
      <c r="E130" s="133">
        <f t="shared" si="18"/>
        <v>7</v>
      </c>
      <c r="F130" s="114">
        <f t="shared" si="19"/>
        <v>1.2173913043478261E-2</v>
      </c>
    </row>
    <row r="131" spans="1:6" x14ac:dyDescent="0.2">
      <c r="A131" s="115">
        <v>6</v>
      </c>
      <c r="B131" s="116" t="s">
        <v>118</v>
      </c>
      <c r="C131" s="133">
        <v>2976</v>
      </c>
      <c r="D131" s="133">
        <v>3431</v>
      </c>
      <c r="E131" s="133">
        <f t="shared" si="18"/>
        <v>455</v>
      </c>
      <c r="F131" s="114">
        <f t="shared" si="19"/>
        <v>0.15288978494623656</v>
      </c>
    </row>
    <row r="132" spans="1:6" x14ac:dyDescent="0.2">
      <c r="A132" s="115">
        <v>7</v>
      </c>
      <c r="B132" s="116" t="s">
        <v>119</v>
      </c>
      <c r="C132" s="133">
        <v>49424</v>
      </c>
      <c r="D132" s="133">
        <v>55840</v>
      </c>
      <c r="E132" s="133">
        <f t="shared" si="18"/>
        <v>6416</v>
      </c>
      <c r="F132" s="114">
        <f t="shared" si="19"/>
        <v>0.1298154742635157</v>
      </c>
    </row>
    <row r="133" spans="1:6" x14ac:dyDescent="0.2">
      <c r="A133" s="115">
        <v>8</v>
      </c>
      <c r="B133" s="116" t="s">
        <v>120</v>
      </c>
      <c r="C133" s="133">
        <v>1020</v>
      </c>
      <c r="D133" s="133">
        <v>1233</v>
      </c>
      <c r="E133" s="133">
        <f t="shared" si="18"/>
        <v>213</v>
      </c>
      <c r="F133" s="114">
        <f t="shared" si="19"/>
        <v>0.20882352941176471</v>
      </c>
    </row>
    <row r="134" spans="1:6" x14ac:dyDescent="0.2">
      <c r="A134" s="115">
        <v>9</v>
      </c>
      <c r="B134" s="116" t="s">
        <v>121</v>
      </c>
      <c r="C134" s="133">
        <v>5933</v>
      </c>
      <c r="D134" s="133">
        <v>5731</v>
      </c>
      <c r="E134" s="133">
        <f t="shared" si="18"/>
        <v>-202</v>
      </c>
      <c r="F134" s="114">
        <f t="shared" si="19"/>
        <v>-3.404685656497556E-2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105453</v>
      </c>
      <c r="D137" s="134">
        <f>SUM(D126:D136)</f>
        <v>122225</v>
      </c>
      <c r="E137" s="134">
        <f t="shared" si="18"/>
        <v>16772</v>
      </c>
      <c r="F137" s="120">
        <f t="shared" si="19"/>
        <v>0.15904715844973591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11337449</v>
      </c>
      <c r="D142" s="113">
        <v>12742981</v>
      </c>
      <c r="E142" s="113">
        <f t="shared" ref="E142:E153" si="20">D142-C142</f>
        <v>1405532</v>
      </c>
      <c r="F142" s="114">
        <f t="shared" ref="F142:F153" si="21">IF(C142=0,0,E142/C142)</f>
        <v>0.1239725091596884</v>
      </c>
    </row>
    <row r="143" spans="1:6" x14ac:dyDescent="0.2">
      <c r="A143" s="115">
        <v>2</v>
      </c>
      <c r="B143" s="116" t="s">
        <v>114</v>
      </c>
      <c r="C143" s="113">
        <v>2990011</v>
      </c>
      <c r="D143" s="113">
        <v>3898497</v>
      </c>
      <c r="E143" s="113">
        <f t="shared" si="20"/>
        <v>908486</v>
      </c>
      <c r="F143" s="114">
        <f t="shared" si="21"/>
        <v>0.30384035376458479</v>
      </c>
    </row>
    <row r="144" spans="1:6" x14ac:dyDescent="0.2">
      <c r="A144" s="115">
        <v>3</v>
      </c>
      <c r="B144" s="116" t="s">
        <v>115</v>
      </c>
      <c r="C144" s="113">
        <v>14860935</v>
      </c>
      <c r="D144" s="113">
        <v>19010123</v>
      </c>
      <c r="E144" s="113">
        <f t="shared" si="20"/>
        <v>4149188</v>
      </c>
      <c r="F144" s="114">
        <f t="shared" si="21"/>
        <v>0.27920100585864888</v>
      </c>
    </row>
    <row r="145" spans="1:6" x14ac:dyDescent="0.2">
      <c r="A145" s="115">
        <v>4</v>
      </c>
      <c r="B145" s="116" t="s">
        <v>116</v>
      </c>
      <c r="C145" s="113">
        <v>1912272</v>
      </c>
      <c r="D145" s="113">
        <v>0</v>
      </c>
      <c r="E145" s="113">
        <f t="shared" si="20"/>
        <v>-1912272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362869</v>
      </c>
      <c r="D146" s="113">
        <v>416447</v>
      </c>
      <c r="E146" s="113">
        <f t="shared" si="20"/>
        <v>53578</v>
      </c>
      <c r="F146" s="114">
        <f t="shared" si="21"/>
        <v>0.14765108069303248</v>
      </c>
    </row>
    <row r="147" spans="1:6" x14ac:dyDescent="0.2">
      <c r="A147" s="115">
        <v>6</v>
      </c>
      <c r="B147" s="116" t="s">
        <v>118</v>
      </c>
      <c r="C147" s="113">
        <v>1412276</v>
      </c>
      <c r="D147" s="113">
        <v>1600973</v>
      </c>
      <c r="E147" s="113">
        <f t="shared" si="20"/>
        <v>188697</v>
      </c>
      <c r="F147" s="114">
        <f t="shared" si="21"/>
        <v>0.13361198519269604</v>
      </c>
    </row>
    <row r="148" spans="1:6" x14ac:dyDescent="0.2">
      <c r="A148" s="115">
        <v>7</v>
      </c>
      <c r="B148" s="116" t="s">
        <v>119</v>
      </c>
      <c r="C148" s="113">
        <v>19245867</v>
      </c>
      <c r="D148" s="113">
        <v>20819092</v>
      </c>
      <c r="E148" s="113">
        <f t="shared" si="20"/>
        <v>1573225</v>
      </c>
      <c r="F148" s="114">
        <f t="shared" si="21"/>
        <v>8.1743524466837483E-2</v>
      </c>
    </row>
    <row r="149" spans="1:6" x14ac:dyDescent="0.2">
      <c r="A149" s="115">
        <v>8</v>
      </c>
      <c r="B149" s="116" t="s">
        <v>120</v>
      </c>
      <c r="C149" s="113">
        <v>781386</v>
      </c>
      <c r="D149" s="113">
        <v>951185</v>
      </c>
      <c r="E149" s="113">
        <f t="shared" si="20"/>
        <v>169799</v>
      </c>
      <c r="F149" s="114">
        <f t="shared" si="21"/>
        <v>0.21730489156447647</v>
      </c>
    </row>
    <row r="150" spans="1:6" x14ac:dyDescent="0.2">
      <c r="A150" s="115">
        <v>9</v>
      </c>
      <c r="B150" s="116" t="s">
        <v>121</v>
      </c>
      <c r="C150" s="113">
        <v>3766057</v>
      </c>
      <c r="D150" s="113">
        <v>4731134</v>
      </c>
      <c r="E150" s="113">
        <f t="shared" si="20"/>
        <v>965077</v>
      </c>
      <c r="F150" s="114">
        <f t="shared" si="21"/>
        <v>0.25625661003006595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56533</v>
      </c>
      <c r="D152" s="113">
        <v>96354</v>
      </c>
      <c r="E152" s="113">
        <f t="shared" si="20"/>
        <v>39821</v>
      </c>
      <c r="F152" s="114">
        <f t="shared" si="21"/>
        <v>0.70438504944015001</v>
      </c>
    </row>
    <row r="153" spans="1:6" ht="33.75" customHeight="1" x14ac:dyDescent="0.25">
      <c r="A153" s="117"/>
      <c r="B153" s="118" t="s">
        <v>146</v>
      </c>
      <c r="C153" s="119">
        <f>SUM(C142:C152)</f>
        <v>56725655</v>
      </c>
      <c r="D153" s="119">
        <f>SUM(D142:D152)</f>
        <v>64266786</v>
      </c>
      <c r="E153" s="119">
        <f t="shared" si="20"/>
        <v>7541131</v>
      </c>
      <c r="F153" s="120">
        <f t="shared" si="21"/>
        <v>0.13294039531143359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2187906</v>
      </c>
      <c r="D155" s="113">
        <v>2197390</v>
      </c>
      <c r="E155" s="113">
        <f t="shared" ref="E155:E166" si="22">D155-C155</f>
        <v>9484</v>
      </c>
      <c r="F155" s="114">
        <f t="shared" ref="F155:F166" si="23">IF(C155=0,0,E155/C155)</f>
        <v>4.3347383297088629E-3</v>
      </c>
    </row>
    <row r="156" spans="1:6" x14ac:dyDescent="0.2">
      <c r="A156" s="115">
        <v>2</v>
      </c>
      <c r="B156" s="116" t="s">
        <v>114</v>
      </c>
      <c r="C156" s="113">
        <v>601503</v>
      </c>
      <c r="D156" s="113">
        <v>695616</v>
      </c>
      <c r="E156" s="113">
        <f t="shared" si="22"/>
        <v>94113</v>
      </c>
      <c r="F156" s="114">
        <f t="shared" si="23"/>
        <v>0.1564630600346133</v>
      </c>
    </row>
    <row r="157" spans="1:6" x14ac:dyDescent="0.2">
      <c r="A157" s="115">
        <v>3</v>
      </c>
      <c r="B157" s="116" t="s">
        <v>115</v>
      </c>
      <c r="C157" s="113">
        <v>2371685</v>
      </c>
      <c r="D157" s="113">
        <v>2700858</v>
      </c>
      <c r="E157" s="113">
        <f t="shared" si="22"/>
        <v>329173</v>
      </c>
      <c r="F157" s="114">
        <f t="shared" si="23"/>
        <v>0.13879288354060509</v>
      </c>
    </row>
    <row r="158" spans="1:6" x14ac:dyDescent="0.2">
      <c r="A158" s="115">
        <v>4</v>
      </c>
      <c r="B158" s="116" t="s">
        <v>116</v>
      </c>
      <c r="C158" s="113">
        <v>458746</v>
      </c>
      <c r="D158" s="113">
        <v>0</v>
      </c>
      <c r="E158" s="113">
        <f t="shared" si="22"/>
        <v>-458746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76395</v>
      </c>
      <c r="D159" s="113">
        <v>89990</v>
      </c>
      <c r="E159" s="113">
        <f t="shared" si="22"/>
        <v>13595</v>
      </c>
      <c r="F159" s="114">
        <f t="shared" si="23"/>
        <v>0.17795667255710451</v>
      </c>
    </row>
    <row r="160" spans="1:6" x14ac:dyDescent="0.2">
      <c r="A160" s="115">
        <v>6</v>
      </c>
      <c r="B160" s="116" t="s">
        <v>118</v>
      </c>
      <c r="C160" s="113">
        <v>859248</v>
      </c>
      <c r="D160" s="113">
        <v>775350</v>
      </c>
      <c r="E160" s="113">
        <f t="shared" si="22"/>
        <v>-83898</v>
      </c>
      <c r="F160" s="114">
        <f t="shared" si="23"/>
        <v>-9.7641193229428519E-2</v>
      </c>
    </row>
    <row r="161" spans="1:6" x14ac:dyDescent="0.2">
      <c r="A161" s="115">
        <v>7</v>
      </c>
      <c r="B161" s="116" t="s">
        <v>119</v>
      </c>
      <c r="C161" s="113">
        <v>10817360</v>
      </c>
      <c r="D161" s="113">
        <v>11530590</v>
      </c>
      <c r="E161" s="113">
        <f t="shared" si="22"/>
        <v>713230</v>
      </c>
      <c r="F161" s="114">
        <f t="shared" si="23"/>
        <v>6.5933832284402111E-2</v>
      </c>
    </row>
    <row r="162" spans="1:6" x14ac:dyDescent="0.2">
      <c r="A162" s="115">
        <v>8</v>
      </c>
      <c r="B162" s="116" t="s">
        <v>120</v>
      </c>
      <c r="C162" s="113">
        <v>551195</v>
      </c>
      <c r="D162" s="113">
        <v>516336</v>
      </c>
      <c r="E162" s="113">
        <f t="shared" si="22"/>
        <v>-34859</v>
      </c>
      <c r="F162" s="114">
        <f t="shared" si="23"/>
        <v>-6.3242591097524475E-2</v>
      </c>
    </row>
    <row r="163" spans="1:6" x14ac:dyDescent="0.2">
      <c r="A163" s="115">
        <v>9</v>
      </c>
      <c r="B163" s="116" t="s">
        <v>121</v>
      </c>
      <c r="C163" s="113">
        <v>92693</v>
      </c>
      <c r="D163" s="113">
        <v>104228</v>
      </c>
      <c r="E163" s="113">
        <f t="shared" si="22"/>
        <v>11535</v>
      </c>
      <c r="F163" s="114">
        <f t="shared" si="23"/>
        <v>0.12444305395229413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6667</v>
      </c>
      <c r="D165" s="113">
        <v>11764</v>
      </c>
      <c r="E165" s="113">
        <f t="shared" si="22"/>
        <v>5097</v>
      </c>
      <c r="F165" s="114">
        <f t="shared" si="23"/>
        <v>0.76451177441127949</v>
      </c>
    </row>
    <row r="166" spans="1:6" ht="33.75" customHeight="1" x14ac:dyDescent="0.25">
      <c r="A166" s="117"/>
      <c r="B166" s="118" t="s">
        <v>148</v>
      </c>
      <c r="C166" s="119">
        <f>SUM(C155:C165)</f>
        <v>18023398</v>
      </c>
      <c r="D166" s="119">
        <f>SUM(D155:D165)</f>
        <v>18622122</v>
      </c>
      <c r="E166" s="119">
        <f t="shared" si="22"/>
        <v>598724</v>
      </c>
      <c r="F166" s="120">
        <f t="shared" si="23"/>
        <v>3.3219263093452189E-2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3829</v>
      </c>
      <c r="D168" s="133">
        <v>3379</v>
      </c>
      <c r="E168" s="133">
        <f t="shared" ref="E168:E179" si="24">D168-C168</f>
        <v>-450</v>
      </c>
      <c r="F168" s="114">
        <f t="shared" ref="F168:F179" si="25">IF(C168=0,0,E168/C168)</f>
        <v>-0.11752415774353617</v>
      </c>
    </row>
    <row r="169" spans="1:6" x14ac:dyDescent="0.2">
      <c r="A169" s="115">
        <v>2</v>
      </c>
      <c r="B169" s="116" t="s">
        <v>114</v>
      </c>
      <c r="C169" s="133">
        <v>944</v>
      </c>
      <c r="D169" s="133">
        <v>1028</v>
      </c>
      <c r="E169" s="133">
        <f t="shared" si="24"/>
        <v>84</v>
      </c>
      <c r="F169" s="114">
        <f t="shared" si="25"/>
        <v>8.8983050847457626E-2</v>
      </c>
    </row>
    <row r="170" spans="1:6" x14ac:dyDescent="0.2">
      <c r="A170" s="115">
        <v>3</v>
      </c>
      <c r="B170" s="116" t="s">
        <v>115</v>
      </c>
      <c r="C170" s="133">
        <v>7257</v>
      </c>
      <c r="D170" s="133">
        <v>7147</v>
      </c>
      <c r="E170" s="133">
        <f t="shared" si="24"/>
        <v>-110</v>
      </c>
      <c r="F170" s="114">
        <f t="shared" si="25"/>
        <v>-1.5157778696431033E-2</v>
      </c>
    </row>
    <row r="171" spans="1:6" x14ac:dyDescent="0.2">
      <c r="A171" s="115">
        <v>4</v>
      </c>
      <c r="B171" s="116" t="s">
        <v>116</v>
      </c>
      <c r="C171" s="133">
        <v>1133</v>
      </c>
      <c r="D171" s="133">
        <v>0</v>
      </c>
      <c r="E171" s="133">
        <f t="shared" si="24"/>
        <v>-1133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187</v>
      </c>
      <c r="D172" s="133">
        <v>170</v>
      </c>
      <c r="E172" s="133">
        <f t="shared" si="24"/>
        <v>-17</v>
      </c>
      <c r="F172" s="114">
        <f t="shared" si="25"/>
        <v>-9.0909090909090912E-2</v>
      </c>
    </row>
    <row r="173" spans="1:6" x14ac:dyDescent="0.2">
      <c r="A173" s="115">
        <v>6</v>
      </c>
      <c r="B173" s="116" t="s">
        <v>118</v>
      </c>
      <c r="C173" s="133">
        <v>609</v>
      </c>
      <c r="D173" s="133">
        <v>600</v>
      </c>
      <c r="E173" s="133">
        <f t="shared" si="24"/>
        <v>-9</v>
      </c>
      <c r="F173" s="114">
        <f t="shared" si="25"/>
        <v>-1.4778325123152709E-2</v>
      </c>
    </row>
    <row r="174" spans="1:6" x14ac:dyDescent="0.2">
      <c r="A174" s="115">
        <v>7</v>
      </c>
      <c r="B174" s="116" t="s">
        <v>119</v>
      </c>
      <c r="C174" s="133">
        <v>7827</v>
      </c>
      <c r="D174" s="133">
        <v>8282</v>
      </c>
      <c r="E174" s="133">
        <f t="shared" si="24"/>
        <v>455</v>
      </c>
      <c r="F174" s="114">
        <f t="shared" si="25"/>
        <v>5.813210680976108E-2</v>
      </c>
    </row>
    <row r="175" spans="1:6" x14ac:dyDescent="0.2">
      <c r="A175" s="115">
        <v>8</v>
      </c>
      <c r="B175" s="116" t="s">
        <v>120</v>
      </c>
      <c r="C175" s="133">
        <v>433</v>
      </c>
      <c r="D175" s="133">
        <v>416</v>
      </c>
      <c r="E175" s="133">
        <f t="shared" si="24"/>
        <v>-17</v>
      </c>
      <c r="F175" s="114">
        <f t="shared" si="25"/>
        <v>-3.9260969976905313E-2</v>
      </c>
    </row>
    <row r="176" spans="1:6" x14ac:dyDescent="0.2">
      <c r="A176" s="115">
        <v>9</v>
      </c>
      <c r="B176" s="116" t="s">
        <v>121</v>
      </c>
      <c r="C176" s="133">
        <v>2039</v>
      </c>
      <c r="D176" s="133">
        <v>1627</v>
      </c>
      <c r="E176" s="133">
        <f t="shared" si="24"/>
        <v>-412</v>
      </c>
      <c r="F176" s="114">
        <f t="shared" si="25"/>
        <v>-0.20205983325159391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20</v>
      </c>
      <c r="D178" s="133">
        <v>22</v>
      </c>
      <c r="E178" s="133">
        <f t="shared" si="24"/>
        <v>2</v>
      </c>
      <c r="F178" s="114">
        <f t="shared" si="25"/>
        <v>0.1</v>
      </c>
    </row>
    <row r="179" spans="1:6" ht="33.75" customHeight="1" x14ac:dyDescent="0.25">
      <c r="A179" s="117"/>
      <c r="B179" s="118" t="s">
        <v>150</v>
      </c>
      <c r="C179" s="134">
        <f>SUM(C168:C178)</f>
        <v>24278</v>
      </c>
      <c r="D179" s="134">
        <f>SUM(D168:D178)</f>
        <v>22671</v>
      </c>
      <c r="E179" s="134">
        <f t="shared" si="24"/>
        <v>-1607</v>
      </c>
      <c r="F179" s="120">
        <f t="shared" si="25"/>
        <v>-6.6191613806738617E-2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9755837</v>
      </c>
      <c r="D15" s="157">
        <v>9743100</v>
      </c>
      <c r="E15" s="157">
        <f>+D15-C15</f>
        <v>-12737</v>
      </c>
      <c r="F15" s="161">
        <f>IF(C15=0,0,E15/C15)</f>
        <v>-1.3055773687075747E-3</v>
      </c>
    </row>
    <row r="16" spans="1:6" ht="15" customHeight="1" x14ac:dyDescent="0.2">
      <c r="A16" s="147">
        <v>2</v>
      </c>
      <c r="B16" s="160" t="s">
        <v>157</v>
      </c>
      <c r="C16" s="157">
        <v>3035027</v>
      </c>
      <c r="D16" s="157">
        <v>3972965</v>
      </c>
      <c r="E16" s="157">
        <f>+D16-C16</f>
        <v>937938</v>
      </c>
      <c r="F16" s="161">
        <f>IF(C16=0,0,E16/C16)</f>
        <v>0.30903777791762643</v>
      </c>
    </row>
    <row r="17" spans="1:6" ht="15" customHeight="1" x14ac:dyDescent="0.2">
      <c r="A17" s="147">
        <v>3</v>
      </c>
      <c r="B17" s="160" t="s">
        <v>158</v>
      </c>
      <c r="C17" s="157">
        <v>17477527</v>
      </c>
      <c r="D17" s="157">
        <v>17793574</v>
      </c>
      <c r="E17" s="157">
        <f>+D17-C17</f>
        <v>316047</v>
      </c>
      <c r="F17" s="161">
        <f>IF(C17=0,0,E17/C17)</f>
        <v>1.8083050307975492E-2</v>
      </c>
    </row>
    <row r="18" spans="1:6" ht="15.75" customHeight="1" x14ac:dyDescent="0.25">
      <c r="A18" s="147"/>
      <c r="B18" s="162" t="s">
        <v>159</v>
      </c>
      <c r="C18" s="158">
        <f>SUM(C15:C17)</f>
        <v>30268391</v>
      </c>
      <c r="D18" s="158">
        <f>SUM(D15:D17)</f>
        <v>31509639</v>
      </c>
      <c r="E18" s="158">
        <f>+D18-C18</f>
        <v>1241248</v>
      </c>
      <c r="F18" s="159">
        <f>IF(C18=0,0,E18/C18)</f>
        <v>4.1008060190579669E-2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3613110</v>
      </c>
      <c r="D21" s="157">
        <v>3448259</v>
      </c>
      <c r="E21" s="157">
        <f>+D21-C21</f>
        <v>-164851</v>
      </c>
      <c r="F21" s="161">
        <f>IF(C21=0,0,E21/C21)</f>
        <v>-4.5625790523953047E-2</v>
      </c>
    </row>
    <row r="22" spans="1:6" ht="15" customHeight="1" x14ac:dyDescent="0.2">
      <c r="A22" s="147">
        <v>2</v>
      </c>
      <c r="B22" s="160" t="s">
        <v>162</v>
      </c>
      <c r="C22" s="157">
        <v>1040916</v>
      </c>
      <c r="D22" s="157">
        <v>1318628</v>
      </c>
      <c r="E22" s="157">
        <f>+D22-C22</f>
        <v>277712</v>
      </c>
      <c r="F22" s="161">
        <f>IF(C22=0,0,E22/C22)</f>
        <v>0.26679578371357537</v>
      </c>
    </row>
    <row r="23" spans="1:6" ht="15" customHeight="1" x14ac:dyDescent="0.2">
      <c r="A23" s="147">
        <v>3</v>
      </c>
      <c r="B23" s="160" t="s">
        <v>163</v>
      </c>
      <c r="C23" s="157">
        <v>5388687</v>
      </c>
      <c r="D23" s="157">
        <v>5257714</v>
      </c>
      <c r="E23" s="157">
        <f>+D23-C23</f>
        <v>-130973</v>
      </c>
      <c r="F23" s="161">
        <f>IF(C23=0,0,E23/C23)</f>
        <v>-2.4305178608443948E-2</v>
      </c>
    </row>
    <row r="24" spans="1:6" ht="15.75" customHeight="1" x14ac:dyDescent="0.25">
      <c r="A24" s="147"/>
      <c r="B24" s="162" t="s">
        <v>164</v>
      </c>
      <c r="C24" s="158">
        <f>SUM(C21:C23)</f>
        <v>10042713</v>
      </c>
      <c r="D24" s="158">
        <f>SUM(D21:D23)</f>
        <v>10024601</v>
      </c>
      <c r="E24" s="158">
        <f>+D24-C24</f>
        <v>-18112</v>
      </c>
      <c r="F24" s="159">
        <f>IF(C24=0,0,E24/C24)</f>
        <v>-1.8034967244408956E-3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2796725</v>
      </c>
      <c r="D28" s="157">
        <v>2942670</v>
      </c>
      <c r="E28" s="157">
        <f>+D28-C28</f>
        <v>145945</v>
      </c>
      <c r="F28" s="161">
        <f>IF(C28=0,0,E28/C28)</f>
        <v>5.218425122241193E-2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2796725</v>
      </c>
      <c r="D30" s="158">
        <f>SUM(D27:D29)</f>
        <v>2942670</v>
      </c>
      <c r="E30" s="158">
        <f>+D30-C30</f>
        <v>145945</v>
      </c>
      <c r="F30" s="159">
        <f>IF(C30=0,0,E30/C30)</f>
        <v>5.218425122241193E-2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9479311</v>
      </c>
      <c r="D33" s="157">
        <v>8663885</v>
      </c>
      <c r="E33" s="157">
        <f>+D33-C33</f>
        <v>-815426</v>
      </c>
      <c r="F33" s="161">
        <f>IF(C33=0,0,E33/C33)</f>
        <v>-8.6021652839536542E-2</v>
      </c>
    </row>
    <row r="34" spans="1:6" ht="15" customHeight="1" x14ac:dyDescent="0.2">
      <c r="A34" s="147">
        <v>2</v>
      </c>
      <c r="B34" s="160" t="s">
        <v>173</v>
      </c>
      <c r="C34" s="157">
        <v>1467618</v>
      </c>
      <c r="D34" s="157">
        <v>1350225</v>
      </c>
      <c r="E34" s="157">
        <f>+D34-C34</f>
        <v>-117393</v>
      </c>
      <c r="F34" s="161">
        <f>IF(C34=0,0,E34/C34)</f>
        <v>-7.9988798175001943E-2</v>
      </c>
    </row>
    <row r="35" spans="1:6" ht="15.75" customHeight="1" x14ac:dyDescent="0.25">
      <c r="A35" s="147"/>
      <c r="B35" s="162" t="s">
        <v>174</v>
      </c>
      <c r="C35" s="158">
        <f>SUM(C33:C34)</f>
        <v>10946929</v>
      </c>
      <c r="D35" s="158">
        <f>SUM(D33:D34)</f>
        <v>10014110</v>
      </c>
      <c r="E35" s="158">
        <f>+D35-C35</f>
        <v>-932819</v>
      </c>
      <c r="F35" s="159">
        <f>IF(C35=0,0,E35/C35)</f>
        <v>-8.5212848279184059E-2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2144688</v>
      </c>
      <c r="D38" s="157">
        <v>1880073</v>
      </c>
      <c r="E38" s="157">
        <f>+D38-C38</f>
        <v>-264615</v>
      </c>
      <c r="F38" s="161">
        <f>IF(C38=0,0,E38/C38)</f>
        <v>-0.12338158277567646</v>
      </c>
    </row>
    <row r="39" spans="1:6" ht="15" customHeight="1" x14ac:dyDescent="0.2">
      <c r="A39" s="147">
        <v>2</v>
      </c>
      <c r="B39" s="160" t="s">
        <v>178</v>
      </c>
      <c r="C39" s="157">
        <v>1621971</v>
      </c>
      <c r="D39" s="157">
        <v>1642934</v>
      </c>
      <c r="E39" s="157">
        <f>+D39-C39</f>
        <v>20963</v>
      </c>
      <c r="F39" s="161">
        <f>IF(C39=0,0,E39/C39)</f>
        <v>1.2924398771617988E-2</v>
      </c>
    </row>
    <row r="40" spans="1:6" ht="15" customHeight="1" x14ac:dyDescent="0.2">
      <c r="A40" s="147">
        <v>3</v>
      </c>
      <c r="B40" s="160" t="s">
        <v>179</v>
      </c>
      <c r="C40" s="157">
        <v>45293</v>
      </c>
      <c r="D40" s="157">
        <v>42024</v>
      </c>
      <c r="E40" s="157">
        <f>+D40-C40</f>
        <v>-3269</v>
      </c>
      <c r="F40" s="161">
        <f>IF(C40=0,0,E40/C40)</f>
        <v>-7.2174508202150447E-2</v>
      </c>
    </row>
    <row r="41" spans="1:6" ht="15.75" customHeight="1" x14ac:dyDescent="0.25">
      <c r="A41" s="147"/>
      <c r="B41" s="162" t="s">
        <v>180</v>
      </c>
      <c r="C41" s="158">
        <f>SUM(C38:C40)</f>
        <v>3811952</v>
      </c>
      <c r="D41" s="158">
        <f>SUM(D38:D40)</f>
        <v>3565031</v>
      </c>
      <c r="E41" s="158">
        <f>+D41-C41</f>
        <v>-246921</v>
      </c>
      <c r="F41" s="159">
        <f>IF(C41=0,0,E41/C41)</f>
        <v>-6.4775474612482009E-2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3309948</v>
      </c>
      <c r="D44" s="157">
        <v>0</v>
      </c>
      <c r="E44" s="157">
        <f>+D44-C44</f>
        <v>-3309948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719107</v>
      </c>
      <c r="D47" s="157">
        <v>682298</v>
      </c>
      <c r="E47" s="157">
        <f>+D47-C47</f>
        <v>-36809</v>
      </c>
      <c r="F47" s="161">
        <f>IF(C47=0,0,E47/C47)</f>
        <v>-5.1187097330439003E-2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1722659</v>
      </c>
      <c r="D50" s="157">
        <v>2170991</v>
      </c>
      <c r="E50" s="157">
        <f>+D50-C50</f>
        <v>448332</v>
      </c>
      <c r="F50" s="161">
        <f>IF(C50=0,0,E50/C50)</f>
        <v>0.26025580222202999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63441</v>
      </c>
      <c r="D53" s="157">
        <v>75025</v>
      </c>
      <c r="E53" s="157">
        <f t="shared" ref="E53:E59" si="0">+D53-C53</f>
        <v>11584</v>
      </c>
      <c r="F53" s="161">
        <f t="shared" ref="F53:F59" si="1">IF(C53=0,0,E53/C53)</f>
        <v>0.18259485190964833</v>
      </c>
    </row>
    <row r="54" spans="1:6" ht="15" customHeight="1" x14ac:dyDescent="0.2">
      <c r="A54" s="147">
        <v>2</v>
      </c>
      <c r="B54" s="160" t="s">
        <v>189</v>
      </c>
      <c r="C54" s="157">
        <v>256649</v>
      </c>
      <c r="D54" s="157">
        <v>257797</v>
      </c>
      <c r="E54" s="157">
        <f t="shared" si="0"/>
        <v>1148</v>
      </c>
      <c r="F54" s="161">
        <f t="shared" si="1"/>
        <v>4.4730351569653498E-3</v>
      </c>
    </row>
    <row r="55" spans="1:6" ht="15" customHeight="1" x14ac:dyDescent="0.2">
      <c r="A55" s="147">
        <v>3</v>
      </c>
      <c r="B55" s="160" t="s">
        <v>190</v>
      </c>
      <c r="C55" s="157">
        <v>29255</v>
      </c>
      <c r="D55" s="157">
        <v>48664</v>
      </c>
      <c r="E55" s="157">
        <f t="shared" si="0"/>
        <v>19409</v>
      </c>
      <c r="F55" s="161">
        <f t="shared" si="1"/>
        <v>0.66344214664159973</v>
      </c>
    </row>
    <row r="56" spans="1:6" ht="15" customHeight="1" x14ac:dyDescent="0.2">
      <c r="A56" s="147">
        <v>4</v>
      </c>
      <c r="B56" s="160" t="s">
        <v>191</v>
      </c>
      <c r="C56" s="157">
        <v>613819</v>
      </c>
      <c r="D56" s="157">
        <v>576648</v>
      </c>
      <c r="E56" s="157">
        <f t="shared" si="0"/>
        <v>-37171</v>
      </c>
      <c r="F56" s="161">
        <f t="shared" si="1"/>
        <v>-6.0556939423510842E-2</v>
      </c>
    </row>
    <row r="57" spans="1:6" ht="15" customHeight="1" x14ac:dyDescent="0.2">
      <c r="A57" s="147">
        <v>5</v>
      </c>
      <c r="B57" s="160" t="s">
        <v>192</v>
      </c>
      <c r="C57" s="157">
        <v>191234</v>
      </c>
      <c r="D57" s="157">
        <v>214817</v>
      </c>
      <c r="E57" s="157">
        <f t="shared" si="0"/>
        <v>23583</v>
      </c>
      <c r="F57" s="161">
        <f t="shared" si="1"/>
        <v>0.12332012089900332</v>
      </c>
    </row>
    <row r="58" spans="1:6" ht="15" customHeight="1" x14ac:dyDescent="0.2">
      <c r="A58" s="147">
        <v>6</v>
      </c>
      <c r="B58" s="160" t="s">
        <v>193</v>
      </c>
      <c r="C58" s="157">
        <v>49631</v>
      </c>
      <c r="D58" s="157">
        <v>68472</v>
      </c>
      <c r="E58" s="157">
        <f t="shared" si="0"/>
        <v>18841</v>
      </c>
      <c r="F58" s="161">
        <f t="shared" si="1"/>
        <v>0.37962160746307749</v>
      </c>
    </row>
    <row r="59" spans="1:6" ht="15.75" customHeight="1" x14ac:dyDescent="0.25">
      <c r="A59" s="147"/>
      <c r="B59" s="162" t="s">
        <v>194</v>
      </c>
      <c r="C59" s="158">
        <f>SUM(C53:C58)</f>
        <v>1204029</v>
      </c>
      <c r="D59" s="158">
        <f>SUM(D53:D58)</f>
        <v>1241423</v>
      </c>
      <c r="E59" s="158">
        <f t="shared" si="0"/>
        <v>37394</v>
      </c>
      <c r="F59" s="159">
        <f t="shared" si="1"/>
        <v>3.1057391474790058E-2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77907</v>
      </c>
      <c r="D62" s="157">
        <v>123511</v>
      </c>
      <c r="E62" s="157">
        <f t="shared" ref="E62:E90" si="2">+D62-C62</f>
        <v>45604</v>
      </c>
      <c r="F62" s="161">
        <f t="shared" ref="F62:F90" si="3">IF(C62=0,0,E62/C62)</f>
        <v>0.58536460138370106</v>
      </c>
    </row>
    <row r="63" spans="1:6" ht="15" customHeight="1" x14ac:dyDescent="0.2">
      <c r="A63" s="147">
        <v>2</v>
      </c>
      <c r="B63" s="160" t="s">
        <v>198</v>
      </c>
      <c r="C63" s="157">
        <v>343139</v>
      </c>
      <c r="D63" s="157">
        <v>263826</v>
      </c>
      <c r="E63" s="157">
        <f t="shared" si="2"/>
        <v>-79313</v>
      </c>
      <c r="F63" s="161">
        <f t="shared" si="3"/>
        <v>-0.2311395673473432</v>
      </c>
    </row>
    <row r="64" spans="1:6" ht="15" customHeight="1" x14ac:dyDescent="0.2">
      <c r="A64" s="147">
        <v>3</v>
      </c>
      <c r="B64" s="160" t="s">
        <v>199</v>
      </c>
      <c r="C64" s="157">
        <v>360580</v>
      </c>
      <c r="D64" s="157">
        <v>753068</v>
      </c>
      <c r="E64" s="157">
        <f t="shared" si="2"/>
        <v>392488</v>
      </c>
      <c r="F64" s="161">
        <f t="shared" si="3"/>
        <v>1.0884907648788065</v>
      </c>
    </row>
    <row r="65" spans="1:6" ht="15" customHeight="1" x14ac:dyDescent="0.2">
      <c r="A65" s="147">
        <v>4</v>
      </c>
      <c r="B65" s="160" t="s">
        <v>200</v>
      </c>
      <c r="C65" s="157">
        <v>107528</v>
      </c>
      <c r="D65" s="157">
        <v>110690</v>
      </c>
      <c r="E65" s="157">
        <f t="shared" si="2"/>
        <v>3162</v>
      </c>
      <c r="F65" s="161">
        <f t="shared" si="3"/>
        <v>2.9406294174540586E-2</v>
      </c>
    </row>
    <row r="66" spans="1:6" ht="15" customHeight="1" x14ac:dyDescent="0.2">
      <c r="A66" s="147">
        <v>5</v>
      </c>
      <c r="B66" s="160" t="s">
        <v>201</v>
      </c>
      <c r="C66" s="157">
        <v>177929</v>
      </c>
      <c r="D66" s="157">
        <v>91740</v>
      </c>
      <c r="E66" s="157">
        <f t="shared" si="2"/>
        <v>-86189</v>
      </c>
      <c r="F66" s="161">
        <f t="shared" si="3"/>
        <v>-0.48440108133019349</v>
      </c>
    </row>
    <row r="67" spans="1:6" ht="15" customHeight="1" x14ac:dyDescent="0.2">
      <c r="A67" s="147">
        <v>6</v>
      </c>
      <c r="B67" s="160" t="s">
        <v>202</v>
      </c>
      <c r="C67" s="157">
        <v>648753</v>
      </c>
      <c r="D67" s="157">
        <v>862410</v>
      </c>
      <c r="E67" s="157">
        <f t="shared" si="2"/>
        <v>213657</v>
      </c>
      <c r="F67" s="161">
        <f t="shared" si="3"/>
        <v>0.32933489324904858</v>
      </c>
    </row>
    <row r="68" spans="1:6" ht="15" customHeight="1" x14ac:dyDescent="0.2">
      <c r="A68" s="147">
        <v>7</v>
      </c>
      <c r="B68" s="160" t="s">
        <v>203</v>
      </c>
      <c r="C68" s="157">
        <v>313128</v>
      </c>
      <c r="D68" s="157">
        <v>381690</v>
      </c>
      <c r="E68" s="157">
        <f t="shared" si="2"/>
        <v>68562</v>
      </c>
      <c r="F68" s="161">
        <f t="shared" si="3"/>
        <v>0.21895838123706599</v>
      </c>
    </row>
    <row r="69" spans="1:6" ht="15" customHeight="1" x14ac:dyDescent="0.2">
      <c r="A69" s="147">
        <v>8</v>
      </c>
      <c r="B69" s="160" t="s">
        <v>204</v>
      </c>
      <c r="C69" s="157">
        <v>262877</v>
      </c>
      <c r="D69" s="157">
        <v>282744</v>
      </c>
      <c r="E69" s="157">
        <f t="shared" si="2"/>
        <v>19867</v>
      </c>
      <c r="F69" s="161">
        <f t="shared" si="3"/>
        <v>7.5575269042175625E-2</v>
      </c>
    </row>
    <row r="70" spans="1:6" ht="15" customHeight="1" x14ac:dyDescent="0.2">
      <c r="A70" s="147">
        <v>9</v>
      </c>
      <c r="B70" s="160" t="s">
        <v>205</v>
      </c>
      <c r="C70" s="157">
        <v>35294</v>
      </c>
      <c r="D70" s="157">
        <v>13862</v>
      </c>
      <c r="E70" s="157">
        <f t="shared" si="2"/>
        <v>-21432</v>
      </c>
      <c r="F70" s="161">
        <f t="shared" si="3"/>
        <v>-0.60724202414008044</v>
      </c>
    </row>
    <row r="71" spans="1:6" ht="15" customHeight="1" x14ac:dyDescent="0.2">
      <c r="A71" s="147">
        <v>10</v>
      </c>
      <c r="B71" s="160" t="s">
        <v>206</v>
      </c>
      <c r="C71" s="157">
        <v>5850</v>
      </c>
      <c r="D71" s="157">
        <v>7682</v>
      </c>
      <c r="E71" s="157">
        <f t="shared" si="2"/>
        <v>1832</v>
      </c>
      <c r="F71" s="161">
        <f t="shared" si="3"/>
        <v>0.31316239316239314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354079</v>
      </c>
      <c r="D73" s="157">
        <v>364326</v>
      </c>
      <c r="E73" s="157">
        <f t="shared" si="2"/>
        <v>10247</v>
      </c>
      <c r="F73" s="161">
        <f t="shared" si="3"/>
        <v>2.893986935118999E-2</v>
      </c>
    </row>
    <row r="74" spans="1:6" ht="15" customHeight="1" x14ac:dyDescent="0.2">
      <c r="A74" s="147">
        <v>13</v>
      </c>
      <c r="B74" s="160" t="s">
        <v>209</v>
      </c>
      <c r="C74" s="157">
        <v>54125</v>
      </c>
      <c r="D74" s="157">
        <v>137208</v>
      </c>
      <c r="E74" s="157">
        <f t="shared" si="2"/>
        <v>83083</v>
      </c>
      <c r="F74" s="161">
        <f t="shared" si="3"/>
        <v>1.5350207852193996</v>
      </c>
    </row>
    <row r="75" spans="1:6" ht="15" customHeight="1" x14ac:dyDescent="0.2">
      <c r="A75" s="147">
        <v>14</v>
      </c>
      <c r="B75" s="160" t="s">
        <v>210</v>
      </c>
      <c r="C75" s="157">
        <v>4676</v>
      </c>
      <c r="D75" s="157">
        <v>57528</v>
      </c>
      <c r="E75" s="157">
        <f t="shared" si="2"/>
        <v>52852</v>
      </c>
      <c r="F75" s="161">
        <f t="shared" si="3"/>
        <v>11.302822925577416</v>
      </c>
    </row>
    <row r="76" spans="1:6" ht="15" customHeight="1" x14ac:dyDescent="0.2">
      <c r="A76" s="147">
        <v>15</v>
      </c>
      <c r="B76" s="160" t="s">
        <v>211</v>
      </c>
      <c r="C76" s="157">
        <v>386116</v>
      </c>
      <c r="D76" s="157">
        <v>373754</v>
      </c>
      <c r="E76" s="157">
        <f t="shared" si="2"/>
        <v>-12362</v>
      </c>
      <c r="F76" s="161">
        <f t="shared" si="3"/>
        <v>-3.2016285261424027E-2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984938</v>
      </c>
      <c r="D78" s="157">
        <v>1041592</v>
      </c>
      <c r="E78" s="157">
        <f t="shared" si="2"/>
        <v>56654</v>
      </c>
      <c r="F78" s="161">
        <f t="shared" si="3"/>
        <v>5.7520371840664081E-2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473200</v>
      </c>
      <c r="D80" s="157">
        <v>471428</v>
      </c>
      <c r="E80" s="157">
        <f t="shared" si="2"/>
        <v>-1772</v>
      </c>
      <c r="F80" s="161">
        <f t="shared" si="3"/>
        <v>-3.7447168216398984E-3</v>
      </c>
    </row>
    <row r="81" spans="1:6" ht="15" customHeight="1" x14ac:dyDescent="0.2">
      <c r="A81" s="147">
        <v>20</v>
      </c>
      <c r="B81" s="160" t="s">
        <v>216</v>
      </c>
      <c r="C81" s="157">
        <v>779022</v>
      </c>
      <c r="D81" s="157">
        <v>737068</v>
      </c>
      <c r="E81" s="157">
        <f t="shared" si="2"/>
        <v>-41954</v>
      </c>
      <c r="F81" s="161">
        <f t="shared" si="3"/>
        <v>-5.3854705001912653E-2</v>
      </c>
    </row>
    <row r="82" spans="1:6" ht="15" customHeight="1" x14ac:dyDescent="0.2">
      <c r="A82" s="147">
        <v>21</v>
      </c>
      <c r="B82" s="160" t="s">
        <v>217</v>
      </c>
      <c r="C82" s="157">
        <v>261101</v>
      </c>
      <c r="D82" s="157">
        <v>59548</v>
      </c>
      <c r="E82" s="157">
        <f t="shared" si="2"/>
        <v>-201553</v>
      </c>
      <c r="F82" s="161">
        <f t="shared" si="3"/>
        <v>-0.77193499833397805</v>
      </c>
    </row>
    <row r="83" spans="1:6" ht="15" customHeight="1" x14ac:dyDescent="0.2">
      <c r="A83" s="147">
        <v>22</v>
      </c>
      <c r="B83" s="160" t="s">
        <v>218</v>
      </c>
      <c r="C83" s="157">
        <v>158906</v>
      </c>
      <c r="D83" s="157">
        <v>143086</v>
      </c>
      <c r="E83" s="157">
        <f t="shared" si="2"/>
        <v>-15820</v>
      </c>
      <c r="F83" s="161">
        <f t="shared" si="3"/>
        <v>-9.9555712182044731E-2</v>
      </c>
    </row>
    <row r="84" spans="1:6" ht="15" customHeight="1" x14ac:dyDescent="0.2">
      <c r="A84" s="147">
        <v>23</v>
      </c>
      <c r="B84" s="160" t="s">
        <v>219</v>
      </c>
      <c r="C84" s="157">
        <v>333436</v>
      </c>
      <c r="D84" s="157">
        <v>335135</v>
      </c>
      <c r="E84" s="157">
        <f t="shared" si="2"/>
        <v>1699</v>
      </c>
      <c r="F84" s="161">
        <f t="shared" si="3"/>
        <v>5.0954306073729295E-3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81688</v>
      </c>
      <c r="D86" s="157">
        <v>78062</v>
      </c>
      <c r="E86" s="157">
        <f t="shared" si="2"/>
        <v>-3626</v>
      </c>
      <c r="F86" s="161">
        <f t="shared" si="3"/>
        <v>-4.4388404661639409E-2</v>
      </c>
    </row>
    <row r="87" spans="1:6" ht="15" customHeight="1" x14ac:dyDescent="0.2">
      <c r="A87" s="147">
        <v>26</v>
      </c>
      <c r="B87" s="160" t="s">
        <v>222</v>
      </c>
      <c r="C87" s="157">
        <v>990388</v>
      </c>
      <c r="D87" s="157">
        <v>759886</v>
      </c>
      <c r="E87" s="157">
        <f t="shared" si="2"/>
        <v>-230502</v>
      </c>
      <c r="F87" s="161">
        <f t="shared" si="3"/>
        <v>-0.232739088114961</v>
      </c>
    </row>
    <row r="88" spans="1:6" ht="15" customHeight="1" x14ac:dyDescent="0.2">
      <c r="A88" s="147">
        <v>27</v>
      </c>
      <c r="B88" s="160" t="s">
        <v>223</v>
      </c>
      <c r="C88" s="157">
        <v>1082565</v>
      </c>
      <c r="D88" s="157">
        <v>1156936</v>
      </c>
      <c r="E88" s="157">
        <f t="shared" si="2"/>
        <v>74371</v>
      </c>
      <c r="F88" s="161">
        <f t="shared" si="3"/>
        <v>6.8698877203678302E-2</v>
      </c>
    </row>
    <row r="89" spans="1:6" ht="15" customHeight="1" x14ac:dyDescent="0.2">
      <c r="A89" s="147">
        <v>28</v>
      </c>
      <c r="B89" s="160" t="s">
        <v>224</v>
      </c>
      <c r="C89" s="157">
        <v>895364</v>
      </c>
      <c r="D89" s="157">
        <v>870258</v>
      </c>
      <c r="E89" s="157">
        <f t="shared" si="2"/>
        <v>-25106</v>
      </c>
      <c r="F89" s="161">
        <f t="shared" si="3"/>
        <v>-2.8039992673370831E-2</v>
      </c>
    </row>
    <row r="90" spans="1:6" ht="15.75" customHeight="1" x14ac:dyDescent="0.25">
      <c r="A90" s="147"/>
      <c r="B90" s="162" t="s">
        <v>225</v>
      </c>
      <c r="C90" s="158">
        <f>SUM(C62:C89)</f>
        <v>9172589</v>
      </c>
      <c r="D90" s="158">
        <f>SUM(D62:D89)</f>
        <v>9477038</v>
      </c>
      <c r="E90" s="158">
        <f t="shared" si="2"/>
        <v>304449</v>
      </c>
      <c r="F90" s="159">
        <f t="shared" si="3"/>
        <v>3.3191174269336605E-2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43912</v>
      </c>
      <c r="D93" s="157">
        <v>42297</v>
      </c>
      <c r="E93" s="157">
        <f>+D93-C93</f>
        <v>-1615</v>
      </c>
      <c r="F93" s="161">
        <f>IF(C93=0,0,E93/C93)</f>
        <v>-3.6778101657861176E-2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74038954</v>
      </c>
      <c r="D95" s="158">
        <f>+D93+D90+D59+D50+D47+D44+D41+D35+D30+D24+D18</f>
        <v>71670098</v>
      </c>
      <c r="E95" s="158">
        <f>+D95-C95</f>
        <v>-2368856</v>
      </c>
      <c r="F95" s="159">
        <f>IF(C95=0,0,E95/C95)</f>
        <v>-3.1994725371187714E-2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1682311</v>
      </c>
      <c r="D103" s="157">
        <v>1480046</v>
      </c>
      <c r="E103" s="157">
        <f t="shared" ref="E103:E121" si="4">D103-C103</f>
        <v>-202265</v>
      </c>
      <c r="F103" s="161">
        <f t="shared" ref="F103:F121" si="5">IF(C103=0,0,E103/C103)</f>
        <v>-0.12023044490584678</v>
      </c>
    </row>
    <row r="104" spans="1:6" ht="15" customHeight="1" x14ac:dyDescent="0.2">
      <c r="A104" s="147">
        <v>2</v>
      </c>
      <c r="B104" s="169" t="s">
        <v>234</v>
      </c>
      <c r="C104" s="157">
        <v>736083</v>
      </c>
      <c r="D104" s="157">
        <v>1114252</v>
      </c>
      <c r="E104" s="157">
        <f t="shared" si="4"/>
        <v>378169</v>
      </c>
      <c r="F104" s="161">
        <f t="shared" si="5"/>
        <v>0.51375863863178473</v>
      </c>
    </row>
    <row r="105" spans="1:6" ht="15" customHeight="1" x14ac:dyDescent="0.2">
      <c r="A105" s="147">
        <v>3</v>
      </c>
      <c r="B105" s="169" t="s">
        <v>235</v>
      </c>
      <c r="C105" s="157">
        <v>380537</v>
      </c>
      <c r="D105" s="157">
        <v>389945</v>
      </c>
      <c r="E105" s="157">
        <f t="shared" si="4"/>
        <v>9408</v>
      </c>
      <c r="F105" s="161">
        <f t="shared" si="5"/>
        <v>2.4722957294560057E-2</v>
      </c>
    </row>
    <row r="106" spans="1:6" ht="15" customHeight="1" x14ac:dyDescent="0.2">
      <c r="A106" s="147">
        <v>4</v>
      </c>
      <c r="B106" s="169" t="s">
        <v>236</v>
      </c>
      <c r="C106" s="157">
        <v>464256</v>
      </c>
      <c r="D106" s="157">
        <v>519323</v>
      </c>
      <c r="E106" s="157">
        <f t="shared" si="4"/>
        <v>55067</v>
      </c>
      <c r="F106" s="161">
        <f t="shared" si="5"/>
        <v>0.11861343741384064</v>
      </c>
    </row>
    <row r="107" spans="1:6" ht="15" customHeight="1" x14ac:dyDescent="0.2">
      <c r="A107" s="147">
        <v>5</v>
      </c>
      <c r="B107" s="169" t="s">
        <v>237</v>
      </c>
      <c r="C107" s="157">
        <v>1856488</v>
      </c>
      <c r="D107" s="157">
        <v>2026852</v>
      </c>
      <c r="E107" s="157">
        <f t="shared" si="4"/>
        <v>170364</v>
      </c>
      <c r="F107" s="161">
        <f t="shared" si="5"/>
        <v>9.1766819930966428E-2</v>
      </c>
    </row>
    <row r="108" spans="1:6" ht="15" customHeight="1" x14ac:dyDescent="0.2">
      <c r="A108" s="147">
        <v>6</v>
      </c>
      <c r="B108" s="169" t="s">
        <v>238</v>
      </c>
      <c r="C108" s="157">
        <v>599842</v>
      </c>
      <c r="D108" s="157">
        <v>534762</v>
      </c>
      <c r="E108" s="157">
        <f t="shared" si="4"/>
        <v>-65080</v>
      </c>
      <c r="F108" s="161">
        <f t="shared" si="5"/>
        <v>-0.1084952370790975</v>
      </c>
    </row>
    <row r="109" spans="1:6" ht="15" customHeight="1" x14ac:dyDescent="0.2">
      <c r="A109" s="147">
        <v>7</v>
      </c>
      <c r="B109" s="169" t="s">
        <v>239</v>
      </c>
      <c r="C109" s="157">
        <v>8118389</v>
      </c>
      <c r="D109" s="157">
        <v>8315989</v>
      </c>
      <c r="E109" s="157">
        <f t="shared" si="4"/>
        <v>197600</v>
      </c>
      <c r="F109" s="161">
        <f t="shared" si="5"/>
        <v>2.4339804362663579E-2</v>
      </c>
    </row>
    <row r="110" spans="1:6" ht="15" customHeight="1" x14ac:dyDescent="0.2">
      <c r="A110" s="147">
        <v>8</v>
      </c>
      <c r="B110" s="169" t="s">
        <v>240</v>
      </c>
      <c r="C110" s="157">
        <v>88803</v>
      </c>
      <c r="D110" s="157">
        <v>86358</v>
      </c>
      <c r="E110" s="157">
        <f t="shared" si="4"/>
        <v>-2445</v>
      </c>
      <c r="F110" s="161">
        <f t="shared" si="5"/>
        <v>-2.753285361981014E-2</v>
      </c>
    </row>
    <row r="111" spans="1:6" ht="15" customHeight="1" x14ac:dyDescent="0.2">
      <c r="A111" s="147">
        <v>9</v>
      </c>
      <c r="B111" s="169" t="s">
        <v>241</v>
      </c>
      <c r="C111" s="157">
        <v>257277</v>
      </c>
      <c r="D111" s="157">
        <v>309598</v>
      </c>
      <c r="E111" s="157">
        <f t="shared" si="4"/>
        <v>52321</v>
      </c>
      <c r="F111" s="161">
        <f t="shared" si="5"/>
        <v>0.20336446709188929</v>
      </c>
    </row>
    <row r="112" spans="1:6" ht="15" customHeight="1" x14ac:dyDescent="0.2">
      <c r="A112" s="147">
        <v>10</v>
      </c>
      <c r="B112" s="169" t="s">
        <v>242</v>
      </c>
      <c r="C112" s="157">
        <v>1090190</v>
      </c>
      <c r="D112" s="157">
        <v>1106360</v>
      </c>
      <c r="E112" s="157">
        <f t="shared" si="4"/>
        <v>16170</v>
      </c>
      <c r="F112" s="161">
        <f t="shared" si="5"/>
        <v>1.4832276942551298E-2</v>
      </c>
    </row>
    <row r="113" spans="1:6" ht="15" customHeight="1" x14ac:dyDescent="0.2">
      <c r="A113" s="147">
        <v>11</v>
      </c>
      <c r="B113" s="169" t="s">
        <v>243</v>
      </c>
      <c r="C113" s="157">
        <v>855721</v>
      </c>
      <c r="D113" s="157">
        <v>863079</v>
      </c>
      <c r="E113" s="157">
        <f t="shared" si="4"/>
        <v>7358</v>
      </c>
      <c r="F113" s="161">
        <f t="shared" si="5"/>
        <v>8.5985969726113994E-3</v>
      </c>
    </row>
    <row r="114" spans="1:6" ht="15" customHeight="1" x14ac:dyDescent="0.2">
      <c r="A114" s="147">
        <v>12</v>
      </c>
      <c r="B114" s="169" t="s">
        <v>244</v>
      </c>
      <c r="C114" s="157">
        <v>347424</v>
      </c>
      <c r="D114" s="157">
        <v>347159</v>
      </c>
      <c r="E114" s="157">
        <f t="shared" si="4"/>
        <v>-265</v>
      </c>
      <c r="F114" s="161">
        <f t="shared" si="5"/>
        <v>-7.6275674679929998E-4</v>
      </c>
    </row>
    <row r="115" spans="1:6" ht="15" customHeight="1" x14ac:dyDescent="0.2">
      <c r="A115" s="147">
        <v>13</v>
      </c>
      <c r="B115" s="169" t="s">
        <v>245</v>
      </c>
      <c r="C115" s="157">
        <v>1126131</v>
      </c>
      <c r="D115" s="157">
        <v>1089326</v>
      </c>
      <c r="E115" s="157">
        <f t="shared" si="4"/>
        <v>-36805</v>
      </c>
      <c r="F115" s="161">
        <f t="shared" si="5"/>
        <v>-3.268269854928068E-2</v>
      </c>
    </row>
    <row r="116" spans="1:6" ht="15" customHeight="1" x14ac:dyDescent="0.2">
      <c r="A116" s="147">
        <v>14</v>
      </c>
      <c r="B116" s="169" t="s">
        <v>246</v>
      </c>
      <c r="C116" s="157">
        <v>343691</v>
      </c>
      <c r="D116" s="157">
        <v>350104</v>
      </c>
      <c r="E116" s="157">
        <f t="shared" si="4"/>
        <v>6413</v>
      </c>
      <c r="F116" s="161">
        <f t="shared" si="5"/>
        <v>1.8659202597682219E-2</v>
      </c>
    </row>
    <row r="117" spans="1:6" ht="15" customHeight="1" x14ac:dyDescent="0.2">
      <c r="A117" s="147">
        <v>15</v>
      </c>
      <c r="B117" s="169" t="s">
        <v>203</v>
      </c>
      <c r="C117" s="157">
        <v>878203</v>
      </c>
      <c r="D117" s="157">
        <v>968761</v>
      </c>
      <c r="E117" s="157">
        <f t="shared" si="4"/>
        <v>90558</v>
      </c>
      <c r="F117" s="161">
        <f t="shared" si="5"/>
        <v>0.10311738857644531</v>
      </c>
    </row>
    <row r="118" spans="1:6" ht="15" customHeight="1" x14ac:dyDescent="0.2">
      <c r="A118" s="147">
        <v>16</v>
      </c>
      <c r="B118" s="169" t="s">
        <v>247</v>
      </c>
      <c r="C118" s="157">
        <v>307510</v>
      </c>
      <c r="D118" s="157">
        <v>146959</v>
      </c>
      <c r="E118" s="157">
        <f t="shared" si="4"/>
        <v>-160551</v>
      </c>
      <c r="F118" s="161">
        <f t="shared" si="5"/>
        <v>-0.52210009430587623</v>
      </c>
    </row>
    <row r="119" spans="1:6" ht="15" customHeight="1" x14ac:dyDescent="0.2">
      <c r="A119" s="147">
        <v>17</v>
      </c>
      <c r="B119" s="169" t="s">
        <v>248</v>
      </c>
      <c r="C119" s="157">
        <v>1950144</v>
      </c>
      <c r="D119" s="157">
        <v>1854992</v>
      </c>
      <c r="E119" s="157">
        <f t="shared" si="4"/>
        <v>-95152</v>
      </c>
      <c r="F119" s="161">
        <f t="shared" si="5"/>
        <v>-4.879229431262512E-2</v>
      </c>
    </row>
    <row r="120" spans="1:6" ht="15" customHeight="1" x14ac:dyDescent="0.2">
      <c r="A120" s="147">
        <v>18</v>
      </c>
      <c r="B120" s="169" t="s">
        <v>249</v>
      </c>
      <c r="C120" s="157">
        <v>13774775</v>
      </c>
      <c r="D120" s="157">
        <v>10426202</v>
      </c>
      <c r="E120" s="157">
        <f t="shared" si="4"/>
        <v>-3348573</v>
      </c>
      <c r="F120" s="161">
        <f t="shared" si="5"/>
        <v>-0.24309456960277029</v>
      </c>
    </row>
    <row r="121" spans="1:6" ht="15.75" customHeight="1" x14ac:dyDescent="0.25">
      <c r="A121" s="147"/>
      <c r="B121" s="165" t="s">
        <v>250</v>
      </c>
      <c r="C121" s="158">
        <f>SUM(C103:C120)</f>
        <v>34857775</v>
      </c>
      <c r="D121" s="158">
        <f>SUM(D103:D120)</f>
        <v>31930067</v>
      </c>
      <c r="E121" s="158">
        <f t="shared" si="4"/>
        <v>-2927708</v>
      </c>
      <c r="F121" s="159">
        <f t="shared" si="5"/>
        <v>-8.3990099769707047E-2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2348543</v>
      </c>
      <c r="D124" s="157">
        <v>2371836</v>
      </c>
      <c r="E124" s="157">
        <f t="shared" ref="E124:E130" si="6">D124-C124</f>
        <v>23293</v>
      </c>
      <c r="F124" s="161">
        <f t="shared" ref="F124:F130" si="7">IF(C124=0,0,E124/C124)</f>
        <v>9.9180640933549009E-3</v>
      </c>
    </row>
    <row r="125" spans="1:6" ht="15" customHeight="1" x14ac:dyDescent="0.2">
      <c r="A125" s="147">
        <v>2</v>
      </c>
      <c r="B125" s="169" t="s">
        <v>253</v>
      </c>
      <c r="C125" s="157">
        <v>0</v>
      </c>
      <c r="D125" s="157">
        <v>0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231304</v>
      </c>
      <c r="D126" s="157">
        <v>260665</v>
      </c>
      <c r="E126" s="157">
        <f t="shared" si="6"/>
        <v>29361</v>
      </c>
      <c r="F126" s="161">
        <f t="shared" si="7"/>
        <v>0.12693684501781205</v>
      </c>
    </row>
    <row r="127" spans="1:6" ht="15" customHeight="1" x14ac:dyDescent="0.2">
      <c r="A127" s="147">
        <v>4</v>
      </c>
      <c r="B127" s="169" t="s">
        <v>255</v>
      </c>
      <c r="C127" s="157">
        <v>838907</v>
      </c>
      <c r="D127" s="157">
        <v>793078</v>
      </c>
      <c r="E127" s="157">
        <f t="shared" si="6"/>
        <v>-45829</v>
      </c>
      <c r="F127" s="161">
        <f t="shared" si="7"/>
        <v>-5.4629416609946038E-2</v>
      </c>
    </row>
    <row r="128" spans="1:6" ht="15" customHeight="1" x14ac:dyDescent="0.2">
      <c r="A128" s="147">
        <v>5</v>
      </c>
      <c r="B128" s="169" t="s">
        <v>256</v>
      </c>
      <c r="C128" s="157">
        <v>41862</v>
      </c>
      <c r="D128" s="157">
        <v>46575</v>
      </c>
      <c r="E128" s="157">
        <f t="shared" si="6"/>
        <v>4713</v>
      </c>
      <c r="F128" s="161">
        <f t="shared" si="7"/>
        <v>0.11258420524580766</v>
      </c>
    </row>
    <row r="129" spans="1:6" ht="15" customHeight="1" x14ac:dyDescent="0.2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25">
      <c r="A130" s="147"/>
      <c r="B130" s="165" t="s">
        <v>258</v>
      </c>
      <c r="C130" s="158">
        <f>SUM(C124:C129)</f>
        <v>3460616</v>
      </c>
      <c r="D130" s="158">
        <f>SUM(D124:D129)</f>
        <v>3472154</v>
      </c>
      <c r="E130" s="158">
        <f t="shared" si="6"/>
        <v>11538</v>
      </c>
      <c r="F130" s="159">
        <f t="shared" si="7"/>
        <v>3.3340884975391664E-3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8708603</v>
      </c>
      <c r="D133" s="157">
        <v>7683512</v>
      </c>
      <c r="E133" s="157">
        <f t="shared" ref="E133:E167" si="8">D133-C133</f>
        <v>-1025091</v>
      </c>
      <c r="F133" s="161">
        <f t="shared" ref="F133:F167" si="9">IF(C133=0,0,E133/C133)</f>
        <v>-0.11771015397073446</v>
      </c>
    </row>
    <row r="134" spans="1:6" ht="15" customHeight="1" x14ac:dyDescent="0.2">
      <c r="A134" s="147">
        <v>2</v>
      </c>
      <c r="B134" s="169" t="s">
        <v>261</v>
      </c>
      <c r="C134" s="157">
        <v>443111</v>
      </c>
      <c r="D134" s="157">
        <v>416312</v>
      </c>
      <c r="E134" s="157">
        <f t="shared" si="8"/>
        <v>-26799</v>
      </c>
      <c r="F134" s="161">
        <f t="shared" si="9"/>
        <v>-6.0479202727984634E-2</v>
      </c>
    </row>
    <row r="135" spans="1:6" ht="15" customHeight="1" x14ac:dyDescent="0.2">
      <c r="A135" s="147">
        <v>3</v>
      </c>
      <c r="B135" s="169" t="s">
        <v>262</v>
      </c>
      <c r="C135" s="157">
        <v>242021</v>
      </c>
      <c r="D135" s="157">
        <v>226229</v>
      </c>
      <c r="E135" s="157">
        <f t="shared" si="8"/>
        <v>-15792</v>
      </c>
      <c r="F135" s="161">
        <f t="shared" si="9"/>
        <v>-6.5250536110502813E-2</v>
      </c>
    </row>
    <row r="136" spans="1:6" ht="15" customHeight="1" x14ac:dyDescent="0.2">
      <c r="A136" s="147">
        <v>4</v>
      </c>
      <c r="B136" s="169" t="s">
        <v>263</v>
      </c>
      <c r="C136" s="157">
        <v>351676</v>
      </c>
      <c r="D136" s="157">
        <v>321853</v>
      </c>
      <c r="E136" s="157">
        <f t="shared" si="8"/>
        <v>-29823</v>
      </c>
      <c r="F136" s="161">
        <f t="shared" si="9"/>
        <v>-8.4802488654329558E-2</v>
      </c>
    </row>
    <row r="137" spans="1:6" ht="15" customHeight="1" x14ac:dyDescent="0.2">
      <c r="A137" s="147">
        <v>5</v>
      </c>
      <c r="B137" s="169" t="s">
        <v>264</v>
      </c>
      <c r="C137" s="157">
        <v>3086801</v>
      </c>
      <c r="D137" s="157">
        <v>3972846</v>
      </c>
      <c r="E137" s="157">
        <f t="shared" si="8"/>
        <v>886045</v>
      </c>
      <c r="F137" s="161">
        <f t="shared" si="9"/>
        <v>0.28704312328523929</v>
      </c>
    </row>
    <row r="138" spans="1:6" ht="15" customHeight="1" x14ac:dyDescent="0.2">
      <c r="A138" s="147">
        <v>6</v>
      </c>
      <c r="B138" s="169" t="s">
        <v>265</v>
      </c>
      <c r="C138" s="157">
        <v>410065</v>
      </c>
      <c r="D138" s="157">
        <v>460624</v>
      </c>
      <c r="E138" s="157">
        <f t="shared" si="8"/>
        <v>50559</v>
      </c>
      <c r="F138" s="161">
        <f t="shared" si="9"/>
        <v>0.12329508736419836</v>
      </c>
    </row>
    <row r="139" spans="1:6" ht="15" customHeight="1" x14ac:dyDescent="0.2">
      <c r="A139" s="147">
        <v>7</v>
      </c>
      <c r="B139" s="169" t="s">
        <v>266</v>
      </c>
      <c r="C139" s="157">
        <v>0</v>
      </c>
      <c r="D139" s="157">
        <v>0</v>
      </c>
      <c r="E139" s="157">
        <f t="shared" si="8"/>
        <v>0</v>
      </c>
      <c r="F139" s="161">
        <f t="shared" si="9"/>
        <v>0</v>
      </c>
    </row>
    <row r="140" spans="1:6" ht="15" customHeight="1" x14ac:dyDescent="0.2">
      <c r="A140" s="147">
        <v>8</v>
      </c>
      <c r="B140" s="169" t="s">
        <v>267</v>
      </c>
      <c r="C140" s="157">
        <v>281045</v>
      </c>
      <c r="D140" s="157">
        <v>308784</v>
      </c>
      <c r="E140" s="157">
        <f t="shared" si="8"/>
        <v>27739</v>
      </c>
      <c r="F140" s="161">
        <f t="shared" si="9"/>
        <v>9.8699496521909305E-2</v>
      </c>
    </row>
    <row r="141" spans="1:6" ht="15" customHeight="1" x14ac:dyDescent="0.2">
      <c r="A141" s="147">
        <v>9</v>
      </c>
      <c r="B141" s="169" t="s">
        <v>268</v>
      </c>
      <c r="C141" s="157">
        <v>331161</v>
      </c>
      <c r="D141" s="157">
        <v>318338</v>
      </c>
      <c r="E141" s="157">
        <f t="shared" si="8"/>
        <v>-12823</v>
      </c>
      <c r="F141" s="161">
        <f t="shared" si="9"/>
        <v>-3.8721347018519696E-2</v>
      </c>
    </row>
    <row r="142" spans="1:6" ht="15" customHeight="1" x14ac:dyDescent="0.2">
      <c r="A142" s="147">
        <v>10</v>
      </c>
      <c r="B142" s="169" t="s">
        <v>269</v>
      </c>
      <c r="C142" s="157">
        <v>3190948</v>
      </c>
      <c r="D142" s="157">
        <v>3066541</v>
      </c>
      <c r="E142" s="157">
        <f t="shared" si="8"/>
        <v>-124407</v>
      </c>
      <c r="F142" s="161">
        <f t="shared" si="9"/>
        <v>-3.89874733151402E-2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1399205</v>
      </c>
      <c r="D144" s="157">
        <v>1370816</v>
      </c>
      <c r="E144" s="157">
        <f t="shared" si="8"/>
        <v>-28389</v>
      </c>
      <c r="F144" s="161">
        <f t="shared" si="9"/>
        <v>-2.0289378611425775E-2</v>
      </c>
    </row>
    <row r="145" spans="1:6" ht="15" customHeight="1" x14ac:dyDescent="0.2">
      <c r="A145" s="147">
        <v>13</v>
      </c>
      <c r="B145" s="169" t="s">
        <v>272</v>
      </c>
      <c r="C145" s="157">
        <v>100963</v>
      </c>
      <c r="D145" s="157">
        <v>80889</v>
      </c>
      <c r="E145" s="157">
        <f t="shared" si="8"/>
        <v>-20074</v>
      </c>
      <c r="F145" s="161">
        <f t="shared" si="9"/>
        <v>-0.19882531224309896</v>
      </c>
    </row>
    <row r="146" spans="1:6" ht="15" customHeight="1" x14ac:dyDescent="0.2">
      <c r="A146" s="147">
        <v>14</v>
      </c>
      <c r="B146" s="169" t="s">
        <v>273</v>
      </c>
      <c r="C146" s="157">
        <v>14332</v>
      </c>
      <c r="D146" s="157">
        <v>17412</v>
      </c>
      <c r="E146" s="157">
        <f t="shared" si="8"/>
        <v>3080</v>
      </c>
      <c r="F146" s="161">
        <f t="shared" si="9"/>
        <v>0.21490371197320682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36979</v>
      </c>
      <c r="D148" s="157">
        <v>44791</v>
      </c>
      <c r="E148" s="157">
        <f t="shared" si="8"/>
        <v>7812</v>
      </c>
      <c r="F148" s="161">
        <f t="shared" si="9"/>
        <v>0.21125503664241868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0</v>
      </c>
      <c r="D150" s="157">
        <v>0</v>
      </c>
      <c r="E150" s="157">
        <f t="shared" si="8"/>
        <v>0</v>
      </c>
      <c r="F150" s="161">
        <f t="shared" si="9"/>
        <v>0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0</v>
      </c>
      <c r="D152" s="157">
        <v>0</v>
      </c>
      <c r="E152" s="157">
        <f t="shared" si="8"/>
        <v>0</v>
      </c>
      <c r="F152" s="161">
        <f t="shared" si="9"/>
        <v>0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117450</v>
      </c>
      <c r="D155" s="157">
        <v>107914</v>
      </c>
      <c r="E155" s="157">
        <f t="shared" si="8"/>
        <v>-9536</v>
      </c>
      <c r="F155" s="161">
        <f t="shared" si="9"/>
        <v>-8.1191996594295449E-2</v>
      </c>
    </row>
    <row r="156" spans="1:6" ht="15" customHeight="1" x14ac:dyDescent="0.2">
      <c r="A156" s="147">
        <v>24</v>
      </c>
      <c r="B156" s="169" t="s">
        <v>283</v>
      </c>
      <c r="C156" s="157">
        <v>5369695</v>
      </c>
      <c r="D156" s="157">
        <v>6397785</v>
      </c>
      <c r="E156" s="157">
        <f t="shared" si="8"/>
        <v>1028090</v>
      </c>
      <c r="F156" s="161">
        <f t="shared" si="9"/>
        <v>0.1914615262133138</v>
      </c>
    </row>
    <row r="157" spans="1:6" ht="15" customHeight="1" x14ac:dyDescent="0.2">
      <c r="A157" s="147">
        <v>25</v>
      </c>
      <c r="B157" s="169" t="s">
        <v>284</v>
      </c>
      <c r="C157" s="157">
        <v>198592</v>
      </c>
      <c r="D157" s="157">
        <v>204429</v>
      </c>
      <c r="E157" s="157">
        <f t="shared" si="8"/>
        <v>5837</v>
      </c>
      <c r="F157" s="161">
        <f t="shared" si="9"/>
        <v>2.9391919110538189E-2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971607</v>
      </c>
      <c r="D160" s="157">
        <v>858828</v>
      </c>
      <c r="E160" s="157">
        <f t="shared" si="8"/>
        <v>-112779</v>
      </c>
      <c r="F160" s="161">
        <f t="shared" si="9"/>
        <v>-0.11607470921885084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1551119</v>
      </c>
      <c r="D164" s="157">
        <v>994571</v>
      </c>
      <c r="E164" s="157">
        <f t="shared" si="8"/>
        <v>-556548</v>
      </c>
      <c r="F164" s="161">
        <f t="shared" si="9"/>
        <v>-0.35880419232824817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1185857</v>
      </c>
      <c r="D166" s="157">
        <v>1434301</v>
      </c>
      <c r="E166" s="157">
        <f t="shared" si="8"/>
        <v>248444</v>
      </c>
      <c r="F166" s="161">
        <f t="shared" si="9"/>
        <v>0.20950586790818793</v>
      </c>
    </row>
    <row r="167" spans="1:6" ht="15.75" customHeight="1" x14ac:dyDescent="0.25">
      <c r="A167" s="147"/>
      <c r="B167" s="165" t="s">
        <v>294</v>
      </c>
      <c r="C167" s="158">
        <f>SUM(C133:C166)</f>
        <v>27991230</v>
      </c>
      <c r="D167" s="158">
        <f>SUM(D133:D166)</f>
        <v>28286775</v>
      </c>
      <c r="E167" s="158">
        <f t="shared" si="8"/>
        <v>295545</v>
      </c>
      <c r="F167" s="159">
        <f t="shared" si="9"/>
        <v>1.0558485639966518E-2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4585481</v>
      </c>
      <c r="D170" s="157">
        <v>4614927</v>
      </c>
      <c r="E170" s="157">
        <f t="shared" ref="E170:E183" si="10">D170-C170</f>
        <v>29446</v>
      </c>
      <c r="F170" s="161">
        <f t="shared" ref="F170:F183" si="11">IF(C170=0,0,E170/C170)</f>
        <v>6.4215727859301998E-3</v>
      </c>
    </row>
    <row r="171" spans="1:6" ht="15" customHeight="1" x14ac:dyDescent="0.2">
      <c r="A171" s="147">
        <v>2</v>
      </c>
      <c r="B171" s="169" t="s">
        <v>297</v>
      </c>
      <c r="C171" s="157">
        <v>2161921</v>
      </c>
      <c r="D171" s="157">
        <v>2288381</v>
      </c>
      <c r="E171" s="157">
        <f t="shared" si="10"/>
        <v>126460</v>
      </c>
      <c r="F171" s="161">
        <f t="shared" si="11"/>
        <v>5.849427430512031E-2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0</v>
      </c>
      <c r="D173" s="157">
        <v>0</v>
      </c>
      <c r="E173" s="157">
        <f t="shared" si="10"/>
        <v>0</v>
      </c>
      <c r="F173" s="161">
        <f t="shared" si="11"/>
        <v>0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577825</v>
      </c>
      <c r="D179" s="157">
        <v>564606</v>
      </c>
      <c r="E179" s="157">
        <f t="shared" si="10"/>
        <v>-13219</v>
      </c>
      <c r="F179" s="161">
        <f t="shared" si="11"/>
        <v>-2.2877168692943366E-2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404106</v>
      </c>
      <c r="D182" s="157">
        <v>513188</v>
      </c>
      <c r="E182" s="157">
        <f t="shared" si="10"/>
        <v>109082</v>
      </c>
      <c r="F182" s="161">
        <f t="shared" si="11"/>
        <v>0.26993412619461232</v>
      </c>
    </row>
    <row r="183" spans="1:6" ht="15.75" customHeight="1" x14ac:dyDescent="0.25">
      <c r="A183" s="147"/>
      <c r="B183" s="165" t="s">
        <v>309</v>
      </c>
      <c r="C183" s="158">
        <f>SUM(C170:C182)</f>
        <v>7729333</v>
      </c>
      <c r="D183" s="158">
        <f>SUM(D170:D182)</f>
        <v>7981102</v>
      </c>
      <c r="E183" s="158">
        <f t="shared" si="10"/>
        <v>251769</v>
      </c>
      <c r="F183" s="159">
        <f t="shared" si="11"/>
        <v>3.257318581047032E-2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0</v>
      </c>
      <c r="D186" s="157">
        <v>0</v>
      </c>
      <c r="E186" s="157">
        <f>D186-C186</f>
        <v>0</v>
      </c>
      <c r="F186" s="161">
        <f>IF(C186=0,0,E186/C186)</f>
        <v>0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74038954</v>
      </c>
      <c r="D188" s="158">
        <f>+D186+D183+D167+D130+D121</f>
        <v>71670098</v>
      </c>
      <c r="E188" s="158">
        <f>D188-C188</f>
        <v>-2368856</v>
      </c>
      <c r="F188" s="159">
        <f>IF(C188=0,0,E188/C188)</f>
        <v>-3.1994725371187714E-2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63387116</v>
      </c>
      <c r="D11" s="183">
        <v>67847638</v>
      </c>
      <c r="E11" s="76">
        <v>68910644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4793055</v>
      </c>
      <c r="D12" s="185">
        <v>6871608</v>
      </c>
      <c r="E12" s="185">
        <v>6078316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68180171</v>
      </c>
      <c r="D13" s="76">
        <f>+D11+D12</f>
        <v>74719246</v>
      </c>
      <c r="E13" s="76">
        <f>+E11+E12</f>
        <v>74988960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68017199</v>
      </c>
      <c r="D14" s="185">
        <v>74038954</v>
      </c>
      <c r="E14" s="185">
        <v>71670098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162972</v>
      </c>
      <c r="D15" s="76">
        <f>+D13-D14</f>
        <v>680292</v>
      </c>
      <c r="E15" s="76">
        <f>+E13-E14</f>
        <v>3318862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-855256</v>
      </c>
      <c r="D16" s="185">
        <v>-179961</v>
      </c>
      <c r="E16" s="185">
        <v>-660236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-692284</v>
      </c>
      <c r="D17" s="76">
        <f>D15+D16</f>
        <v>500331</v>
      </c>
      <c r="E17" s="76">
        <f>E15+E16</f>
        <v>2658626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2.4206788824018568E-3</v>
      </c>
      <c r="D20" s="189">
        <f>IF(+D27=0,0,+D24/+D27)</f>
        <v>9.1266236320887706E-3</v>
      </c>
      <c r="E20" s="189">
        <f>IF(+E27=0,0,+E24/+E27)</f>
        <v>4.4651136483925109E-2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-1.270341002287192E-2</v>
      </c>
      <c r="D21" s="189">
        <f>IF(D27=0,0,+D26/D27)</f>
        <v>-2.4143107892703828E-3</v>
      </c>
      <c r="E21" s="189">
        <f>IF(E27=0,0,+E26/E27)</f>
        <v>-8.8826494586399726E-3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-1.0282731140470062E-2</v>
      </c>
      <c r="D22" s="189">
        <f>IF(D27=0,0,+D28/D27)</f>
        <v>6.7123128428183878E-3</v>
      </c>
      <c r="E22" s="189">
        <f>IF(E27=0,0,+E28/E27)</f>
        <v>3.5768487025285137E-2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162972</v>
      </c>
      <c r="D24" s="76">
        <f>+D15</f>
        <v>680292</v>
      </c>
      <c r="E24" s="76">
        <f>+E15</f>
        <v>3318862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68180171</v>
      </c>
      <c r="D25" s="76">
        <f>+D13</f>
        <v>74719246</v>
      </c>
      <c r="E25" s="76">
        <f>+E13</f>
        <v>74988960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-855256</v>
      </c>
      <c r="D26" s="76">
        <f>+D16</f>
        <v>-179961</v>
      </c>
      <c r="E26" s="76">
        <f>+E16</f>
        <v>-660236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67324915</v>
      </c>
      <c r="D27" s="76">
        <f>+D25+D26</f>
        <v>74539285</v>
      </c>
      <c r="E27" s="76">
        <f>+E25+E26</f>
        <v>74328724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-692284</v>
      </c>
      <c r="D28" s="76">
        <f>+D17</f>
        <v>500331</v>
      </c>
      <c r="E28" s="76">
        <f>+E17</f>
        <v>2658626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24688727</v>
      </c>
      <c r="D31" s="76">
        <v>17066097</v>
      </c>
      <c r="E31" s="76">
        <v>26773989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29017364</v>
      </c>
      <c r="D32" s="76">
        <v>21315011</v>
      </c>
      <c r="E32" s="76">
        <v>31052463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-9647267</v>
      </c>
      <c r="D33" s="76">
        <f>+D32-C32</f>
        <v>-7702353</v>
      </c>
      <c r="E33" s="76">
        <f>+E32-D32</f>
        <v>9737452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0.75039999999999996</v>
      </c>
      <c r="D34" s="193">
        <f>IF(C32=0,0,+D33/C32)</f>
        <v>-0.26543944515428763</v>
      </c>
      <c r="E34" s="193">
        <f>IF(D32=0,0,+E33/D32)</f>
        <v>0.45683541988319876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0.44494748811402574</v>
      </c>
      <c r="D38" s="195">
        <f>IF((D40+D41)=0,0,+D39/(D40+D41))</f>
        <v>0.37980204113753324</v>
      </c>
      <c r="E38" s="195">
        <f>IF((E40+E41)=0,0,+E39/(E40+E41))</f>
        <v>0.3133215685114204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68017199</v>
      </c>
      <c r="D39" s="76">
        <v>74038954</v>
      </c>
      <c r="E39" s="196">
        <v>71670098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148072622</v>
      </c>
      <c r="D40" s="76">
        <v>188069298</v>
      </c>
      <c r="E40" s="196">
        <v>222664628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4793055</v>
      </c>
      <c r="D41" s="76">
        <v>6871608</v>
      </c>
      <c r="E41" s="196">
        <v>6078316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1.309363060306981</v>
      </c>
      <c r="D43" s="197">
        <f>IF(D38=0,0,IF((D46-D47)=0,0,((+D44-D45)/(D46-D47)/D38)))</f>
        <v>1.3668487643880496</v>
      </c>
      <c r="E43" s="197">
        <f>IF(E38=0,0,IF((E46-E47)=0,0,((+E44-E45)/(E46-E47)/E38)))</f>
        <v>1.4787409139183127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31151713</v>
      </c>
      <c r="D44" s="76">
        <v>33998505</v>
      </c>
      <c r="E44" s="196">
        <v>35414192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188102</v>
      </c>
      <c r="D45" s="76">
        <v>257134</v>
      </c>
      <c r="E45" s="196">
        <v>177307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57080304</v>
      </c>
      <c r="D46" s="76">
        <v>70753155</v>
      </c>
      <c r="E46" s="196">
        <v>81627015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3932814</v>
      </c>
      <c r="D47" s="76">
        <v>5757404</v>
      </c>
      <c r="E47" s="76">
        <v>5574229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0.76174930624302095</v>
      </c>
      <c r="D49" s="198">
        <f>IF(D38=0,0,IF(D51=0,0,(D50/D51)/D38))</f>
        <v>0.76185022561841642</v>
      </c>
      <c r="E49" s="198">
        <f>IF(E38=0,0,IF(E51=0,0,(E50/E51)/E38))</f>
        <v>0.82695748202529296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22836214</v>
      </c>
      <c r="D50" s="199">
        <v>24986318</v>
      </c>
      <c r="E50" s="199">
        <v>26977415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67375698</v>
      </c>
      <c r="D51" s="199">
        <v>86352590</v>
      </c>
      <c r="E51" s="199">
        <v>104118250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0.55656466994602161</v>
      </c>
      <c r="D53" s="198">
        <f>IF(D38=0,0,IF(D55=0,0,(D54/D55)/D38))</f>
        <v>0.51550392753860141</v>
      </c>
      <c r="E53" s="198">
        <f>IF(E38=0,0,IF(E55=0,0,(E54/E55)/E38))</f>
        <v>0.6539222924883562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5725063</v>
      </c>
      <c r="D54" s="199">
        <v>5921881</v>
      </c>
      <c r="E54" s="199">
        <v>7390717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23118299</v>
      </c>
      <c r="D55" s="199">
        <v>30246171</v>
      </c>
      <c r="E55" s="199">
        <v>36071993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1667217.7930157664</v>
      </c>
      <c r="D57" s="88">
        <f>+D60*D38</f>
        <v>2089937.0715695452</v>
      </c>
      <c r="E57" s="88">
        <f>+E60*E38</f>
        <v>1691617.1952833571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821721</v>
      </c>
      <c r="D58" s="199">
        <v>2192753</v>
      </c>
      <c r="E58" s="199">
        <v>1271767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2925278</v>
      </c>
      <c r="D59" s="199">
        <v>3309948</v>
      </c>
      <c r="E59" s="199">
        <v>4127214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3746999</v>
      </c>
      <c r="D60" s="76">
        <v>5502701</v>
      </c>
      <c r="E60" s="201">
        <v>5398981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2.4511709060759272E-2</v>
      </c>
      <c r="D62" s="202">
        <f>IF(D63=0,0,+D57/D63)</f>
        <v>2.8227533732709746E-2</v>
      </c>
      <c r="E62" s="202">
        <f>IF(E63=0,0,+E57/E63)</f>
        <v>2.3602830782837175E-2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68017199</v>
      </c>
      <c r="D63" s="199">
        <v>74038954</v>
      </c>
      <c r="E63" s="199">
        <v>71670098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1.4533583468070208</v>
      </c>
      <c r="D67" s="203">
        <f>IF(D69=0,0,D68/D69)</f>
        <v>1.1980512439745901</v>
      </c>
      <c r="E67" s="203">
        <f>IF(E69=0,0,E68/E69)</f>
        <v>1.3141824537748927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19531911</v>
      </c>
      <c r="D68" s="204">
        <v>16264552</v>
      </c>
      <c r="E68" s="204">
        <v>13879554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13439157</v>
      </c>
      <c r="D69" s="204">
        <v>13575840</v>
      </c>
      <c r="E69" s="204">
        <v>10561360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26.884813811667627</v>
      </c>
      <c r="D71" s="203">
        <f>IF((D77/365)=0,0,+D74/(D77/365))</f>
        <v>7.6081190964125174</v>
      </c>
      <c r="E71" s="203">
        <f>IF((E77/365)=0,0,+E74/(E77/365))</f>
        <v>5.6771231133213629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4739454</v>
      </c>
      <c r="D72" s="183">
        <v>1463823</v>
      </c>
      <c r="E72" s="183">
        <v>1059290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4739454</v>
      </c>
      <c r="D74" s="204">
        <f>+D72+D73</f>
        <v>1463823</v>
      </c>
      <c r="E74" s="204">
        <f>+E72+E73</f>
        <v>1059290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68017199</v>
      </c>
      <c r="D75" s="204">
        <f>+D14</f>
        <v>74038954</v>
      </c>
      <c r="E75" s="204">
        <f>+E14</f>
        <v>71670098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3672297</v>
      </c>
      <c r="D76" s="204">
        <v>3811952</v>
      </c>
      <c r="E76" s="204">
        <v>3565031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64344902</v>
      </c>
      <c r="D77" s="204">
        <f>+D75-D76</f>
        <v>70227002</v>
      </c>
      <c r="E77" s="204">
        <f>+E75-E76</f>
        <v>68105067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55.062130370468346</v>
      </c>
      <c r="D79" s="203">
        <f>IF((D84/365)=0,0,+D83/(D84/365))</f>
        <v>57.321934405439436</v>
      </c>
      <c r="E79" s="203">
        <f>IF((E84/365)=0,0,+E83/(E84/365))</f>
        <v>50.922855836320437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10246785</v>
      </c>
      <c r="D80" s="212">
        <v>10959585</v>
      </c>
      <c r="E80" s="212">
        <v>10269970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853555</v>
      </c>
      <c r="E81" s="212">
        <v>384274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684512</v>
      </c>
      <c r="D82" s="212">
        <v>1157913</v>
      </c>
      <c r="E82" s="212">
        <v>1040198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9562273</v>
      </c>
      <c r="D83" s="212">
        <f>+D80+D81-D82</f>
        <v>10655227</v>
      </c>
      <c r="E83" s="212">
        <f>+E80+E81-E82</f>
        <v>9614046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63387116</v>
      </c>
      <c r="D84" s="204">
        <f>+D11</f>
        <v>67847638</v>
      </c>
      <c r="E84" s="204">
        <f>+E11</f>
        <v>68910644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76.234358162516116</v>
      </c>
      <c r="D86" s="203">
        <f>IF((D90/365)=0,0,+D87/(D90/365))</f>
        <v>70.559492202158935</v>
      </c>
      <c r="E86" s="203">
        <f>IF((E90/365)=0,0,+E87/(E90/365))</f>
        <v>56.602196720546509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13439157</v>
      </c>
      <c r="D87" s="76">
        <f>+D69</f>
        <v>13575840</v>
      </c>
      <c r="E87" s="76">
        <f>+E69</f>
        <v>10561360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68017199</v>
      </c>
      <c r="D88" s="76">
        <f t="shared" si="0"/>
        <v>74038954</v>
      </c>
      <c r="E88" s="76">
        <f t="shared" si="0"/>
        <v>71670098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3672297</v>
      </c>
      <c r="D89" s="201">
        <f t="shared" si="0"/>
        <v>3811952</v>
      </c>
      <c r="E89" s="201">
        <f t="shared" si="0"/>
        <v>3565031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64344902</v>
      </c>
      <c r="D90" s="76">
        <f>+D88-D89</f>
        <v>70227002</v>
      </c>
      <c r="E90" s="76">
        <f>+E88-E89</f>
        <v>68105067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35.218011588360945</v>
      </c>
      <c r="D94" s="214">
        <f>IF(D96=0,0,(D95/D96)*100)</f>
        <v>26.687540323174865</v>
      </c>
      <c r="E94" s="214">
        <f>IF(E96=0,0,(E95/E96)*100)</f>
        <v>40.568198983030044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29017364</v>
      </c>
      <c r="D95" s="76">
        <f>+D32</f>
        <v>21315011</v>
      </c>
      <c r="E95" s="76">
        <f>+E32</f>
        <v>31052463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82393533</v>
      </c>
      <c r="D96" s="76">
        <v>79868773</v>
      </c>
      <c r="E96" s="76">
        <v>76543854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7.5828325420164697</v>
      </c>
      <c r="D98" s="214">
        <f>IF(D104=0,0,(D101/D104)*100)</f>
        <v>11.357102005260796</v>
      </c>
      <c r="E98" s="214">
        <f>IF(E104=0,0,(E101/E104)*100)</f>
        <v>18.261575334294154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-692284</v>
      </c>
      <c r="D99" s="76">
        <f>+D28</f>
        <v>500331</v>
      </c>
      <c r="E99" s="76">
        <f>+E28</f>
        <v>2658626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3672297</v>
      </c>
      <c r="D100" s="201">
        <f>+D76</f>
        <v>3811952</v>
      </c>
      <c r="E100" s="201">
        <f>+E76</f>
        <v>3565031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2980013</v>
      </c>
      <c r="D101" s="76">
        <f>+D99+D100</f>
        <v>4312283</v>
      </c>
      <c r="E101" s="76">
        <f>+E99+E100</f>
        <v>6223657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13439157</v>
      </c>
      <c r="D102" s="204">
        <f>+D69</f>
        <v>13575840</v>
      </c>
      <c r="E102" s="204">
        <f>+E69</f>
        <v>10561360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25860313</v>
      </c>
      <c r="D103" s="216">
        <v>24394084</v>
      </c>
      <c r="E103" s="216">
        <v>23519254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39299470</v>
      </c>
      <c r="D104" s="204">
        <f>+D102+D103</f>
        <v>37969924</v>
      </c>
      <c r="E104" s="204">
        <f>+E102+E103</f>
        <v>34080614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47.123556268608091</v>
      </c>
      <c r="D106" s="214">
        <f>IF(D109=0,0,(D107/D109)*100)</f>
        <v>53.368118533084065</v>
      </c>
      <c r="E106" s="214">
        <f>IF(E109=0,0,(E107/E109)*100)</f>
        <v>43.097881637112501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25860313</v>
      </c>
      <c r="D107" s="204">
        <f>+D103</f>
        <v>24394084</v>
      </c>
      <c r="E107" s="204">
        <f>+E103</f>
        <v>23519254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29017364</v>
      </c>
      <c r="D108" s="204">
        <f>+D32</f>
        <v>21315011</v>
      </c>
      <c r="E108" s="204">
        <f>+E32</f>
        <v>31052463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54877677</v>
      </c>
      <c r="D109" s="204">
        <f>+D107+D108</f>
        <v>45709095</v>
      </c>
      <c r="E109" s="204">
        <f>+E107+E108</f>
        <v>54571717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0.22706536867079105</v>
      </c>
      <c r="D111" s="214">
        <f>IF((+D113+D115)=0,0,((+D112+D113+D114)/(+D113+D115)))</f>
        <v>1.6568190552022752</v>
      </c>
      <c r="E111" s="214">
        <f>IF((+E113+E115)=0,0,((+E112+E113+E114)/(+E113+E115)))</f>
        <v>3.5257543585928954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-692284</v>
      </c>
      <c r="D112" s="76">
        <f>+D17</f>
        <v>500331</v>
      </c>
      <c r="E112" s="76">
        <f>+E17</f>
        <v>2658626</v>
      </c>
    </row>
    <row r="113" spans="1:8" ht="24" customHeight="1" x14ac:dyDescent="0.2">
      <c r="A113" s="85">
        <v>17</v>
      </c>
      <c r="B113" s="75" t="s">
        <v>88</v>
      </c>
      <c r="C113" s="218">
        <v>1115177</v>
      </c>
      <c r="D113" s="76">
        <v>719107</v>
      </c>
      <c r="E113" s="76">
        <v>682298</v>
      </c>
    </row>
    <row r="114" spans="1:8" ht="24" customHeight="1" x14ac:dyDescent="0.2">
      <c r="A114" s="85">
        <v>18</v>
      </c>
      <c r="B114" s="75" t="s">
        <v>374</v>
      </c>
      <c r="C114" s="218">
        <v>3672297</v>
      </c>
      <c r="D114" s="76">
        <v>3811952</v>
      </c>
      <c r="E114" s="76">
        <v>3565031</v>
      </c>
    </row>
    <row r="115" spans="1:8" ht="24" customHeight="1" x14ac:dyDescent="0.2">
      <c r="A115" s="85">
        <v>19</v>
      </c>
      <c r="B115" s="75" t="s">
        <v>104</v>
      </c>
      <c r="C115" s="218">
        <v>16920114</v>
      </c>
      <c r="D115" s="76">
        <v>2317670</v>
      </c>
      <c r="E115" s="76">
        <v>1276419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16.185260614814108</v>
      </c>
      <c r="D119" s="214">
        <f>IF(+D121=0,0,(+D120)/(+D121))</f>
        <v>16.565405335639063</v>
      </c>
      <c r="E119" s="214">
        <f>IF(+E121=0,0,(+E120)/(+E121))</f>
        <v>16.288979534820314</v>
      </c>
    </row>
    <row r="120" spans="1:8" ht="24" customHeight="1" x14ac:dyDescent="0.2">
      <c r="A120" s="85">
        <v>21</v>
      </c>
      <c r="B120" s="75" t="s">
        <v>378</v>
      </c>
      <c r="C120" s="218">
        <v>59437084</v>
      </c>
      <c r="D120" s="218">
        <v>63146530</v>
      </c>
      <c r="E120" s="218">
        <v>58070717</v>
      </c>
    </row>
    <row r="121" spans="1:8" ht="24" customHeight="1" x14ac:dyDescent="0.2">
      <c r="A121" s="85">
        <v>22</v>
      </c>
      <c r="B121" s="75" t="s">
        <v>374</v>
      </c>
      <c r="C121" s="218">
        <v>3672297</v>
      </c>
      <c r="D121" s="218">
        <v>3811952</v>
      </c>
      <c r="E121" s="218">
        <v>3565031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12370</v>
      </c>
      <c r="D124" s="218">
        <v>13056</v>
      </c>
      <c r="E124" s="218">
        <v>12325</v>
      </c>
    </row>
    <row r="125" spans="1:8" ht="24" customHeight="1" x14ac:dyDescent="0.2">
      <c r="A125" s="85">
        <v>2</v>
      </c>
      <c r="B125" s="75" t="s">
        <v>381</v>
      </c>
      <c r="C125" s="218">
        <v>2515</v>
      </c>
      <c r="D125" s="218">
        <v>2519</v>
      </c>
      <c r="E125" s="218">
        <v>2567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4.9184890656063622</v>
      </c>
      <c r="D126" s="219">
        <f>IF(D125=0,0,D124/D125)</f>
        <v>5.1830091306073838</v>
      </c>
      <c r="E126" s="219">
        <f>IF(E125=0,0,E124/E125)</f>
        <v>4.8013245033112586</v>
      </c>
    </row>
    <row r="127" spans="1:8" ht="24" customHeight="1" x14ac:dyDescent="0.2">
      <c r="A127" s="85">
        <v>4</v>
      </c>
      <c r="B127" s="75" t="s">
        <v>383</v>
      </c>
      <c r="C127" s="218">
        <v>66</v>
      </c>
      <c r="D127" s="218">
        <v>47</v>
      </c>
      <c r="E127" s="218">
        <v>47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118</v>
      </c>
      <c r="E128" s="218">
        <v>118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118</v>
      </c>
      <c r="D129" s="218">
        <v>118</v>
      </c>
      <c r="E129" s="218">
        <v>118</v>
      </c>
    </row>
    <row r="130" spans="1:7" ht="24" customHeight="1" x14ac:dyDescent="0.2">
      <c r="A130" s="85">
        <v>7</v>
      </c>
      <c r="B130" s="75" t="s">
        <v>386</v>
      </c>
      <c r="C130" s="193">
        <v>0.51339999999999997</v>
      </c>
      <c r="D130" s="193">
        <v>0.76100000000000001</v>
      </c>
      <c r="E130" s="193">
        <v>0.71840000000000004</v>
      </c>
    </row>
    <row r="131" spans="1:7" ht="24" customHeight="1" x14ac:dyDescent="0.2">
      <c r="A131" s="85">
        <v>8</v>
      </c>
      <c r="B131" s="75" t="s">
        <v>387</v>
      </c>
      <c r="C131" s="193">
        <v>0.28720000000000001</v>
      </c>
      <c r="D131" s="193">
        <v>0.30309999999999998</v>
      </c>
      <c r="E131" s="193">
        <v>0.28610000000000002</v>
      </c>
    </row>
    <row r="132" spans="1:7" ht="24" customHeight="1" x14ac:dyDescent="0.2">
      <c r="A132" s="85">
        <v>9</v>
      </c>
      <c r="B132" s="75" t="s">
        <v>388</v>
      </c>
      <c r="C132" s="219">
        <v>405.1</v>
      </c>
      <c r="D132" s="219">
        <v>376.6</v>
      </c>
      <c r="E132" s="219">
        <v>378.3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0.35892853980798695</v>
      </c>
      <c r="D135" s="227">
        <f>IF(D149=0,0,D143/D149)</f>
        <v>0.34559469137806853</v>
      </c>
      <c r="E135" s="227">
        <f>IF(E149=0,0,E143/E149)</f>
        <v>0.34155755533833598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0.45501793032340576</v>
      </c>
      <c r="D136" s="227">
        <f>IF(D149=0,0,D144/D149)</f>
        <v>0.4591530404925529</v>
      </c>
      <c r="E136" s="227">
        <f>IF(E149=0,0,E144/E149)</f>
        <v>0.46760121234882446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0.1561281125959936</v>
      </c>
      <c r="D137" s="227">
        <f>IF(D149=0,0,D145/D149)</f>
        <v>0.16082460732107376</v>
      </c>
      <c r="E137" s="227">
        <f>IF(E149=0,0,E145/E149)</f>
        <v>0.16200145179772335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2.656003484560434E-2</v>
      </c>
      <c r="D139" s="227">
        <f>IF(D149=0,0,D147/D149)</f>
        <v>3.0613205138884499E-2</v>
      </c>
      <c r="E139" s="227">
        <f>IF(E149=0,0,E147/E149)</f>
        <v>2.5034191780115161E-2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3.3653824270093629E-3</v>
      </c>
      <c r="D140" s="227">
        <f>IF(D149=0,0,D148/D149)</f>
        <v>3.8144556694203217E-3</v>
      </c>
      <c r="E140" s="227">
        <f>IF(E149=0,0,E148/E149)</f>
        <v>3.8055887350010526E-3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53147490</v>
      </c>
      <c r="D143" s="229">
        <f>+D46-D147</f>
        <v>64995751</v>
      </c>
      <c r="E143" s="229">
        <f>+E46-E147</f>
        <v>76052786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67375698</v>
      </c>
      <c r="D144" s="229">
        <f>+D51</f>
        <v>86352590</v>
      </c>
      <c r="E144" s="229">
        <f>+E51</f>
        <v>104118250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23118299</v>
      </c>
      <c r="D145" s="229">
        <f>+D55</f>
        <v>30246171</v>
      </c>
      <c r="E145" s="229">
        <f>+E55</f>
        <v>36071993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3932814</v>
      </c>
      <c r="D147" s="229">
        <f>+D47</f>
        <v>5757404</v>
      </c>
      <c r="E147" s="229">
        <f>+E47</f>
        <v>5574229</v>
      </c>
    </row>
    <row r="148" spans="1:7" ht="20.100000000000001" customHeight="1" x14ac:dyDescent="0.2">
      <c r="A148" s="226">
        <v>13</v>
      </c>
      <c r="B148" s="224" t="s">
        <v>402</v>
      </c>
      <c r="C148" s="230">
        <v>498321</v>
      </c>
      <c r="D148" s="229">
        <v>717382</v>
      </c>
      <c r="E148" s="229">
        <v>847370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148072622</v>
      </c>
      <c r="D149" s="229">
        <f>SUM(D143:D148)</f>
        <v>188069298</v>
      </c>
      <c r="E149" s="229">
        <f>SUM(E143:E148)</f>
        <v>222664628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0.51580898435795097</v>
      </c>
      <c r="D152" s="227">
        <f>IF(D166=0,0,D160/D166)</f>
        <v>0.51639531353716783</v>
      </c>
      <c r="E152" s="227">
        <f>IF(E166=0,0,E160/E166)</f>
        <v>0.5031258887849851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0.38041830295312851</v>
      </c>
      <c r="D153" s="227">
        <f>IF(D166=0,0,D161/D166)</f>
        <v>0.38240347488397497</v>
      </c>
      <c r="E153" s="227">
        <f>IF(E166=0,0,E161/E166)</f>
        <v>0.38519397781604098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9.5371270857758941E-2</v>
      </c>
      <c r="D154" s="227">
        <f>IF(D166=0,0,D162/D166)</f>
        <v>9.0631515705891064E-2</v>
      </c>
      <c r="E154" s="227">
        <f>IF(E166=0,0,E162/E166)</f>
        <v>0.10552751922831143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3.1335073152707967E-3</v>
      </c>
      <c r="D156" s="227">
        <f>IF(D166=0,0,D164/D166)</f>
        <v>3.9353111215032167E-3</v>
      </c>
      <c r="E156" s="227">
        <f>IF(E166=0,0,E164/E166)</f>
        <v>2.5316580044688784E-3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5.2679345158907608E-3</v>
      </c>
      <c r="D157" s="227">
        <f>IF(D166=0,0,D165/D166)</f>
        <v>6.6343847514629432E-3</v>
      </c>
      <c r="E157" s="227">
        <f>IF(E166=0,0,E165/E166)</f>
        <v>3.6209561661936307E-3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30963611</v>
      </c>
      <c r="D160" s="229">
        <f>+D44-D164</f>
        <v>33741371</v>
      </c>
      <c r="E160" s="229">
        <f>+E44-E164</f>
        <v>35236885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22836214</v>
      </c>
      <c r="D161" s="229">
        <f>+D50</f>
        <v>24986318</v>
      </c>
      <c r="E161" s="229">
        <f>+E50</f>
        <v>26977415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5725063</v>
      </c>
      <c r="D162" s="229">
        <f>+D54</f>
        <v>5921881</v>
      </c>
      <c r="E162" s="229">
        <f>+E54</f>
        <v>7390717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188102</v>
      </c>
      <c r="D164" s="229">
        <f>+D45</f>
        <v>257134</v>
      </c>
      <c r="E164" s="229">
        <f>+E45</f>
        <v>177307</v>
      </c>
    </row>
    <row r="165" spans="1:6" ht="20.100000000000001" customHeight="1" x14ac:dyDescent="0.2">
      <c r="A165" s="226">
        <v>13</v>
      </c>
      <c r="B165" s="224" t="s">
        <v>417</v>
      </c>
      <c r="C165" s="230">
        <v>316230</v>
      </c>
      <c r="D165" s="229">
        <v>433492</v>
      </c>
      <c r="E165" s="229">
        <v>253597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60029220</v>
      </c>
      <c r="D166" s="229">
        <f>SUM(D160:D165)</f>
        <v>65340196</v>
      </c>
      <c r="E166" s="229">
        <f>SUM(E160:E165)</f>
        <v>70035921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663</v>
      </c>
      <c r="D169" s="218">
        <v>594</v>
      </c>
      <c r="E169" s="218">
        <v>561</v>
      </c>
    </row>
    <row r="170" spans="1:6" ht="20.100000000000001" customHeight="1" x14ac:dyDescent="0.2">
      <c r="A170" s="226">
        <v>2</v>
      </c>
      <c r="B170" s="224" t="s">
        <v>420</v>
      </c>
      <c r="C170" s="218">
        <v>1581</v>
      </c>
      <c r="D170" s="218">
        <v>1655</v>
      </c>
      <c r="E170" s="218">
        <v>1707</v>
      </c>
    </row>
    <row r="171" spans="1:6" ht="20.100000000000001" customHeight="1" x14ac:dyDescent="0.2">
      <c r="A171" s="226">
        <v>3</v>
      </c>
      <c r="B171" s="224" t="s">
        <v>421</v>
      </c>
      <c r="C171" s="218">
        <v>268</v>
      </c>
      <c r="D171" s="218">
        <v>266</v>
      </c>
      <c r="E171" s="218">
        <v>292</v>
      </c>
    </row>
    <row r="172" spans="1:6" ht="20.100000000000001" customHeight="1" x14ac:dyDescent="0.2">
      <c r="A172" s="226">
        <v>4</v>
      </c>
      <c r="B172" s="224" t="s">
        <v>422</v>
      </c>
      <c r="C172" s="218">
        <v>268</v>
      </c>
      <c r="D172" s="218">
        <v>266</v>
      </c>
      <c r="E172" s="218">
        <v>292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</v>
      </c>
      <c r="D174" s="218">
        <v>4</v>
      </c>
      <c r="E174" s="218">
        <v>7</v>
      </c>
    </row>
    <row r="175" spans="1:6" ht="20.100000000000001" customHeight="1" x14ac:dyDescent="0.2">
      <c r="A175" s="226">
        <v>7</v>
      </c>
      <c r="B175" s="224" t="s">
        <v>425</v>
      </c>
      <c r="C175" s="218">
        <v>63</v>
      </c>
      <c r="D175" s="218">
        <v>58</v>
      </c>
      <c r="E175" s="218">
        <v>48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2515</v>
      </c>
      <c r="D176" s="218">
        <f>+D169+D170+D171+D174</f>
        <v>2519</v>
      </c>
      <c r="E176" s="218">
        <f>+E169+E170+E171+E174</f>
        <v>2567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1.3484</v>
      </c>
      <c r="D179" s="231">
        <v>1.6539200000000001</v>
      </c>
      <c r="E179" s="231">
        <v>1.67222</v>
      </c>
    </row>
    <row r="180" spans="1:6" ht="20.100000000000001" customHeight="1" x14ac:dyDescent="0.2">
      <c r="A180" s="226">
        <v>2</v>
      </c>
      <c r="B180" s="224" t="s">
        <v>420</v>
      </c>
      <c r="C180" s="231">
        <v>1.4683999999999999</v>
      </c>
      <c r="D180" s="231">
        <v>1.49234</v>
      </c>
      <c r="E180" s="231">
        <v>1.5663100000000001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1.103</v>
      </c>
      <c r="D181" s="231">
        <v>1.18327</v>
      </c>
      <c r="E181" s="231">
        <v>1.42516</v>
      </c>
    </row>
    <row r="182" spans="1:6" ht="20.100000000000001" customHeight="1" x14ac:dyDescent="0.2">
      <c r="A182" s="226">
        <v>4</v>
      </c>
      <c r="B182" s="224" t="s">
        <v>422</v>
      </c>
      <c r="C182" s="231">
        <v>1.103</v>
      </c>
      <c r="D182" s="231">
        <v>1.18327</v>
      </c>
      <c r="E182" s="231">
        <v>1.42516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0.78386999999999996</v>
      </c>
      <c r="D184" s="231">
        <v>1.29484</v>
      </c>
      <c r="E184" s="231">
        <v>1.70347</v>
      </c>
    </row>
    <row r="185" spans="1:6" ht="20.100000000000001" customHeight="1" x14ac:dyDescent="0.2">
      <c r="A185" s="226">
        <v>7</v>
      </c>
      <c r="B185" s="224" t="s">
        <v>425</v>
      </c>
      <c r="C185" s="231">
        <v>1.2078</v>
      </c>
      <c r="D185" s="231">
        <v>1.12859</v>
      </c>
      <c r="E185" s="231">
        <v>1.1844399999999999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1.3970119999999999</v>
      </c>
      <c r="D186" s="231">
        <v>1.4974909999999999</v>
      </c>
      <c r="E186" s="231">
        <v>1.5737730000000001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2066</v>
      </c>
      <c r="D189" s="218">
        <v>2144</v>
      </c>
      <c r="E189" s="218">
        <v>2465</v>
      </c>
    </row>
    <row r="190" spans="1:6" ht="20.100000000000001" customHeight="1" x14ac:dyDescent="0.2">
      <c r="A190" s="226">
        <v>2</v>
      </c>
      <c r="B190" s="224" t="s">
        <v>433</v>
      </c>
      <c r="C190" s="218">
        <v>24397</v>
      </c>
      <c r="D190" s="218">
        <v>24278</v>
      </c>
      <c r="E190" s="218">
        <v>22671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26463</v>
      </c>
      <c r="D191" s="218">
        <f>+D190+D189</f>
        <v>26422</v>
      </c>
      <c r="E191" s="218">
        <f>+E190+E189</f>
        <v>25136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530244</v>
      </c>
      <c r="D14" s="258">
        <v>312176</v>
      </c>
      <c r="E14" s="258">
        <f t="shared" ref="E14:E24" si="0">D14-C14</f>
        <v>-218068</v>
      </c>
      <c r="F14" s="259">
        <f t="shared" ref="F14:F24" si="1">IF(C14=0,0,E14/C14)</f>
        <v>-0.41125972193933358</v>
      </c>
    </row>
    <row r="15" spans="1:7" ht="20.25" customHeight="1" x14ac:dyDescent="0.3">
      <c r="A15" s="256">
        <v>2</v>
      </c>
      <c r="B15" s="257" t="s">
        <v>442</v>
      </c>
      <c r="C15" s="258">
        <v>195593</v>
      </c>
      <c r="D15" s="258">
        <v>124850</v>
      </c>
      <c r="E15" s="258">
        <f t="shared" si="0"/>
        <v>-70743</v>
      </c>
      <c r="F15" s="259">
        <f t="shared" si="1"/>
        <v>-0.36168472286840531</v>
      </c>
    </row>
    <row r="16" spans="1:7" ht="20.25" customHeight="1" x14ac:dyDescent="0.3">
      <c r="A16" s="256">
        <v>3</v>
      </c>
      <c r="B16" s="257" t="s">
        <v>443</v>
      </c>
      <c r="C16" s="258">
        <v>344286</v>
      </c>
      <c r="D16" s="258">
        <v>521517</v>
      </c>
      <c r="E16" s="258">
        <f t="shared" si="0"/>
        <v>177231</v>
      </c>
      <c r="F16" s="259">
        <f t="shared" si="1"/>
        <v>0.51477841097227306</v>
      </c>
    </row>
    <row r="17" spans="1:6" ht="20.25" customHeight="1" x14ac:dyDescent="0.3">
      <c r="A17" s="256">
        <v>4</v>
      </c>
      <c r="B17" s="257" t="s">
        <v>444</v>
      </c>
      <c r="C17" s="258">
        <v>108561</v>
      </c>
      <c r="D17" s="258">
        <v>171175</v>
      </c>
      <c r="E17" s="258">
        <f t="shared" si="0"/>
        <v>62614</v>
      </c>
      <c r="F17" s="259">
        <f t="shared" si="1"/>
        <v>0.57676329436906437</v>
      </c>
    </row>
    <row r="18" spans="1:6" ht="20.25" customHeight="1" x14ac:dyDescent="0.3">
      <c r="A18" s="256">
        <v>5</v>
      </c>
      <c r="B18" s="257" t="s">
        <v>381</v>
      </c>
      <c r="C18" s="260">
        <v>17</v>
      </c>
      <c r="D18" s="260">
        <v>12</v>
      </c>
      <c r="E18" s="260">
        <f t="shared" si="0"/>
        <v>-5</v>
      </c>
      <c r="F18" s="259">
        <f t="shared" si="1"/>
        <v>-0.29411764705882354</v>
      </c>
    </row>
    <row r="19" spans="1:6" ht="20.25" customHeight="1" x14ac:dyDescent="0.3">
      <c r="A19" s="256">
        <v>6</v>
      </c>
      <c r="B19" s="257" t="s">
        <v>380</v>
      </c>
      <c r="C19" s="260">
        <v>83</v>
      </c>
      <c r="D19" s="260">
        <v>58</v>
      </c>
      <c r="E19" s="260">
        <f t="shared" si="0"/>
        <v>-25</v>
      </c>
      <c r="F19" s="259">
        <f t="shared" si="1"/>
        <v>-0.30120481927710846</v>
      </c>
    </row>
    <row r="20" spans="1:6" ht="20.25" customHeight="1" x14ac:dyDescent="0.3">
      <c r="A20" s="256">
        <v>7</v>
      </c>
      <c r="B20" s="257" t="s">
        <v>445</v>
      </c>
      <c r="C20" s="260">
        <v>239</v>
      </c>
      <c r="D20" s="260">
        <v>379</v>
      </c>
      <c r="E20" s="260">
        <f t="shared" si="0"/>
        <v>140</v>
      </c>
      <c r="F20" s="259">
        <f t="shared" si="1"/>
        <v>0.58577405857740583</v>
      </c>
    </row>
    <row r="21" spans="1:6" ht="20.25" customHeight="1" x14ac:dyDescent="0.3">
      <c r="A21" s="256">
        <v>8</v>
      </c>
      <c r="B21" s="257" t="s">
        <v>446</v>
      </c>
      <c r="C21" s="260">
        <v>33</v>
      </c>
      <c r="D21" s="260">
        <v>57</v>
      </c>
      <c r="E21" s="260">
        <f t="shared" si="0"/>
        <v>24</v>
      </c>
      <c r="F21" s="259">
        <f t="shared" si="1"/>
        <v>0.72727272727272729</v>
      </c>
    </row>
    <row r="22" spans="1:6" ht="20.25" customHeight="1" x14ac:dyDescent="0.3">
      <c r="A22" s="256">
        <v>9</v>
      </c>
      <c r="B22" s="257" t="s">
        <v>447</v>
      </c>
      <c r="C22" s="260">
        <v>14</v>
      </c>
      <c r="D22" s="260">
        <v>12</v>
      </c>
      <c r="E22" s="260">
        <f t="shared" si="0"/>
        <v>-2</v>
      </c>
      <c r="F22" s="259">
        <f t="shared" si="1"/>
        <v>-0.14285714285714285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874530</v>
      </c>
      <c r="D23" s="263">
        <f>+D14+D16</f>
        <v>833693</v>
      </c>
      <c r="E23" s="263">
        <f t="shared" si="0"/>
        <v>-40837</v>
      </c>
      <c r="F23" s="264">
        <f t="shared" si="1"/>
        <v>-4.6695939533234997E-2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304154</v>
      </c>
      <c r="D24" s="263">
        <f>+D15+D17</f>
        <v>296025</v>
      </c>
      <c r="E24" s="263">
        <f t="shared" si="0"/>
        <v>-8129</v>
      </c>
      <c r="F24" s="264">
        <f t="shared" si="1"/>
        <v>-2.6726592449877365E-2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5199014</v>
      </c>
      <c r="D40" s="258">
        <v>5883834</v>
      </c>
      <c r="E40" s="258">
        <f t="shared" ref="E40:E50" si="4">D40-C40</f>
        <v>684820</v>
      </c>
      <c r="F40" s="259">
        <f t="shared" ref="F40:F50" si="5">IF(C40=0,0,E40/C40)</f>
        <v>0.13172113019891848</v>
      </c>
    </row>
    <row r="41" spans="1:6" ht="20.25" customHeight="1" x14ac:dyDescent="0.3">
      <c r="A41" s="256">
        <v>2</v>
      </c>
      <c r="B41" s="257" t="s">
        <v>442</v>
      </c>
      <c r="C41" s="258">
        <v>1762390</v>
      </c>
      <c r="D41" s="258">
        <v>1634381</v>
      </c>
      <c r="E41" s="258">
        <f t="shared" si="4"/>
        <v>-128009</v>
      </c>
      <c r="F41" s="259">
        <f t="shared" si="5"/>
        <v>-7.2633753028557804E-2</v>
      </c>
    </row>
    <row r="42" spans="1:6" ht="20.25" customHeight="1" x14ac:dyDescent="0.3">
      <c r="A42" s="256">
        <v>3</v>
      </c>
      <c r="B42" s="257" t="s">
        <v>443</v>
      </c>
      <c r="C42" s="258">
        <v>5364128</v>
      </c>
      <c r="D42" s="258">
        <v>6509991</v>
      </c>
      <c r="E42" s="258">
        <f t="shared" si="4"/>
        <v>1145863</v>
      </c>
      <c r="F42" s="259">
        <f t="shared" si="5"/>
        <v>0.21361589432616074</v>
      </c>
    </row>
    <row r="43" spans="1:6" ht="20.25" customHeight="1" x14ac:dyDescent="0.3">
      <c r="A43" s="256">
        <v>4</v>
      </c>
      <c r="B43" s="257" t="s">
        <v>444</v>
      </c>
      <c r="C43" s="258">
        <v>1157650</v>
      </c>
      <c r="D43" s="258">
        <v>1375607</v>
      </c>
      <c r="E43" s="258">
        <f t="shared" si="4"/>
        <v>217957</v>
      </c>
      <c r="F43" s="259">
        <f t="shared" si="5"/>
        <v>0.18827538547920356</v>
      </c>
    </row>
    <row r="44" spans="1:6" ht="20.25" customHeight="1" x14ac:dyDescent="0.3">
      <c r="A44" s="256">
        <v>5</v>
      </c>
      <c r="B44" s="257" t="s">
        <v>381</v>
      </c>
      <c r="C44" s="260">
        <v>193</v>
      </c>
      <c r="D44" s="260">
        <v>196</v>
      </c>
      <c r="E44" s="260">
        <f t="shared" si="4"/>
        <v>3</v>
      </c>
      <c r="F44" s="259">
        <f t="shared" si="5"/>
        <v>1.5544041450777202E-2</v>
      </c>
    </row>
    <row r="45" spans="1:6" ht="20.25" customHeight="1" x14ac:dyDescent="0.3">
      <c r="A45" s="256">
        <v>6</v>
      </c>
      <c r="B45" s="257" t="s">
        <v>380</v>
      </c>
      <c r="C45" s="260">
        <v>926</v>
      </c>
      <c r="D45" s="260">
        <v>925</v>
      </c>
      <c r="E45" s="260">
        <f t="shared" si="4"/>
        <v>-1</v>
      </c>
      <c r="F45" s="259">
        <f t="shared" si="5"/>
        <v>-1.0799136069114472E-3</v>
      </c>
    </row>
    <row r="46" spans="1:6" ht="20.25" customHeight="1" x14ac:dyDescent="0.3">
      <c r="A46" s="256">
        <v>7</v>
      </c>
      <c r="B46" s="257" t="s">
        <v>445</v>
      </c>
      <c r="C46" s="260">
        <v>3272</v>
      </c>
      <c r="D46" s="260">
        <v>4358</v>
      </c>
      <c r="E46" s="260">
        <f t="shared" si="4"/>
        <v>1086</v>
      </c>
      <c r="F46" s="259">
        <f t="shared" si="5"/>
        <v>0.33190709046454769</v>
      </c>
    </row>
    <row r="47" spans="1:6" ht="20.25" customHeight="1" x14ac:dyDescent="0.3">
      <c r="A47" s="256">
        <v>8</v>
      </c>
      <c r="B47" s="257" t="s">
        <v>446</v>
      </c>
      <c r="C47" s="260">
        <v>446</v>
      </c>
      <c r="D47" s="260">
        <v>433</v>
      </c>
      <c r="E47" s="260">
        <f t="shared" si="4"/>
        <v>-13</v>
      </c>
      <c r="F47" s="259">
        <f t="shared" si="5"/>
        <v>-2.914798206278027E-2</v>
      </c>
    </row>
    <row r="48" spans="1:6" ht="20.25" customHeight="1" x14ac:dyDescent="0.3">
      <c r="A48" s="256">
        <v>9</v>
      </c>
      <c r="B48" s="257" t="s">
        <v>447</v>
      </c>
      <c r="C48" s="260">
        <v>149</v>
      </c>
      <c r="D48" s="260">
        <v>171</v>
      </c>
      <c r="E48" s="260">
        <f t="shared" si="4"/>
        <v>22</v>
      </c>
      <c r="F48" s="259">
        <f t="shared" si="5"/>
        <v>0.1476510067114094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10563142</v>
      </c>
      <c r="D49" s="263">
        <f>+D40+D42</f>
        <v>12393825</v>
      </c>
      <c r="E49" s="263">
        <f t="shared" si="4"/>
        <v>1830683</v>
      </c>
      <c r="F49" s="264">
        <f t="shared" si="5"/>
        <v>0.17330856671244219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2920040</v>
      </c>
      <c r="D50" s="263">
        <f>+D41+D43</f>
        <v>3009988</v>
      </c>
      <c r="E50" s="263">
        <f t="shared" si="4"/>
        <v>89948</v>
      </c>
      <c r="F50" s="264">
        <f t="shared" si="5"/>
        <v>3.0803687620717526E-2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43140</v>
      </c>
      <c r="D66" s="258">
        <v>0</v>
      </c>
      <c r="E66" s="258">
        <f t="shared" ref="E66:E76" si="8">D66-C66</f>
        <v>-43140</v>
      </c>
      <c r="F66" s="259">
        <f t="shared" ref="F66:F76" si="9">IF(C66=0,0,E66/C66)</f>
        <v>-1</v>
      </c>
    </row>
    <row r="67" spans="1:6" ht="20.25" customHeight="1" x14ac:dyDescent="0.3">
      <c r="A67" s="256">
        <v>2</v>
      </c>
      <c r="B67" s="257" t="s">
        <v>442</v>
      </c>
      <c r="C67" s="258">
        <v>13752</v>
      </c>
      <c r="D67" s="258">
        <v>0</v>
      </c>
      <c r="E67" s="258">
        <f t="shared" si="8"/>
        <v>-13752</v>
      </c>
      <c r="F67" s="259">
        <f t="shared" si="9"/>
        <v>-1</v>
      </c>
    </row>
    <row r="68" spans="1:6" ht="20.25" customHeight="1" x14ac:dyDescent="0.3">
      <c r="A68" s="256">
        <v>3</v>
      </c>
      <c r="B68" s="257" t="s">
        <v>443</v>
      </c>
      <c r="C68" s="258">
        <v>75493</v>
      </c>
      <c r="D68" s="258">
        <v>75378</v>
      </c>
      <c r="E68" s="258">
        <f t="shared" si="8"/>
        <v>-115</v>
      </c>
      <c r="F68" s="259">
        <f t="shared" si="9"/>
        <v>-1.5233200429178864E-3</v>
      </c>
    </row>
    <row r="69" spans="1:6" ht="20.25" customHeight="1" x14ac:dyDescent="0.3">
      <c r="A69" s="256">
        <v>4</v>
      </c>
      <c r="B69" s="257" t="s">
        <v>444</v>
      </c>
      <c r="C69" s="258">
        <v>17254</v>
      </c>
      <c r="D69" s="258">
        <v>18451</v>
      </c>
      <c r="E69" s="258">
        <f t="shared" si="8"/>
        <v>1197</v>
      </c>
      <c r="F69" s="259">
        <f t="shared" si="9"/>
        <v>6.9375217340906459E-2</v>
      </c>
    </row>
    <row r="70" spans="1:6" ht="20.25" customHeight="1" x14ac:dyDescent="0.3">
      <c r="A70" s="256">
        <v>5</v>
      </c>
      <c r="B70" s="257" t="s">
        <v>381</v>
      </c>
      <c r="C70" s="260">
        <v>1</v>
      </c>
      <c r="D70" s="260">
        <v>0</v>
      </c>
      <c r="E70" s="260">
        <f t="shared" si="8"/>
        <v>-1</v>
      </c>
      <c r="F70" s="259">
        <f t="shared" si="9"/>
        <v>-1</v>
      </c>
    </row>
    <row r="71" spans="1:6" ht="20.25" customHeight="1" x14ac:dyDescent="0.3">
      <c r="A71" s="256">
        <v>6</v>
      </c>
      <c r="B71" s="257" t="s">
        <v>380</v>
      </c>
      <c r="C71" s="260">
        <v>7</v>
      </c>
      <c r="D71" s="260">
        <v>0</v>
      </c>
      <c r="E71" s="260">
        <f t="shared" si="8"/>
        <v>-7</v>
      </c>
      <c r="F71" s="259">
        <f t="shared" si="9"/>
        <v>-1</v>
      </c>
    </row>
    <row r="72" spans="1:6" ht="20.25" customHeight="1" x14ac:dyDescent="0.3">
      <c r="A72" s="256">
        <v>7</v>
      </c>
      <c r="B72" s="257" t="s">
        <v>445</v>
      </c>
      <c r="C72" s="260">
        <v>22</v>
      </c>
      <c r="D72" s="260">
        <v>26</v>
      </c>
      <c r="E72" s="260">
        <f t="shared" si="8"/>
        <v>4</v>
      </c>
      <c r="F72" s="259">
        <f t="shared" si="9"/>
        <v>0.18181818181818182</v>
      </c>
    </row>
    <row r="73" spans="1:6" ht="20.25" customHeight="1" x14ac:dyDescent="0.3">
      <c r="A73" s="256">
        <v>8</v>
      </c>
      <c r="B73" s="257" t="s">
        <v>446</v>
      </c>
      <c r="C73" s="260">
        <v>30</v>
      </c>
      <c r="D73" s="260">
        <v>22</v>
      </c>
      <c r="E73" s="260">
        <f t="shared" si="8"/>
        <v>-8</v>
      </c>
      <c r="F73" s="259">
        <f t="shared" si="9"/>
        <v>-0.26666666666666666</v>
      </c>
    </row>
    <row r="74" spans="1:6" ht="20.25" customHeight="1" x14ac:dyDescent="0.3">
      <c r="A74" s="256">
        <v>9</v>
      </c>
      <c r="B74" s="257" t="s">
        <v>447</v>
      </c>
      <c r="C74" s="260">
        <v>1</v>
      </c>
      <c r="D74" s="260">
        <v>0</v>
      </c>
      <c r="E74" s="260">
        <f t="shared" si="8"/>
        <v>-1</v>
      </c>
      <c r="F74" s="259">
        <f t="shared" si="9"/>
        <v>-1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118633</v>
      </c>
      <c r="D75" s="263">
        <f>+D66+D68</f>
        <v>75378</v>
      </c>
      <c r="E75" s="263">
        <f t="shared" si="8"/>
        <v>-43255</v>
      </c>
      <c r="F75" s="264">
        <f t="shared" si="9"/>
        <v>-0.36461187022160779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31006</v>
      </c>
      <c r="D76" s="263">
        <f>+D67+D69</f>
        <v>18451</v>
      </c>
      <c r="E76" s="263">
        <f t="shared" si="8"/>
        <v>-12555</v>
      </c>
      <c r="F76" s="264">
        <f t="shared" si="9"/>
        <v>-0.40492162807198606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2440655</v>
      </c>
      <c r="D92" s="258">
        <v>3157578</v>
      </c>
      <c r="E92" s="258">
        <f t="shared" ref="E92:E102" si="12">D92-C92</f>
        <v>716923</v>
      </c>
      <c r="F92" s="259">
        <f t="shared" ref="F92:F102" si="13">IF(C92=0,0,E92/C92)</f>
        <v>0.29374204875330595</v>
      </c>
    </row>
    <row r="93" spans="1:6" ht="20.25" customHeight="1" x14ac:dyDescent="0.3">
      <c r="A93" s="256">
        <v>2</v>
      </c>
      <c r="B93" s="257" t="s">
        <v>442</v>
      </c>
      <c r="C93" s="258">
        <v>760964</v>
      </c>
      <c r="D93" s="258">
        <v>1020337</v>
      </c>
      <c r="E93" s="258">
        <f t="shared" si="12"/>
        <v>259373</v>
      </c>
      <c r="F93" s="259">
        <f t="shared" si="13"/>
        <v>0.34084792447474521</v>
      </c>
    </row>
    <row r="94" spans="1:6" ht="20.25" customHeight="1" x14ac:dyDescent="0.3">
      <c r="A94" s="256">
        <v>3</v>
      </c>
      <c r="B94" s="257" t="s">
        <v>443</v>
      </c>
      <c r="C94" s="258">
        <v>1914946</v>
      </c>
      <c r="D94" s="258">
        <v>3280891</v>
      </c>
      <c r="E94" s="258">
        <f t="shared" si="12"/>
        <v>1365945</v>
      </c>
      <c r="F94" s="259">
        <f t="shared" si="13"/>
        <v>0.71330732041530154</v>
      </c>
    </row>
    <row r="95" spans="1:6" ht="20.25" customHeight="1" x14ac:dyDescent="0.3">
      <c r="A95" s="256">
        <v>4</v>
      </c>
      <c r="B95" s="257" t="s">
        <v>444</v>
      </c>
      <c r="C95" s="258">
        <v>408278</v>
      </c>
      <c r="D95" s="258">
        <v>622616</v>
      </c>
      <c r="E95" s="258">
        <f t="shared" si="12"/>
        <v>214338</v>
      </c>
      <c r="F95" s="259">
        <f t="shared" si="13"/>
        <v>0.52498052797358663</v>
      </c>
    </row>
    <row r="96" spans="1:6" ht="20.25" customHeight="1" x14ac:dyDescent="0.3">
      <c r="A96" s="256">
        <v>5</v>
      </c>
      <c r="B96" s="257" t="s">
        <v>381</v>
      </c>
      <c r="C96" s="260">
        <v>82</v>
      </c>
      <c r="D96" s="260">
        <v>98</v>
      </c>
      <c r="E96" s="260">
        <f t="shared" si="12"/>
        <v>16</v>
      </c>
      <c r="F96" s="259">
        <f t="shared" si="13"/>
        <v>0.1951219512195122</v>
      </c>
    </row>
    <row r="97" spans="1:6" ht="20.25" customHeight="1" x14ac:dyDescent="0.3">
      <c r="A97" s="256">
        <v>6</v>
      </c>
      <c r="B97" s="257" t="s">
        <v>380</v>
      </c>
      <c r="C97" s="260">
        <v>462</v>
      </c>
      <c r="D97" s="260">
        <v>467</v>
      </c>
      <c r="E97" s="260">
        <f t="shared" si="12"/>
        <v>5</v>
      </c>
      <c r="F97" s="259">
        <f t="shared" si="13"/>
        <v>1.0822510822510822E-2</v>
      </c>
    </row>
    <row r="98" spans="1:6" ht="20.25" customHeight="1" x14ac:dyDescent="0.3">
      <c r="A98" s="256">
        <v>7</v>
      </c>
      <c r="B98" s="257" t="s">
        <v>445</v>
      </c>
      <c r="C98" s="260">
        <v>1056</v>
      </c>
      <c r="D98" s="260">
        <v>1835</v>
      </c>
      <c r="E98" s="260">
        <f t="shared" si="12"/>
        <v>779</v>
      </c>
      <c r="F98" s="259">
        <f t="shared" si="13"/>
        <v>0.73768939393939392</v>
      </c>
    </row>
    <row r="99" spans="1:6" ht="20.25" customHeight="1" x14ac:dyDescent="0.3">
      <c r="A99" s="256">
        <v>8</v>
      </c>
      <c r="B99" s="257" t="s">
        <v>446</v>
      </c>
      <c r="C99" s="260">
        <v>231</v>
      </c>
      <c r="D99" s="260">
        <v>290</v>
      </c>
      <c r="E99" s="260">
        <f t="shared" si="12"/>
        <v>59</v>
      </c>
      <c r="F99" s="259">
        <f t="shared" si="13"/>
        <v>0.25541125541125542</v>
      </c>
    </row>
    <row r="100" spans="1:6" ht="20.25" customHeight="1" x14ac:dyDescent="0.3">
      <c r="A100" s="256">
        <v>9</v>
      </c>
      <c r="B100" s="257" t="s">
        <v>447</v>
      </c>
      <c r="C100" s="260">
        <v>69</v>
      </c>
      <c r="D100" s="260">
        <v>88</v>
      </c>
      <c r="E100" s="260">
        <f t="shared" si="12"/>
        <v>19</v>
      </c>
      <c r="F100" s="259">
        <f t="shared" si="13"/>
        <v>0.27536231884057971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4355601</v>
      </c>
      <c r="D101" s="263">
        <f>+D92+D94</f>
        <v>6438469</v>
      </c>
      <c r="E101" s="263">
        <f t="shared" si="12"/>
        <v>2082868</v>
      </c>
      <c r="F101" s="264">
        <f t="shared" si="13"/>
        <v>0.47820450036630996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1169242</v>
      </c>
      <c r="D102" s="263">
        <f>+D93+D95</f>
        <v>1642953</v>
      </c>
      <c r="E102" s="263">
        <f t="shared" si="12"/>
        <v>473711</v>
      </c>
      <c r="F102" s="264">
        <f t="shared" si="13"/>
        <v>0.40514367427786546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799637</v>
      </c>
      <c r="D105" s="258">
        <v>564061</v>
      </c>
      <c r="E105" s="258">
        <f t="shared" ref="E105:E115" si="14">D105-C105</f>
        <v>-235576</v>
      </c>
      <c r="F105" s="259">
        <f t="shared" ref="F105:F115" si="15">IF(C105=0,0,E105/C105)</f>
        <v>-0.29460367641817475</v>
      </c>
    </row>
    <row r="106" spans="1:6" ht="20.25" customHeight="1" x14ac:dyDescent="0.3">
      <c r="A106" s="256">
        <v>2</v>
      </c>
      <c r="B106" s="257" t="s">
        <v>442</v>
      </c>
      <c r="C106" s="258">
        <v>230391</v>
      </c>
      <c r="D106" s="258">
        <v>162084</v>
      </c>
      <c r="E106" s="258">
        <f t="shared" si="14"/>
        <v>-68307</v>
      </c>
      <c r="F106" s="259">
        <f t="shared" si="15"/>
        <v>-0.29648293553133587</v>
      </c>
    </row>
    <row r="107" spans="1:6" ht="20.25" customHeight="1" x14ac:dyDescent="0.3">
      <c r="A107" s="256">
        <v>3</v>
      </c>
      <c r="B107" s="257" t="s">
        <v>443</v>
      </c>
      <c r="C107" s="258">
        <v>674471</v>
      </c>
      <c r="D107" s="258">
        <v>866281</v>
      </c>
      <c r="E107" s="258">
        <f t="shared" si="14"/>
        <v>191810</v>
      </c>
      <c r="F107" s="259">
        <f t="shared" si="15"/>
        <v>0.28438583719685501</v>
      </c>
    </row>
    <row r="108" spans="1:6" ht="20.25" customHeight="1" x14ac:dyDescent="0.3">
      <c r="A108" s="256">
        <v>4</v>
      </c>
      <c r="B108" s="257" t="s">
        <v>444</v>
      </c>
      <c r="C108" s="258">
        <v>143754</v>
      </c>
      <c r="D108" s="258">
        <v>197573</v>
      </c>
      <c r="E108" s="258">
        <f t="shared" si="14"/>
        <v>53819</v>
      </c>
      <c r="F108" s="259">
        <f t="shared" si="15"/>
        <v>0.37438262587475829</v>
      </c>
    </row>
    <row r="109" spans="1:6" ht="20.25" customHeight="1" x14ac:dyDescent="0.3">
      <c r="A109" s="256">
        <v>5</v>
      </c>
      <c r="B109" s="257" t="s">
        <v>381</v>
      </c>
      <c r="C109" s="260">
        <v>25</v>
      </c>
      <c r="D109" s="260">
        <v>19</v>
      </c>
      <c r="E109" s="260">
        <f t="shared" si="14"/>
        <v>-6</v>
      </c>
      <c r="F109" s="259">
        <f t="shared" si="15"/>
        <v>-0.24</v>
      </c>
    </row>
    <row r="110" spans="1:6" ht="20.25" customHeight="1" x14ac:dyDescent="0.3">
      <c r="A110" s="256">
        <v>6</v>
      </c>
      <c r="B110" s="257" t="s">
        <v>380</v>
      </c>
      <c r="C110" s="260">
        <v>146</v>
      </c>
      <c r="D110" s="260">
        <v>110</v>
      </c>
      <c r="E110" s="260">
        <f t="shared" si="14"/>
        <v>-36</v>
      </c>
      <c r="F110" s="259">
        <f t="shared" si="15"/>
        <v>-0.24657534246575341</v>
      </c>
    </row>
    <row r="111" spans="1:6" ht="20.25" customHeight="1" x14ac:dyDescent="0.3">
      <c r="A111" s="256">
        <v>7</v>
      </c>
      <c r="B111" s="257" t="s">
        <v>445</v>
      </c>
      <c r="C111" s="260">
        <v>271</v>
      </c>
      <c r="D111" s="260">
        <v>422</v>
      </c>
      <c r="E111" s="260">
        <f t="shared" si="14"/>
        <v>151</v>
      </c>
      <c r="F111" s="259">
        <f t="shared" si="15"/>
        <v>0.55719557195571956</v>
      </c>
    </row>
    <row r="112" spans="1:6" ht="20.25" customHeight="1" x14ac:dyDescent="0.3">
      <c r="A112" s="256">
        <v>8</v>
      </c>
      <c r="B112" s="257" t="s">
        <v>446</v>
      </c>
      <c r="C112" s="260">
        <v>146</v>
      </c>
      <c r="D112" s="260">
        <v>140</v>
      </c>
      <c r="E112" s="260">
        <f t="shared" si="14"/>
        <v>-6</v>
      </c>
      <c r="F112" s="259">
        <f t="shared" si="15"/>
        <v>-4.1095890410958902E-2</v>
      </c>
    </row>
    <row r="113" spans="1:6" ht="20.25" customHeight="1" x14ac:dyDescent="0.3">
      <c r="A113" s="256">
        <v>9</v>
      </c>
      <c r="B113" s="257" t="s">
        <v>447</v>
      </c>
      <c r="C113" s="260">
        <v>23</v>
      </c>
      <c r="D113" s="260">
        <v>17</v>
      </c>
      <c r="E113" s="260">
        <f t="shared" si="14"/>
        <v>-6</v>
      </c>
      <c r="F113" s="259">
        <f t="shared" si="15"/>
        <v>-0.2608695652173913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1474108</v>
      </c>
      <c r="D114" s="263">
        <f>+D105+D107</f>
        <v>1430342</v>
      </c>
      <c r="E114" s="263">
        <f t="shared" si="14"/>
        <v>-43766</v>
      </c>
      <c r="F114" s="264">
        <f t="shared" si="15"/>
        <v>-2.9689819199136019E-2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374145</v>
      </c>
      <c r="D115" s="263">
        <f>+D106+D108</f>
        <v>359657</v>
      </c>
      <c r="E115" s="263">
        <f t="shared" si="14"/>
        <v>-14488</v>
      </c>
      <c r="F115" s="264">
        <f t="shared" si="15"/>
        <v>-3.8722955004075958E-2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810554</v>
      </c>
      <c r="D118" s="258">
        <v>1209138</v>
      </c>
      <c r="E118" s="258">
        <f t="shared" ref="E118:E128" si="16">D118-C118</f>
        <v>398584</v>
      </c>
      <c r="F118" s="259">
        <f t="shared" ref="F118:F128" si="17">IF(C118=0,0,E118/C118)</f>
        <v>0.49174268463297943</v>
      </c>
    </row>
    <row r="119" spans="1:6" ht="20.25" customHeight="1" x14ac:dyDescent="0.3">
      <c r="A119" s="256">
        <v>2</v>
      </c>
      <c r="B119" s="257" t="s">
        <v>442</v>
      </c>
      <c r="C119" s="258">
        <v>201379</v>
      </c>
      <c r="D119" s="258">
        <v>319586</v>
      </c>
      <c r="E119" s="258">
        <f t="shared" si="16"/>
        <v>118207</v>
      </c>
      <c r="F119" s="259">
        <f t="shared" si="17"/>
        <v>0.58698771967285568</v>
      </c>
    </row>
    <row r="120" spans="1:6" ht="20.25" customHeight="1" x14ac:dyDescent="0.3">
      <c r="A120" s="256">
        <v>3</v>
      </c>
      <c r="B120" s="257" t="s">
        <v>443</v>
      </c>
      <c r="C120" s="258">
        <v>642823</v>
      </c>
      <c r="D120" s="258">
        <v>1226226</v>
      </c>
      <c r="E120" s="258">
        <f t="shared" si="16"/>
        <v>583403</v>
      </c>
      <c r="F120" s="259">
        <f t="shared" si="17"/>
        <v>0.90756397950913392</v>
      </c>
    </row>
    <row r="121" spans="1:6" ht="20.25" customHeight="1" x14ac:dyDescent="0.3">
      <c r="A121" s="256">
        <v>4</v>
      </c>
      <c r="B121" s="257" t="s">
        <v>444</v>
      </c>
      <c r="C121" s="258">
        <v>127823</v>
      </c>
      <c r="D121" s="258">
        <v>307089</v>
      </c>
      <c r="E121" s="258">
        <f t="shared" si="16"/>
        <v>179266</v>
      </c>
      <c r="F121" s="259">
        <f t="shared" si="17"/>
        <v>1.4024549572455662</v>
      </c>
    </row>
    <row r="122" spans="1:6" ht="20.25" customHeight="1" x14ac:dyDescent="0.3">
      <c r="A122" s="256">
        <v>5</v>
      </c>
      <c r="B122" s="257" t="s">
        <v>381</v>
      </c>
      <c r="C122" s="260">
        <v>27</v>
      </c>
      <c r="D122" s="260">
        <v>41</v>
      </c>
      <c r="E122" s="260">
        <f t="shared" si="16"/>
        <v>14</v>
      </c>
      <c r="F122" s="259">
        <f t="shared" si="17"/>
        <v>0.51851851851851849</v>
      </c>
    </row>
    <row r="123" spans="1:6" ht="20.25" customHeight="1" x14ac:dyDescent="0.3">
      <c r="A123" s="256">
        <v>6</v>
      </c>
      <c r="B123" s="257" t="s">
        <v>380</v>
      </c>
      <c r="C123" s="260">
        <v>174</v>
      </c>
      <c r="D123" s="260">
        <v>201</v>
      </c>
      <c r="E123" s="260">
        <f t="shared" si="16"/>
        <v>27</v>
      </c>
      <c r="F123" s="259">
        <f t="shared" si="17"/>
        <v>0.15517241379310345</v>
      </c>
    </row>
    <row r="124" spans="1:6" ht="20.25" customHeight="1" x14ac:dyDescent="0.3">
      <c r="A124" s="256">
        <v>7</v>
      </c>
      <c r="B124" s="257" t="s">
        <v>445</v>
      </c>
      <c r="C124" s="260">
        <v>449</v>
      </c>
      <c r="D124" s="260">
        <v>851</v>
      </c>
      <c r="E124" s="260">
        <f t="shared" si="16"/>
        <v>402</v>
      </c>
      <c r="F124" s="259">
        <f t="shared" si="17"/>
        <v>0.89532293986636968</v>
      </c>
    </row>
    <row r="125" spans="1:6" ht="20.25" customHeight="1" x14ac:dyDescent="0.3">
      <c r="A125" s="256">
        <v>8</v>
      </c>
      <c r="B125" s="257" t="s">
        <v>446</v>
      </c>
      <c r="C125" s="260">
        <v>56</v>
      </c>
      <c r="D125" s="260">
        <v>83</v>
      </c>
      <c r="E125" s="260">
        <f t="shared" si="16"/>
        <v>27</v>
      </c>
      <c r="F125" s="259">
        <f t="shared" si="17"/>
        <v>0.48214285714285715</v>
      </c>
    </row>
    <row r="126" spans="1:6" ht="20.25" customHeight="1" x14ac:dyDescent="0.3">
      <c r="A126" s="256">
        <v>9</v>
      </c>
      <c r="B126" s="257" t="s">
        <v>447</v>
      </c>
      <c r="C126" s="260">
        <v>25</v>
      </c>
      <c r="D126" s="260">
        <v>36</v>
      </c>
      <c r="E126" s="260">
        <f t="shared" si="16"/>
        <v>11</v>
      </c>
      <c r="F126" s="259">
        <f t="shared" si="17"/>
        <v>0.44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1453377</v>
      </c>
      <c r="D127" s="263">
        <f>+D118+D120</f>
        <v>2435364</v>
      </c>
      <c r="E127" s="263">
        <f t="shared" si="16"/>
        <v>981987</v>
      </c>
      <c r="F127" s="264">
        <f t="shared" si="17"/>
        <v>0.67565882768201235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329202</v>
      </c>
      <c r="D128" s="263">
        <f>+D119+D121</f>
        <v>626675</v>
      </c>
      <c r="E128" s="263">
        <f t="shared" si="16"/>
        <v>297473</v>
      </c>
      <c r="F128" s="264">
        <f t="shared" si="17"/>
        <v>0.90361844703252103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11618</v>
      </c>
      <c r="D131" s="258">
        <v>0</v>
      </c>
      <c r="E131" s="258">
        <f t="shared" ref="E131:E141" si="18">D131-C131</f>
        <v>-11618</v>
      </c>
      <c r="F131" s="259">
        <f t="shared" ref="F131:F141" si="19">IF(C131=0,0,E131/C131)</f>
        <v>-1</v>
      </c>
    </row>
    <row r="132" spans="1:6" ht="20.25" customHeight="1" x14ac:dyDescent="0.3">
      <c r="A132" s="256">
        <v>2</v>
      </c>
      <c r="B132" s="257" t="s">
        <v>442</v>
      </c>
      <c r="C132" s="258">
        <v>3118</v>
      </c>
      <c r="D132" s="258">
        <v>0</v>
      </c>
      <c r="E132" s="258">
        <f t="shared" si="18"/>
        <v>-3118</v>
      </c>
      <c r="F132" s="259">
        <f t="shared" si="19"/>
        <v>-1</v>
      </c>
    </row>
    <row r="133" spans="1:6" ht="20.25" customHeight="1" x14ac:dyDescent="0.3">
      <c r="A133" s="256">
        <v>3</v>
      </c>
      <c r="B133" s="257" t="s">
        <v>443</v>
      </c>
      <c r="C133" s="258">
        <v>39610</v>
      </c>
      <c r="D133" s="258">
        <v>76806</v>
      </c>
      <c r="E133" s="258">
        <f t="shared" si="18"/>
        <v>37196</v>
      </c>
      <c r="F133" s="259">
        <f t="shared" si="19"/>
        <v>0.93905579399141625</v>
      </c>
    </row>
    <row r="134" spans="1:6" ht="20.25" customHeight="1" x14ac:dyDescent="0.3">
      <c r="A134" s="256">
        <v>4</v>
      </c>
      <c r="B134" s="257" t="s">
        <v>444</v>
      </c>
      <c r="C134" s="258">
        <v>5294</v>
      </c>
      <c r="D134" s="258">
        <v>10833</v>
      </c>
      <c r="E134" s="258">
        <f t="shared" si="18"/>
        <v>5539</v>
      </c>
      <c r="F134" s="259">
        <f t="shared" si="19"/>
        <v>1.0462788061956931</v>
      </c>
    </row>
    <row r="135" spans="1:6" ht="20.25" customHeight="1" x14ac:dyDescent="0.3">
      <c r="A135" s="256">
        <v>5</v>
      </c>
      <c r="B135" s="257" t="s">
        <v>381</v>
      </c>
      <c r="C135" s="260">
        <v>1</v>
      </c>
      <c r="D135" s="260">
        <v>0</v>
      </c>
      <c r="E135" s="260">
        <f t="shared" si="18"/>
        <v>-1</v>
      </c>
      <c r="F135" s="259">
        <f t="shared" si="19"/>
        <v>-1</v>
      </c>
    </row>
    <row r="136" spans="1:6" ht="20.25" customHeight="1" x14ac:dyDescent="0.3">
      <c r="A136" s="256">
        <v>6</v>
      </c>
      <c r="B136" s="257" t="s">
        <v>380</v>
      </c>
      <c r="C136" s="260">
        <v>2</v>
      </c>
      <c r="D136" s="260">
        <v>0</v>
      </c>
      <c r="E136" s="260">
        <f t="shared" si="18"/>
        <v>-2</v>
      </c>
      <c r="F136" s="259">
        <f t="shared" si="19"/>
        <v>-1</v>
      </c>
    </row>
    <row r="137" spans="1:6" ht="20.25" customHeight="1" x14ac:dyDescent="0.3">
      <c r="A137" s="256">
        <v>7</v>
      </c>
      <c r="B137" s="257" t="s">
        <v>445</v>
      </c>
      <c r="C137" s="260">
        <v>16</v>
      </c>
      <c r="D137" s="260">
        <v>60</v>
      </c>
      <c r="E137" s="260">
        <f t="shared" si="18"/>
        <v>44</v>
      </c>
      <c r="F137" s="259">
        <f t="shared" si="19"/>
        <v>2.75</v>
      </c>
    </row>
    <row r="138" spans="1:6" ht="20.25" customHeight="1" x14ac:dyDescent="0.3">
      <c r="A138" s="256">
        <v>8</v>
      </c>
      <c r="B138" s="257" t="s">
        <v>446</v>
      </c>
      <c r="C138" s="260">
        <v>2</v>
      </c>
      <c r="D138" s="260">
        <v>3</v>
      </c>
      <c r="E138" s="260">
        <f t="shared" si="18"/>
        <v>1</v>
      </c>
      <c r="F138" s="259">
        <f t="shared" si="19"/>
        <v>0.5</v>
      </c>
    </row>
    <row r="139" spans="1:6" ht="20.25" customHeight="1" x14ac:dyDescent="0.3">
      <c r="A139" s="256">
        <v>9</v>
      </c>
      <c r="B139" s="257" t="s">
        <v>447</v>
      </c>
      <c r="C139" s="260">
        <v>1</v>
      </c>
      <c r="D139" s="260">
        <v>0</v>
      </c>
      <c r="E139" s="260">
        <f t="shared" si="18"/>
        <v>-1</v>
      </c>
      <c r="F139" s="259">
        <f t="shared" si="19"/>
        <v>-1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51228</v>
      </c>
      <c r="D140" s="263">
        <f>+D131+D133</f>
        <v>76806</v>
      </c>
      <c r="E140" s="263">
        <f t="shared" si="18"/>
        <v>25578</v>
      </c>
      <c r="F140" s="264">
        <f t="shared" si="19"/>
        <v>0.49929725931131413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8412</v>
      </c>
      <c r="D141" s="263">
        <f>+D132+D134</f>
        <v>10833</v>
      </c>
      <c r="E141" s="263">
        <f t="shared" si="18"/>
        <v>2421</v>
      </c>
      <c r="F141" s="264">
        <f t="shared" si="19"/>
        <v>0.28780313837375177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9834862</v>
      </c>
      <c r="D198" s="263">
        <f t="shared" si="28"/>
        <v>11126787</v>
      </c>
      <c r="E198" s="263">
        <f t="shared" ref="E198:E208" si="29">D198-C198</f>
        <v>1291925</v>
      </c>
      <c r="F198" s="273">
        <f t="shared" ref="F198:F208" si="30">IF(C198=0,0,E198/C198)</f>
        <v>0.13136178219887579</v>
      </c>
    </row>
    <row r="199" spans="1:9" ht="20.25" customHeight="1" x14ac:dyDescent="0.3">
      <c r="A199" s="271"/>
      <c r="B199" s="272" t="s">
        <v>466</v>
      </c>
      <c r="C199" s="263">
        <f t="shared" si="28"/>
        <v>3167587</v>
      </c>
      <c r="D199" s="263">
        <f t="shared" si="28"/>
        <v>3261238</v>
      </c>
      <c r="E199" s="263">
        <f t="shared" si="29"/>
        <v>93651</v>
      </c>
      <c r="F199" s="273">
        <f t="shared" si="30"/>
        <v>2.9565407358977037E-2</v>
      </c>
    </row>
    <row r="200" spans="1:9" ht="20.25" customHeight="1" x14ac:dyDescent="0.3">
      <c r="A200" s="271"/>
      <c r="B200" s="272" t="s">
        <v>467</v>
      </c>
      <c r="C200" s="263">
        <f t="shared" si="28"/>
        <v>9055757</v>
      </c>
      <c r="D200" s="263">
        <f t="shared" si="28"/>
        <v>12557090</v>
      </c>
      <c r="E200" s="263">
        <f t="shared" si="29"/>
        <v>3501333</v>
      </c>
      <c r="F200" s="273">
        <f t="shared" si="30"/>
        <v>0.38664166894054247</v>
      </c>
    </row>
    <row r="201" spans="1:9" ht="20.25" customHeight="1" x14ac:dyDescent="0.3">
      <c r="A201" s="271"/>
      <c r="B201" s="272" t="s">
        <v>468</v>
      </c>
      <c r="C201" s="263">
        <f t="shared" si="28"/>
        <v>1968614</v>
      </c>
      <c r="D201" s="263">
        <f t="shared" si="28"/>
        <v>2703344</v>
      </c>
      <c r="E201" s="263">
        <f t="shared" si="29"/>
        <v>734730</v>
      </c>
      <c r="F201" s="273">
        <f t="shared" si="30"/>
        <v>0.37322197241307842</v>
      </c>
    </row>
    <row r="202" spans="1:9" ht="20.25" customHeight="1" x14ac:dyDescent="0.3">
      <c r="A202" s="271"/>
      <c r="B202" s="272" t="s">
        <v>138</v>
      </c>
      <c r="C202" s="274">
        <f t="shared" si="28"/>
        <v>346</v>
      </c>
      <c r="D202" s="274">
        <f t="shared" si="28"/>
        <v>366</v>
      </c>
      <c r="E202" s="274">
        <f t="shared" si="29"/>
        <v>20</v>
      </c>
      <c r="F202" s="273">
        <f t="shared" si="30"/>
        <v>5.7803468208092484E-2</v>
      </c>
    </row>
    <row r="203" spans="1:9" ht="20.25" customHeight="1" x14ac:dyDescent="0.3">
      <c r="A203" s="271"/>
      <c r="B203" s="272" t="s">
        <v>140</v>
      </c>
      <c r="C203" s="274">
        <f t="shared" si="28"/>
        <v>1800</v>
      </c>
      <c r="D203" s="274">
        <f t="shared" si="28"/>
        <v>1761</v>
      </c>
      <c r="E203" s="274">
        <f t="shared" si="29"/>
        <v>-39</v>
      </c>
      <c r="F203" s="273">
        <f t="shared" si="30"/>
        <v>-2.1666666666666667E-2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5325</v>
      </c>
      <c r="D204" s="274">
        <f t="shared" si="28"/>
        <v>7931</v>
      </c>
      <c r="E204" s="274">
        <f t="shared" si="29"/>
        <v>2606</v>
      </c>
      <c r="F204" s="273">
        <f t="shared" si="30"/>
        <v>0.48938967136150235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944</v>
      </c>
      <c r="D205" s="274">
        <f t="shared" si="28"/>
        <v>1028</v>
      </c>
      <c r="E205" s="274">
        <f t="shared" si="29"/>
        <v>84</v>
      </c>
      <c r="F205" s="273">
        <f t="shared" si="30"/>
        <v>8.8983050847457626E-2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282</v>
      </c>
      <c r="D206" s="274">
        <f t="shared" si="28"/>
        <v>324</v>
      </c>
      <c r="E206" s="274">
        <f t="shared" si="29"/>
        <v>42</v>
      </c>
      <c r="F206" s="273">
        <f t="shared" si="30"/>
        <v>0.14893617021276595</v>
      </c>
    </row>
    <row r="207" spans="1:9" ht="20.25" customHeight="1" x14ac:dyDescent="0.3">
      <c r="A207" s="271"/>
      <c r="B207" s="262" t="s">
        <v>471</v>
      </c>
      <c r="C207" s="263">
        <f>+C198+C200</f>
        <v>18890619</v>
      </c>
      <c r="D207" s="263">
        <f>+D198+D200</f>
        <v>23683877</v>
      </c>
      <c r="E207" s="263">
        <f t="shared" si="29"/>
        <v>4793258</v>
      </c>
      <c r="F207" s="273">
        <f t="shared" si="30"/>
        <v>0.25373747678675856</v>
      </c>
    </row>
    <row r="208" spans="1:9" ht="20.25" customHeight="1" x14ac:dyDescent="0.3">
      <c r="A208" s="271"/>
      <c r="B208" s="262" t="s">
        <v>472</v>
      </c>
      <c r="C208" s="263">
        <f>+C199+C201</f>
        <v>5136201</v>
      </c>
      <c r="D208" s="263">
        <f>+D199+D201</f>
        <v>5964582</v>
      </c>
      <c r="E208" s="263">
        <f t="shared" si="29"/>
        <v>828381</v>
      </c>
      <c r="F208" s="273">
        <f t="shared" si="30"/>
        <v>0.16128282362781363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171899</v>
      </c>
      <c r="D26" s="258">
        <v>0</v>
      </c>
      <c r="E26" s="258">
        <f t="shared" ref="E26:E36" si="2">D26-C26</f>
        <v>-171899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24777</v>
      </c>
      <c r="D27" s="258">
        <v>0</v>
      </c>
      <c r="E27" s="258">
        <f t="shared" si="2"/>
        <v>-24777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1432928</v>
      </c>
      <c r="D28" s="258">
        <v>0</v>
      </c>
      <c r="E28" s="258">
        <f t="shared" si="2"/>
        <v>-1432928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191786</v>
      </c>
      <c r="D29" s="258">
        <v>0</v>
      </c>
      <c r="E29" s="258">
        <f t="shared" si="2"/>
        <v>-191786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8</v>
      </c>
      <c r="D30" s="260">
        <v>0</v>
      </c>
      <c r="E30" s="260">
        <f t="shared" si="2"/>
        <v>-8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23</v>
      </c>
      <c r="D31" s="260">
        <v>0</v>
      </c>
      <c r="E31" s="260">
        <f t="shared" si="2"/>
        <v>-23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754</v>
      </c>
      <c r="D32" s="260">
        <v>0</v>
      </c>
      <c r="E32" s="260">
        <f t="shared" si="2"/>
        <v>-754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582</v>
      </c>
      <c r="D33" s="260">
        <v>0</v>
      </c>
      <c r="E33" s="260">
        <f t="shared" si="2"/>
        <v>-582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8</v>
      </c>
      <c r="D34" s="260">
        <v>0</v>
      </c>
      <c r="E34" s="260">
        <f t="shared" si="2"/>
        <v>-8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1604827</v>
      </c>
      <c r="D35" s="263">
        <f>+D26+D28</f>
        <v>0</v>
      </c>
      <c r="E35" s="263">
        <f t="shared" si="2"/>
        <v>-1604827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216563</v>
      </c>
      <c r="D36" s="263">
        <f>+D27+D29</f>
        <v>0</v>
      </c>
      <c r="E36" s="263">
        <f t="shared" si="2"/>
        <v>-216563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84553</v>
      </c>
      <c r="D86" s="258">
        <v>0</v>
      </c>
      <c r="E86" s="258">
        <f t="shared" ref="E86:E96" si="12">D86-C86</f>
        <v>-84553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26553</v>
      </c>
      <c r="D87" s="258">
        <v>0</v>
      </c>
      <c r="E87" s="258">
        <f t="shared" si="12"/>
        <v>-26553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373404</v>
      </c>
      <c r="D88" s="258">
        <v>0</v>
      </c>
      <c r="E88" s="258">
        <f t="shared" si="12"/>
        <v>-373404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73404</v>
      </c>
      <c r="D89" s="258">
        <v>0</v>
      </c>
      <c r="E89" s="258">
        <f t="shared" si="12"/>
        <v>-73404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3</v>
      </c>
      <c r="D90" s="260">
        <v>0</v>
      </c>
      <c r="E90" s="260">
        <f t="shared" si="12"/>
        <v>-3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21</v>
      </c>
      <c r="D91" s="260">
        <v>0</v>
      </c>
      <c r="E91" s="260">
        <f t="shared" si="12"/>
        <v>-21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217</v>
      </c>
      <c r="D92" s="260">
        <v>0</v>
      </c>
      <c r="E92" s="260">
        <f t="shared" si="12"/>
        <v>-217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182</v>
      </c>
      <c r="D93" s="260">
        <v>0</v>
      </c>
      <c r="E93" s="260">
        <f t="shared" si="12"/>
        <v>-182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3</v>
      </c>
      <c r="D94" s="260">
        <v>0</v>
      </c>
      <c r="E94" s="260">
        <f t="shared" si="12"/>
        <v>-3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457957</v>
      </c>
      <c r="D95" s="263">
        <f>+D86+D88</f>
        <v>0</v>
      </c>
      <c r="E95" s="263">
        <f t="shared" si="12"/>
        <v>-457957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99957</v>
      </c>
      <c r="D96" s="263">
        <f>+D87+D89</f>
        <v>0</v>
      </c>
      <c r="E96" s="263">
        <f t="shared" si="12"/>
        <v>-99957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214051</v>
      </c>
      <c r="D98" s="258">
        <v>0</v>
      </c>
      <c r="E98" s="258">
        <f t="shared" ref="E98:E108" si="14">D98-C98</f>
        <v>-214051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73538</v>
      </c>
      <c r="D99" s="258">
        <v>0</v>
      </c>
      <c r="E99" s="258">
        <f t="shared" si="14"/>
        <v>-73538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943601</v>
      </c>
      <c r="D100" s="258">
        <v>0</v>
      </c>
      <c r="E100" s="258">
        <f t="shared" si="14"/>
        <v>-943601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171685</v>
      </c>
      <c r="D101" s="258">
        <v>0</v>
      </c>
      <c r="E101" s="258">
        <f t="shared" si="14"/>
        <v>-171685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7</v>
      </c>
      <c r="D102" s="260">
        <v>0</v>
      </c>
      <c r="E102" s="260">
        <f t="shared" si="14"/>
        <v>-7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60</v>
      </c>
      <c r="D103" s="260">
        <v>0</v>
      </c>
      <c r="E103" s="260">
        <f t="shared" si="14"/>
        <v>-60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566</v>
      </c>
      <c r="D104" s="260">
        <v>0</v>
      </c>
      <c r="E104" s="260">
        <f t="shared" si="14"/>
        <v>-566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369</v>
      </c>
      <c r="D105" s="260">
        <v>0</v>
      </c>
      <c r="E105" s="260">
        <f t="shared" si="14"/>
        <v>-369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6</v>
      </c>
      <c r="D106" s="260">
        <v>0</v>
      </c>
      <c r="E106" s="260">
        <f t="shared" si="14"/>
        <v>-6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1157652</v>
      </c>
      <c r="D107" s="263">
        <f>+D98+D100</f>
        <v>0</v>
      </c>
      <c r="E107" s="263">
        <f t="shared" si="14"/>
        <v>-1157652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245223</v>
      </c>
      <c r="D108" s="263">
        <f>+D99+D101</f>
        <v>0</v>
      </c>
      <c r="E108" s="263">
        <f t="shared" si="14"/>
        <v>-245223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470503</v>
      </c>
      <c r="D112" s="263">
        <f t="shared" si="16"/>
        <v>0</v>
      </c>
      <c r="E112" s="263">
        <f t="shared" ref="E112:E122" si="17">D112-C112</f>
        <v>-470503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124868</v>
      </c>
      <c r="D113" s="263">
        <f t="shared" si="16"/>
        <v>0</v>
      </c>
      <c r="E113" s="263">
        <f t="shared" si="17"/>
        <v>-124868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2749933</v>
      </c>
      <c r="D114" s="263">
        <f t="shared" si="16"/>
        <v>0</v>
      </c>
      <c r="E114" s="263">
        <f t="shared" si="17"/>
        <v>-2749933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436875</v>
      </c>
      <c r="D115" s="263">
        <f t="shared" si="16"/>
        <v>0</v>
      </c>
      <c r="E115" s="263">
        <f t="shared" si="17"/>
        <v>-436875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18</v>
      </c>
      <c r="D116" s="287">
        <f t="shared" si="16"/>
        <v>0</v>
      </c>
      <c r="E116" s="287">
        <f t="shared" si="17"/>
        <v>-18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104</v>
      </c>
      <c r="D117" s="287">
        <f t="shared" si="16"/>
        <v>0</v>
      </c>
      <c r="E117" s="287">
        <f t="shared" si="17"/>
        <v>-104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1537</v>
      </c>
      <c r="D118" s="287">
        <f t="shared" si="16"/>
        <v>0</v>
      </c>
      <c r="E118" s="287">
        <f t="shared" si="17"/>
        <v>-1537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1133</v>
      </c>
      <c r="D119" s="287">
        <f t="shared" si="16"/>
        <v>0</v>
      </c>
      <c r="E119" s="287">
        <f t="shared" si="17"/>
        <v>-1133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17</v>
      </c>
      <c r="D120" s="287">
        <f t="shared" si="16"/>
        <v>0</v>
      </c>
      <c r="E120" s="287">
        <f t="shared" si="17"/>
        <v>-17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3220436</v>
      </c>
      <c r="D121" s="263">
        <f>+D112+D114</f>
        <v>0</v>
      </c>
      <c r="E121" s="263">
        <f t="shared" si="17"/>
        <v>-3220436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561743</v>
      </c>
      <c r="D122" s="263">
        <f>+D113+D115</f>
        <v>0</v>
      </c>
      <c r="E122" s="263">
        <f t="shared" si="17"/>
        <v>-561743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20052067</v>
      </c>
      <c r="D13" s="22">
        <v>22439356</v>
      </c>
      <c r="E13" s="22">
        <f t="shared" ref="E13:E22" si="0">D13-C13</f>
        <v>2387289</v>
      </c>
      <c r="F13" s="306">
        <f t="shared" ref="F13:F22" si="1">IF(C13=0,0,E13/C13)</f>
        <v>0.11905450944284197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46711256</v>
      </c>
      <c r="D15" s="22">
        <v>46524143</v>
      </c>
      <c r="E15" s="22">
        <f t="shared" si="0"/>
        <v>-187113</v>
      </c>
      <c r="F15" s="306">
        <f t="shared" si="1"/>
        <v>-4.0057368613680604E-3</v>
      </c>
    </row>
    <row r="16" spans="1:8" ht="35.1" customHeight="1" x14ac:dyDescent="0.2">
      <c r="A16" s="304">
        <v>4</v>
      </c>
      <c r="B16" s="305" t="s">
        <v>19</v>
      </c>
      <c r="C16" s="22">
        <v>5435445</v>
      </c>
      <c r="D16" s="22">
        <v>1850531</v>
      </c>
      <c r="E16" s="22">
        <f t="shared" si="0"/>
        <v>-3584914</v>
      </c>
      <c r="F16" s="306">
        <f t="shared" si="1"/>
        <v>-0.65954379080277692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4402920</v>
      </c>
      <c r="D18" s="22">
        <v>3463096</v>
      </c>
      <c r="E18" s="22">
        <f t="shared" si="0"/>
        <v>-939824</v>
      </c>
      <c r="F18" s="306">
        <f t="shared" si="1"/>
        <v>-0.21345470733058969</v>
      </c>
    </row>
    <row r="19" spans="1:11" ht="24" customHeight="1" x14ac:dyDescent="0.2">
      <c r="A19" s="304">
        <v>7</v>
      </c>
      <c r="B19" s="305" t="s">
        <v>22</v>
      </c>
      <c r="C19" s="22">
        <v>4253600</v>
      </c>
      <c r="D19" s="22">
        <v>5065716</v>
      </c>
      <c r="E19" s="22">
        <f t="shared" si="0"/>
        <v>812116</v>
      </c>
      <c r="F19" s="306">
        <f t="shared" si="1"/>
        <v>0.19092439345495579</v>
      </c>
    </row>
    <row r="20" spans="1:11" ht="24" customHeight="1" x14ac:dyDescent="0.2">
      <c r="A20" s="304">
        <v>8</v>
      </c>
      <c r="B20" s="305" t="s">
        <v>23</v>
      </c>
      <c r="C20" s="22">
        <v>5020607</v>
      </c>
      <c r="D20" s="22">
        <v>5046865</v>
      </c>
      <c r="E20" s="22">
        <f t="shared" si="0"/>
        <v>26258</v>
      </c>
      <c r="F20" s="306">
        <f t="shared" si="1"/>
        <v>5.23004489297808E-3</v>
      </c>
    </row>
    <row r="21" spans="1:11" ht="24" customHeight="1" x14ac:dyDescent="0.2">
      <c r="A21" s="304">
        <v>9</v>
      </c>
      <c r="B21" s="305" t="s">
        <v>24</v>
      </c>
      <c r="C21" s="22">
        <v>0</v>
      </c>
      <c r="D21" s="22">
        <v>0</v>
      </c>
      <c r="E21" s="22">
        <f t="shared" si="0"/>
        <v>0</v>
      </c>
      <c r="F21" s="306">
        <f t="shared" si="1"/>
        <v>0</v>
      </c>
    </row>
    <row r="22" spans="1:11" ht="24" customHeight="1" x14ac:dyDescent="0.25">
      <c r="A22" s="307"/>
      <c r="B22" s="308" t="s">
        <v>25</v>
      </c>
      <c r="C22" s="309">
        <f>SUM(C13:C21)</f>
        <v>85875895</v>
      </c>
      <c r="D22" s="309">
        <f>SUM(D13:D21)</f>
        <v>84389707</v>
      </c>
      <c r="E22" s="309">
        <f t="shared" si="0"/>
        <v>-1486188</v>
      </c>
      <c r="F22" s="310">
        <f t="shared" si="1"/>
        <v>-1.7306230112652685E-2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12342602</v>
      </c>
      <c r="D25" s="22">
        <v>12824429</v>
      </c>
      <c r="E25" s="22">
        <f>D25-C25</f>
        <v>481827</v>
      </c>
      <c r="F25" s="306">
        <f>IF(C25=0,0,E25/C25)</f>
        <v>3.9037716682430494E-2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42086540</v>
      </c>
      <c r="D28" s="22">
        <v>42139177</v>
      </c>
      <c r="E28" s="22">
        <f>D28-C28</f>
        <v>52637</v>
      </c>
      <c r="F28" s="306">
        <f>IF(C28=0,0,E28/C28)</f>
        <v>1.2506848983071547E-3</v>
      </c>
    </row>
    <row r="29" spans="1:11" ht="35.1" customHeight="1" x14ac:dyDescent="0.25">
      <c r="A29" s="307"/>
      <c r="B29" s="308" t="s">
        <v>32</v>
      </c>
      <c r="C29" s="309">
        <f>SUM(C25:C28)</f>
        <v>54429142</v>
      </c>
      <c r="D29" s="309">
        <f>SUM(D25:D28)</f>
        <v>54963606</v>
      </c>
      <c r="E29" s="309">
        <f>D29-C29</f>
        <v>534464</v>
      </c>
      <c r="F29" s="310">
        <f>IF(C29=0,0,E29/C29)</f>
        <v>9.8194456197747883E-3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35011140</v>
      </c>
      <c r="D32" s="22">
        <v>26741383</v>
      </c>
      <c r="E32" s="22">
        <f>D32-C32</f>
        <v>-8269757</v>
      </c>
      <c r="F32" s="306">
        <f>IF(C32=0,0,E32/C32)</f>
        <v>-0.23620359119982953</v>
      </c>
    </row>
    <row r="33" spans="1:8" ht="24" customHeight="1" x14ac:dyDescent="0.2">
      <c r="A33" s="304">
        <v>7</v>
      </c>
      <c r="B33" s="305" t="s">
        <v>35</v>
      </c>
      <c r="C33" s="22">
        <v>11678494</v>
      </c>
      <c r="D33" s="22">
        <v>20183543</v>
      </c>
      <c r="E33" s="22">
        <f>D33-C33</f>
        <v>8505049</v>
      </c>
      <c r="F33" s="306">
        <f>IF(C33=0,0,E33/C33)</f>
        <v>0.72826590483327736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313325973</v>
      </c>
      <c r="D36" s="22">
        <v>302185099</v>
      </c>
      <c r="E36" s="22">
        <f>D36-C36</f>
        <v>-11140874</v>
      </c>
      <c r="F36" s="306">
        <f>IF(C36=0,0,E36/C36)</f>
        <v>-3.555681609580448E-2</v>
      </c>
    </row>
    <row r="37" spans="1:8" ht="24" customHeight="1" x14ac:dyDescent="0.2">
      <c r="A37" s="304">
        <v>2</v>
      </c>
      <c r="B37" s="305" t="s">
        <v>39</v>
      </c>
      <c r="C37" s="22">
        <v>219601454</v>
      </c>
      <c r="D37" s="22">
        <v>206928185</v>
      </c>
      <c r="E37" s="22">
        <f>D37-C37</f>
        <v>-12673269</v>
      </c>
      <c r="F37" s="22">
        <f>IF(C37=0,0,E37/C37)</f>
        <v>-5.7710314613854972E-2</v>
      </c>
    </row>
    <row r="38" spans="1:8" ht="24" customHeight="1" x14ac:dyDescent="0.25">
      <c r="A38" s="307"/>
      <c r="B38" s="308" t="s">
        <v>40</v>
      </c>
      <c r="C38" s="309">
        <f>C36-C37</f>
        <v>93724519</v>
      </c>
      <c r="D38" s="309">
        <f>D36-D37</f>
        <v>95256914</v>
      </c>
      <c r="E38" s="309">
        <f>D38-C38</f>
        <v>1532395</v>
      </c>
      <c r="F38" s="310">
        <f>IF(C38=0,0,E38/C38)</f>
        <v>1.6349990550498319E-2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2570935</v>
      </c>
      <c r="D40" s="22">
        <v>931583</v>
      </c>
      <c r="E40" s="22">
        <f>D40-C40</f>
        <v>-1639352</v>
      </c>
      <c r="F40" s="306">
        <f>IF(C40=0,0,E40/C40)</f>
        <v>-0.63764817080167335</v>
      </c>
    </row>
    <row r="41" spans="1:8" ht="24" customHeight="1" x14ac:dyDescent="0.25">
      <c r="A41" s="307"/>
      <c r="B41" s="308" t="s">
        <v>42</v>
      </c>
      <c r="C41" s="309">
        <f>+C38+C40</f>
        <v>96295454</v>
      </c>
      <c r="D41" s="309">
        <f>+D38+D40</f>
        <v>96188497</v>
      </c>
      <c r="E41" s="309">
        <f>D41-C41</f>
        <v>-106957</v>
      </c>
      <c r="F41" s="310">
        <f>IF(C41=0,0,E41/C41)</f>
        <v>-1.1107170230486684E-3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283290125</v>
      </c>
      <c r="D43" s="309">
        <f>D22+D29+D31+D32+D33+D41</f>
        <v>282466736</v>
      </c>
      <c r="E43" s="309">
        <f>D43-C43</f>
        <v>-823389</v>
      </c>
      <c r="F43" s="310">
        <f>IF(C43=0,0,E43/C43)</f>
        <v>-2.906522068144804E-3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25121249</v>
      </c>
      <c r="D49" s="22">
        <v>29240555</v>
      </c>
      <c r="E49" s="22">
        <f t="shared" ref="E49:E56" si="2">D49-C49</f>
        <v>4119306</v>
      </c>
      <c r="F49" s="306">
        <f t="shared" ref="F49:F56" si="3">IF(C49=0,0,E49/C49)</f>
        <v>0.16397695831126868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5609427</v>
      </c>
      <c r="D50" s="22">
        <v>5634280</v>
      </c>
      <c r="E50" s="22">
        <f t="shared" si="2"/>
        <v>24853</v>
      </c>
      <c r="F50" s="306">
        <f t="shared" si="3"/>
        <v>4.4305773120855299E-3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2793775</v>
      </c>
      <c r="D51" s="22">
        <v>4512361</v>
      </c>
      <c r="E51" s="22">
        <f t="shared" si="2"/>
        <v>1718586</v>
      </c>
      <c r="F51" s="306">
        <f t="shared" si="3"/>
        <v>0.61514832082039539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8831469</v>
      </c>
      <c r="D53" s="22">
        <v>8925357</v>
      </c>
      <c r="E53" s="22">
        <f t="shared" si="2"/>
        <v>93888</v>
      </c>
      <c r="F53" s="306">
        <f t="shared" si="3"/>
        <v>1.0631073947040973E-2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4572885</v>
      </c>
      <c r="D54" s="22">
        <v>4406965</v>
      </c>
      <c r="E54" s="22">
        <f t="shared" si="2"/>
        <v>-165920</v>
      </c>
      <c r="F54" s="306">
        <f t="shared" si="3"/>
        <v>-3.6283440322684692E-2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12050537</v>
      </c>
      <c r="D55" s="22">
        <v>11625999</v>
      </c>
      <c r="E55" s="22">
        <f t="shared" si="2"/>
        <v>-424538</v>
      </c>
      <c r="F55" s="306">
        <f t="shared" si="3"/>
        <v>-3.5229799302719869E-2</v>
      </c>
    </row>
    <row r="56" spans="1:6" ht="24" customHeight="1" x14ac:dyDescent="0.25">
      <c r="A56" s="307"/>
      <c r="B56" s="308" t="s">
        <v>54</v>
      </c>
      <c r="C56" s="309">
        <f>SUM(C49:C55)</f>
        <v>58979342</v>
      </c>
      <c r="D56" s="309">
        <f>SUM(D49:D55)</f>
        <v>64345517</v>
      </c>
      <c r="E56" s="309">
        <f t="shared" si="2"/>
        <v>5366175</v>
      </c>
      <c r="F56" s="310">
        <f t="shared" si="3"/>
        <v>9.0983975372258302E-2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74496875</v>
      </c>
      <c r="D59" s="22">
        <v>72082455</v>
      </c>
      <c r="E59" s="22">
        <f>D59-C59</f>
        <v>-2414420</v>
      </c>
      <c r="F59" s="306">
        <f>IF(C59=0,0,E59/C59)</f>
        <v>-3.2409681614161669E-2</v>
      </c>
    </row>
    <row r="60" spans="1:6" ht="24" customHeight="1" x14ac:dyDescent="0.2">
      <c r="A60" s="304">
        <v>2</v>
      </c>
      <c r="B60" s="305" t="s">
        <v>57</v>
      </c>
      <c r="C60" s="22">
        <v>13044874</v>
      </c>
      <c r="D60" s="22">
        <v>12333551</v>
      </c>
      <c r="E60" s="22">
        <f>D60-C60</f>
        <v>-711323</v>
      </c>
      <c r="F60" s="306">
        <f>IF(C60=0,0,E60/C60)</f>
        <v>-5.4528928374471076E-2</v>
      </c>
    </row>
    <row r="61" spans="1:6" ht="24" customHeight="1" x14ac:dyDescent="0.25">
      <c r="A61" s="307"/>
      <c r="B61" s="308" t="s">
        <v>58</v>
      </c>
      <c r="C61" s="309">
        <f>SUM(C59:C60)</f>
        <v>87541749</v>
      </c>
      <c r="D61" s="309">
        <f>SUM(D59:D60)</f>
        <v>84416006</v>
      </c>
      <c r="E61" s="309">
        <f>D61-C61</f>
        <v>-3125743</v>
      </c>
      <c r="F61" s="310">
        <f>IF(C61=0,0,E61/C61)</f>
        <v>-3.5705740811735436E-2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74618608</v>
      </c>
      <c r="D63" s="22">
        <v>38111463</v>
      </c>
      <c r="E63" s="22">
        <f>D63-C63</f>
        <v>-36507145</v>
      </c>
      <c r="F63" s="306">
        <f>IF(C63=0,0,E63/C63)</f>
        <v>-0.48924987986910717</v>
      </c>
    </row>
    <row r="64" spans="1:6" ht="24" customHeight="1" x14ac:dyDescent="0.2">
      <c r="A64" s="304">
        <v>4</v>
      </c>
      <c r="B64" s="305" t="s">
        <v>60</v>
      </c>
      <c r="C64" s="22">
        <v>10549165</v>
      </c>
      <c r="D64" s="22">
        <v>9744601</v>
      </c>
      <c r="E64" s="22">
        <f>D64-C64</f>
        <v>-804564</v>
      </c>
      <c r="F64" s="306">
        <f>IF(C64=0,0,E64/C64)</f>
        <v>-7.6268026900707303E-2</v>
      </c>
    </row>
    <row r="65" spans="1:6" ht="24" customHeight="1" x14ac:dyDescent="0.25">
      <c r="A65" s="307"/>
      <c r="B65" s="308" t="s">
        <v>61</v>
      </c>
      <c r="C65" s="309">
        <f>SUM(C61:C64)</f>
        <v>172709522</v>
      </c>
      <c r="D65" s="309">
        <f>SUM(D61:D64)</f>
        <v>132272070</v>
      </c>
      <c r="E65" s="309">
        <f>D65-C65</f>
        <v>-40437452</v>
      </c>
      <c r="F65" s="310">
        <f>IF(C65=0,0,E65/C65)</f>
        <v>-0.23413562571263441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36549384</v>
      </c>
      <c r="D70" s="22">
        <v>70965928</v>
      </c>
      <c r="E70" s="22">
        <f>D70-C70</f>
        <v>34416544</v>
      </c>
      <c r="F70" s="306">
        <f>IF(C70=0,0,E70/C70)</f>
        <v>0.94164498093866644</v>
      </c>
    </row>
    <row r="71" spans="1:6" ht="24" customHeight="1" x14ac:dyDescent="0.2">
      <c r="A71" s="304">
        <v>2</v>
      </c>
      <c r="B71" s="305" t="s">
        <v>65</v>
      </c>
      <c r="C71" s="22">
        <v>3243522</v>
      </c>
      <c r="D71" s="22">
        <v>2587301</v>
      </c>
      <c r="E71" s="22">
        <f>D71-C71</f>
        <v>-656221</v>
      </c>
      <c r="F71" s="306">
        <f>IF(C71=0,0,E71/C71)</f>
        <v>-0.20231741915115728</v>
      </c>
    </row>
    <row r="72" spans="1:6" ht="24" customHeight="1" x14ac:dyDescent="0.2">
      <c r="A72" s="304">
        <v>3</v>
      </c>
      <c r="B72" s="305" t="s">
        <v>66</v>
      </c>
      <c r="C72" s="22">
        <v>11808355</v>
      </c>
      <c r="D72" s="22">
        <v>12295920</v>
      </c>
      <c r="E72" s="22">
        <f>D72-C72</f>
        <v>487565</v>
      </c>
      <c r="F72" s="306">
        <f>IF(C72=0,0,E72/C72)</f>
        <v>4.1289832495720193E-2</v>
      </c>
    </row>
    <row r="73" spans="1:6" ht="24" customHeight="1" x14ac:dyDescent="0.25">
      <c r="A73" s="304"/>
      <c r="B73" s="308" t="s">
        <v>67</v>
      </c>
      <c r="C73" s="309">
        <f>SUM(C70:C72)</f>
        <v>51601261</v>
      </c>
      <c r="D73" s="309">
        <f>SUM(D70:D72)</f>
        <v>85849149</v>
      </c>
      <c r="E73" s="309">
        <f>D73-C73</f>
        <v>34247888</v>
      </c>
      <c r="F73" s="310">
        <f>IF(C73=0,0,E73/C73)</f>
        <v>0.6637025401375366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283290125</v>
      </c>
      <c r="D75" s="309">
        <f>D56+D65+D67+D73</f>
        <v>282466736</v>
      </c>
      <c r="E75" s="309">
        <f>D75-C75</f>
        <v>-823389</v>
      </c>
      <c r="F75" s="310">
        <f>IF(C75=0,0,E75/C75)</f>
        <v>-2.906522068144804E-3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754864642</v>
      </c>
      <c r="D11" s="76">
        <v>900707906</v>
      </c>
      <c r="E11" s="76">
        <f t="shared" ref="E11:E20" si="0">D11-C11</f>
        <v>145843264</v>
      </c>
      <c r="F11" s="77">
        <f t="shared" ref="F11:F20" si="1">IF(C11=0,0,E11/C11)</f>
        <v>0.19320452420925552</v>
      </c>
    </row>
    <row r="12" spans="1:7" ht="23.1" customHeight="1" x14ac:dyDescent="0.2">
      <c r="A12" s="74">
        <v>2</v>
      </c>
      <c r="B12" s="75" t="s">
        <v>72</v>
      </c>
      <c r="C12" s="76">
        <v>470675259</v>
      </c>
      <c r="D12" s="76">
        <v>585405098</v>
      </c>
      <c r="E12" s="76">
        <f t="shared" si="0"/>
        <v>114729839</v>
      </c>
      <c r="F12" s="77">
        <f t="shared" si="1"/>
        <v>0.24375583123650016</v>
      </c>
    </row>
    <row r="13" spans="1:7" ht="23.1" customHeight="1" x14ac:dyDescent="0.2">
      <c r="A13" s="74">
        <v>3</v>
      </c>
      <c r="B13" s="75" t="s">
        <v>73</v>
      </c>
      <c r="C13" s="76">
        <v>7146386</v>
      </c>
      <c r="D13" s="76">
        <v>5180649</v>
      </c>
      <c r="E13" s="76">
        <f t="shared" si="0"/>
        <v>-1965737</v>
      </c>
      <c r="F13" s="77">
        <f t="shared" si="1"/>
        <v>-0.27506728575814404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277042997</v>
      </c>
      <c r="D15" s="79">
        <f>D11-D12-D13-D14</f>
        <v>310122159</v>
      </c>
      <c r="E15" s="79">
        <f t="shared" si="0"/>
        <v>33079162</v>
      </c>
      <c r="F15" s="80">
        <f t="shared" si="1"/>
        <v>0.119400823547978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11142202</v>
      </c>
      <c r="E16" s="76">
        <f t="shared" si="0"/>
        <v>11142202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277042997</v>
      </c>
      <c r="D17" s="79">
        <f>D15-D16</f>
        <v>298979957</v>
      </c>
      <c r="E17" s="79">
        <f t="shared" si="0"/>
        <v>21936960</v>
      </c>
      <c r="F17" s="80">
        <f t="shared" si="1"/>
        <v>7.9182510431765218E-2</v>
      </c>
    </row>
    <row r="18" spans="1:7" ht="23.1" customHeight="1" x14ac:dyDescent="0.2">
      <c r="A18" s="74">
        <v>6</v>
      </c>
      <c r="B18" s="75" t="s">
        <v>78</v>
      </c>
      <c r="C18" s="76">
        <v>28201071</v>
      </c>
      <c r="D18" s="76">
        <v>27116509</v>
      </c>
      <c r="E18" s="76">
        <f t="shared" si="0"/>
        <v>-1084562</v>
      </c>
      <c r="F18" s="77">
        <f t="shared" si="1"/>
        <v>-3.8458184797307872E-2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638113</v>
      </c>
      <c r="D19" s="76">
        <v>1871227</v>
      </c>
      <c r="E19" s="76">
        <f t="shared" si="0"/>
        <v>1233114</v>
      </c>
      <c r="F19" s="77">
        <f t="shared" si="1"/>
        <v>1.9324382985458688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305882181</v>
      </c>
      <c r="D20" s="79">
        <f>SUM(D17:D19)</f>
        <v>327967693</v>
      </c>
      <c r="E20" s="79">
        <f t="shared" si="0"/>
        <v>22085512</v>
      </c>
      <c r="F20" s="80">
        <f t="shared" si="1"/>
        <v>7.2202675970850352E-2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139915729</v>
      </c>
      <c r="D23" s="76">
        <v>163729402</v>
      </c>
      <c r="E23" s="76">
        <f t="shared" ref="E23:E32" si="2">D23-C23</f>
        <v>23813673</v>
      </c>
      <c r="F23" s="77">
        <f t="shared" ref="F23:F32" si="3">IF(C23=0,0,E23/C23)</f>
        <v>0.17020011381279371</v>
      </c>
    </row>
    <row r="24" spans="1:7" ht="23.1" customHeight="1" x14ac:dyDescent="0.2">
      <c r="A24" s="74">
        <v>2</v>
      </c>
      <c r="B24" s="75" t="s">
        <v>83</v>
      </c>
      <c r="C24" s="76">
        <v>40155469</v>
      </c>
      <c r="D24" s="76">
        <v>47592094</v>
      </c>
      <c r="E24" s="76">
        <f t="shared" si="2"/>
        <v>7436625</v>
      </c>
      <c r="F24" s="77">
        <f t="shared" si="3"/>
        <v>0.18519581977737579</v>
      </c>
    </row>
    <row r="25" spans="1:7" ht="23.1" customHeight="1" x14ac:dyDescent="0.2">
      <c r="A25" s="74">
        <v>3</v>
      </c>
      <c r="B25" s="75" t="s">
        <v>84</v>
      </c>
      <c r="C25" s="76">
        <v>10398896</v>
      </c>
      <c r="D25" s="76">
        <v>11330248</v>
      </c>
      <c r="E25" s="76">
        <f t="shared" si="2"/>
        <v>931352</v>
      </c>
      <c r="F25" s="77">
        <f t="shared" si="3"/>
        <v>8.9562584335875661E-2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36089404</v>
      </c>
      <c r="D26" s="76">
        <v>36699785</v>
      </c>
      <c r="E26" s="76">
        <f t="shared" si="2"/>
        <v>610381</v>
      </c>
      <c r="F26" s="77">
        <f t="shared" si="3"/>
        <v>1.6913025219258263E-2</v>
      </c>
    </row>
    <row r="27" spans="1:7" ht="23.1" customHeight="1" x14ac:dyDescent="0.2">
      <c r="A27" s="74">
        <v>5</v>
      </c>
      <c r="B27" s="75" t="s">
        <v>86</v>
      </c>
      <c r="C27" s="76">
        <v>11811633</v>
      </c>
      <c r="D27" s="76">
        <v>12290822</v>
      </c>
      <c r="E27" s="76">
        <f t="shared" si="2"/>
        <v>479189</v>
      </c>
      <c r="F27" s="77">
        <f t="shared" si="3"/>
        <v>4.0569242203851066E-2</v>
      </c>
    </row>
    <row r="28" spans="1:7" ht="23.1" customHeight="1" x14ac:dyDescent="0.2">
      <c r="A28" s="74">
        <v>6</v>
      </c>
      <c r="B28" s="75" t="s">
        <v>87</v>
      </c>
      <c r="C28" s="76">
        <v>11285210</v>
      </c>
      <c r="D28" s="76">
        <v>0</v>
      </c>
      <c r="E28" s="76">
        <f t="shared" si="2"/>
        <v>-11285210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3981831</v>
      </c>
      <c r="D29" s="76">
        <v>3907765</v>
      </c>
      <c r="E29" s="76">
        <f t="shared" si="2"/>
        <v>-74066</v>
      </c>
      <c r="F29" s="77">
        <f t="shared" si="3"/>
        <v>-1.8600990348410066E-2</v>
      </c>
    </row>
    <row r="30" spans="1:7" ht="23.1" customHeight="1" x14ac:dyDescent="0.2">
      <c r="A30" s="74">
        <v>8</v>
      </c>
      <c r="B30" s="75" t="s">
        <v>89</v>
      </c>
      <c r="C30" s="76">
        <v>6669181</v>
      </c>
      <c r="D30" s="76">
        <v>8373093</v>
      </c>
      <c r="E30" s="76">
        <f t="shared" si="2"/>
        <v>1703912</v>
      </c>
      <c r="F30" s="77">
        <f t="shared" si="3"/>
        <v>0.25549044177988273</v>
      </c>
    </row>
    <row r="31" spans="1:7" ht="23.1" customHeight="1" x14ac:dyDescent="0.2">
      <c r="A31" s="74">
        <v>9</v>
      </c>
      <c r="B31" s="75" t="s">
        <v>90</v>
      </c>
      <c r="C31" s="76">
        <v>40647136</v>
      </c>
      <c r="D31" s="76">
        <v>43931989</v>
      </c>
      <c r="E31" s="76">
        <f t="shared" si="2"/>
        <v>3284853</v>
      </c>
      <c r="F31" s="77">
        <f t="shared" si="3"/>
        <v>8.0813885632680243E-2</v>
      </c>
    </row>
    <row r="32" spans="1:7" ht="23.1" customHeight="1" x14ac:dyDescent="0.25">
      <c r="A32" s="71"/>
      <c r="B32" s="78" t="s">
        <v>91</v>
      </c>
      <c r="C32" s="79">
        <f>SUM(C23:C31)</f>
        <v>300954489</v>
      </c>
      <c r="D32" s="79">
        <f>SUM(D23:D31)</f>
        <v>327855198</v>
      </c>
      <c r="E32" s="79">
        <f t="shared" si="2"/>
        <v>26900709</v>
      </c>
      <c r="F32" s="80">
        <f t="shared" si="3"/>
        <v>8.9384641144196392E-2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4927692</v>
      </c>
      <c r="D34" s="79">
        <f>+D20-D32</f>
        <v>112495</v>
      </c>
      <c r="E34" s="79">
        <f>D34-C34</f>
        <v>-4815197</v>
      </c>
      <c r="F34" s="80">
        <f>IF(C34=0,0,E34/C34)</f>
        <v>-0.97717085402253223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1190</v>
      </c>
      <c r="D37" s="76">
        <v>2784</v>
      </c>
      <c r="E37" s="76">
        <f>D37-C37</f>
        <v>1594</v>
      </c>
      <c r="F37" s="77">
        <f>IF(C37=0,0,E37/C37)</f>
        <v>1.3394957983193276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-1201726</v>
      </c>
      <c r="D39" s="76">
        <v>-2141373</v>
      </c>
      <c r="E39" s="76">
        <f>D39-C39</f>
        <v>-939647</v>
      </c>
      <c r="F39" s="77">
        <f>IF(C39=0,0,E39/C39)</f>
        <v>0.78191451295886083</v>
      </c>
    </row>
    <row r="40" spans="1:6" ht="23.1" customHeight="1" x14ac:dyDescent="0.25">
      <c r="A40" s="83"/>
      <c r="B40" s="78" t="s">
        <v>97</v>
      </c>
      <c r="C40" s="79">
        <f>SUM(C37:C39)</f>
        <v>-1200536</v>
      </c>
      <c r="D40" s="79">
        <f>SUM(D37:D39)</f>
        <v>-2138589</v>
      </c>
      <c r="E40" s="79">
        <f>D40-C40</f>
        <v>-938053</v>
      </c>
      <c r="F40" s="80">
        <f>IF(C40=0,0,E40/C40)</f>
        <v>0.781361825051477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3727156</v>
      </c>
      <c r="D42" s="79">
        <f>D34+D40</f>
        <v>-2026094</v>
      </c>
      <c r="E42" s="79">
        <f>D42-C42</f>
        <v>-5753250</v>
      </c>
      <c r="F42" s="80">
        <f>IF(C42=0,0,E42/C42)</f>
        <v>-1.5436032191837423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3727156</v>
      </c>
      <c r="D49" s="79">
        <f>D42+D47</f>
        <v>-2026094</v>
      </c>
      <c r="E49" s="79">
        <f>D49-C49</f>
        <v>-5753250</v>
      </c>
      <c r="F49" s="80">
        <f>IF(C49=0,0,E49/C49)</f>
        <v>-1.5436032191837423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FILING&amp;RROCKVILLE GENERAL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2014-10-07T13:29:48Z</cp:lastPrinted>
  <dcterms:created xsi:type="dcterms:W3CDTF">2014-10-06T18:55:00Z</dcterms:created>
  <dcterms:modified xsi:type="dcterms:W3CDTF">2014-10-09T18:54:47Z</dcterms:modified>
</cp:coreProperties>
</file>