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 s="1"/>
  <c r="D238" i="14"/>
  <c r="D237" i="14"/>
  <c r="D230" i="14"/>
  <c r="D229" i="14"/>
  <c r="D226" i="14"/>
  <c r="D227" i="14" s="1"/>
  <c r="D223" i="14"/>
  <c r="D204" i="14"/>
  <c r="D269" i="14" s="1"/>
  <c r="D203" i="14"/>
  <c r="D283" i="14" s="1"/>
  <c r="D198" i="14"/>
  <c r="D290" i="14" s="1"/>
  <c r="D191" i="14"/>
  <c r="D264" i="14" s="1"/>
  <c r="D189" i="14"/>
  <c r="D215" i="14" s="1"/>
  <c r="D255" i="14" s="1"/>
  <c r="D188" i="14"/>
  <c r="D214" i="14"/>
  <c r="D180" i="14"/>
  <c r="D179" i="14"/>
  <c r="D171" i="14"/>
  <c r="D172" i="14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207" i="14" s="1"/>
  <c r="D208" i="14" s="1"/>
  <c r="D135" i="14"/>
  <c r="D130" i="14"/>
  <c r="D129" i="14"/>
  <c r="D123" i="14"/>
  <c r="D120" i="14"/>
  <c r="D110" i="14"/>
  <c r="D109" i="14"/>
  <c r="D111" i="14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/>
  <c r="D59" i="14"/>
  <c r="D60" i="14"/>
  <c r="D61" i="14" s="1"/>
  <c r="D58" i="14"/>
  <c r="D53" i="14"/>
  <c r="D52" i="14"/>
  <c r="D47" i="14"/>
  <c r="D44" i="14"/>
  <c r="D36" i="14"/>
  <c r="D35" i="14"/>
  <c r="D30" i="14"/>
  <c r="D31" i="14" s="1"/>
  <c r="D32" i="14" s="1"/>
  <c r="D29" i="14"/>
  <c r="D24" i="14"/>
  <c r="D23" i="14"/>
  <c r="D20" i="14"/>
  <c r="D21" i="14" s="1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 s="1"/>
  <c r="D91" i="19"/>
  <c r="D93" i="19" s="1"/>
  <c r="C91" i="19"/>
  <c r="C93" i="19" s="1"/>
  <c r="E87" i="19"/>
  <c r="D87" i="19"/>
  <c r="C87" i="19"/>
  <c r="E86" i="19"/>
  <c r="E88" i="19" s="1"/>
  <c r="D86" i="19"/>
  <c r="D88" i="19" s="1"/>
  <c r="C86" i="19"/>
  <c r="C88" i="19" s="1"/>
  <c r="E83" i="19"/>
  <c r="D83" i="19"/>
  <c r="C83" i="19"/>
  <c r="E76" i="19"/>
  <c r="D76" i="19"/>
  <c r="C76" i="19"/>
  <c r="E75" i="19"/>
  <c r="E101" i="19" s="1"/>
  <c r="D75" i="19"/>
  <c r="D77" i="19" s="1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3" i="19" s="1"/>
  <c r="C12" i="19"/>
  <c r="C23" i="19" s="1"/>
  <c r="C46" i="19" s="1"/>
  <c r="D21" i="18"/>
  <c r="C21" i="18"/>
  <c r="D19" i="18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D46" i="17" s="1"/>
  <c r="C43" i="17"/>
  <c r="C46" i="17" s="1"/>
  <c r="D36" i="17"/>
  <c r="D40" i="17" s="1"/>
  <c r="E40" i="17" s="1"/>
  <c r="C36" i="17"/>
  <c r="C40" i="17" s="1"/>
  <c r="E35" i="17"/>
  <c r="F35" i="17" s="1"/>
  <c r="E34" i="17"/>
  <c r="F34" i="17" s="1"/>
  <c r="E33" i="17"/>
  <c r="F33" i="17" s="1"/>
  <c r="E30" i="17"/>
  <c r="F30" i="17" s="1"/>
  <c r="E29" i="17"/>
  <c r="F29" i="17" s="1"/>
  <c r="E28" i="17"/>
  <c r="F28" i="17" s="1"/>
  <c r="F27" i="17"/>
  <c r="E27" i="17"/>
  <c r="D25" i="17"/>
  <c r="D39" i="17" s="1"/>
  <c r="C25" i="17"/>
  <c r="C39" i="17" s="1"/>
  <c r="C41" i="17" s="1"/>
  <c r="E24" i="17"/>
  <c r="F24" i="17" s="1"/>
  <c r="E23" i="17"/>
  <c r="F23" i="17" s="1"/>
  <c r="E22" i="17"/>
  <c r="F22" i="17" s="1"/>
  <c r="E25" i="17"/>
  <c r="F25" i="17" s="1"/>
  <c r="D19" i="17"/>
  <c r="C19" i="17"/>
  <c r="C20" i="17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 s="1"/>
  <c r="C21" i="16"/>
  <c r="E328" i="15"/>
  <c r="E325" i="15"/>
  <c r="D324" i="15"/>
  <c r="E324" i="15" s="1"/>
  <c r="C324" i="15"/>
  <c r="C326" i="15" s="1"/>
  <c r="C330" i="15" s="1"/>
  <c r="E318" i="15"/>
  <c r="E315" i="15"/>
  <c r="D314" i="15"/>
  <c r="E314" i="15" s="1"/>
  <c r="C314" i="15"/>
  <c r="C316" i="15" s="1"/>
  <c r="C320" i="15" s="1"/>
  <c r="E308" i="15"/>
  <c r="E305" i="15"/>
  <c r="D301" i="15"/>
  <c r="C301" i="15"/>
  <c r="D293" i="15"/>
  <c r="C293" i="15"/>
  <c r="D292" i="15"/>
  <c r="C292" i="15"/>
  <c r="D291" i="15"/>
  <c r="E291" i="15" s="1"/>
  <c r="C291" i="15"/>
  <c r="D290" i="15"/>
  <c r="E290" i="15" s="1"/>
  <c r="C290" i="15"/>
  <c r="D288" i="15"/>
  <c r="E288" i="15" s="1"/>
  <c r="C288" i="15"/>
  <c r="D287" i="15"/>
  <c r="E287" i="15" s="1"/>
  <c r="C287" i="15"/>
  <c r="D282" i="15"/>
  <c r="E282" i="15" s="1"/>
  <c r="C282" i="15"/>
  <c r="D281" i="15"/>
  <c r="E281" i="15" s="1"/>
  <c r="C281" i="15"/>
  <c r="D280" i="15"/>
  <c r="E280" i="15" s="1"/>
  <c r="C280" i="15"/>
  <c r="D279" i="15"/>
  <c r="C279" i="15"/>
  <c r="D278" i="15"/>
  <c r="E278" i="15" s="1"/>
  <c r="C278" i="15"/>
  <c r="D277" i="15"/>
  <c r="C277" i="15"/>
  <c r="D276" i="15"/>
  <c r="E276" i="15" s="1"/>
  <c r="C276" i="15"/>
  <c r="E270" i="15"/>
  <c r="D265" i="15"/>
  <c r="E265" i="15" s="1"/>
  <c r="C265" i="15"/>
  <c r="C302" i="15" s="1"/>
  <c r="D262" i="15"/>
  <c r="C262" i="15"/>
  <c r="D251" i="15"/>
  <c r="C251" i="15"/>
  <c r="D233" i="15"/>
  <c r="C233" i="15"/>
  <c r="D232" i="15"/>
  <c r="C232" i="15"/>
  <c r="D231" i="15"/>
  <c r="C231" i="15"/>
  <c r="D230" i="15"/>
  <c r="C230" i="15"/>
  <c r="E230" i="15" s="1"/>
  <c r="D228" i="15"/>
  <c r="C228" i="15"/>
  <c r="D227" i="15"/>
  <c r="C227" i="15"/>
  <c r="D221" i="15"/>
  <c r="C221" i="15"/>
  <c r="C245" i="15" s="1"/>
  <c r="D220" i="15"/>
  <c r="E220" i="15"/>
  <c r="C220" i="15"/>
  <c r="C244" i="15"/>
  <c r="D219" i="15"/>
  <c r="D243" i="15" s="1"/>
  <c r="C219" i="15"/>
  <c r="C243" i="15" s="1"/>
  <c r="D218" i="15"/>
  <c r="D242" i="15" s="1"/>
  <c r="C218" i="15"/>
  <c r="C242" i="15" s="1"/>
  <c r="C217" i="15"/>
  <c r="D216" i="15"/>
  <c r="C216" i="15"/>
  <c r="C240" i="15" s="1"/>
  <c r="D215" i="15"/>
  <c r="D239" i="15" s="1"/>
  <c r="C215" i="15"/>
  <c r="E209" i="15"/>
  <c r="E208" i="15"/>
  <c r="E207" i="15"/>
  <c r="E206" i="15"/>
  <c r="D205" i="15"/>
  <c r="D229" i="15" s="1"/>
  <c r="C205" i="15"/>
  <c r="C210" i="15" s="1"/>
  <c r="C211" i="15" s="1"/>
  <c r="C229" i="15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D178" i="15"/>
  <c r="E178" i="15" s="1"/>
  <c r="C178" i="15"/>
  <c r="D177" i="15"/>
  <c r="C177" i="15"/>
  <c r="E177" i="15" s="1"/>
  <c r="D176" i="15"/>
  <c r="E176" i="15"/>
  <c r="C176" i="15"/>
  <c r="D174" i="15"/>
  <c r="E174" i="15" s="1"/>
  <c r="C174" i="15"/>
  <c r="D173" i="15"/>
  <c r="C173" i="15"/>
  <c r="E173" i="15" s="1"/>
  <c r="D167" i="15"/>
  <c r="E167" i="15" s="1"/>
  <c r="C167" i="15"/>
  <c r="D166" i="15"/>
  <c r="C166" i="15"/>
  <c r="E166" i="15" s="1"/>
  <c r="D165" i="15"/>
  <c r="E165" i="15" s="1"/>
  <c r="C165" i="15"/>
  <c r="D164" i="15"/>
  <c r="C164" i="15"/>
  <c r="E164" i="15" s="1"/>
  <c r="D162" i="15"/>
  <c r="C162" i="15"/>
  <c r="D161" i="15"/>
  <c r="E161" i="15" s="1"/>
  <c r="C161" i="15"/>
  <c r="E155" i="15"/>
  <c r="E154" i="15"/>
  <c r="E153" i="15"/>
  <c r="E152" i="15"/>
  <c r="D151" i="15"/>
  <c r="D156" i="15" s="1"/>
  <c r="C151" i="15"/>
  <c r="E151" i="15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D74" i="15"/>
  <c r="C74" i="15"/>
  <c r="D73" i="15"/>
  <c r="C73" i="15"/>
  <c r="D72" i="15"/>
  <c r="C72" i="15"/>
  <c r="D70" i="15"/>
  <c r="E70" i="15" s="1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E41" i="15" s="1"/>
  <c r="C41" i="15"/>
  <c r="D40" i="15"/>
  <c r="E40" i="15" s="1"/>
  <c r="C40" i="15"/>
  <c r="D39" i="15"/>
  <c r="E39" i="15" s="1"/>
  <c r="C39" i="15"/>
  <c r="D38" i="15"/>
  <c r="E38" i="15" s="1"/>
  <c r="C38" i="15"/>
  <c r="D37" i="15"/>
  <c r="C37" i="15"/>
  <c r="C43" i="15" s="1"/>
  <c r="D36" i="15"/>
  <c r="E36" i="15" s="1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D22" i="15" s="1"/>
  <c r="C21" i="15"/>
  <c r="C22" i="15" s="1"/>
  <c r="C284" i="15" s="1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11" i="14" s="1"/>
  <c r="F311" i="14" s="1"/>
  <c r="F308" i="14"/>
  <c r="E308" i="14"/>
  <c r="C307" i="14"/>
  <c r="E307" i="14" s="1"/>
  <c r="C299" i="14"/>
  <c r="E299" i="14" s="1"/>
  <c r="C298" i="14"/>
  <c r="C297" i="14"/>
  <c r="E297" i="14" s="1"/>
  <c r="C296" i="14"/>
  <c r="C295" i="14"/>
  <c r="E295" i="14" s="1"/>
  <c r="F295" i="14" s="1"/>
  <c r="C294" i="14"/>
  <c r="E294" i="14"/>
  <c r="F294" i="14" s="1"/>
  <c r="C250" i="14"/>
  <c r="E250" i="14" s="1"/>
  <c r="F249" i="14"/>
  <c r="E249" i="14"/>
  <c r="F248" i="14"/>
  <c r="E248" i="14"/>
  <c r="F245" i="14"/>
  <c r="E245" i="14"/>
  <c r="F244" i="14"/>
  <c r="E244" i="14"/>
  <c r="F243" i="14"/>
  <c r="E243" i="14"/>
  <c r="C238" i="14"/>
  <c r="C237" i="14"/>
  <c r="E237" i="14"/>
  <c r="E234" i="14"/>
  <c r="F234" i="14"/>
  <c r="E233" i="14"/>
  <c r="F233" i="14"/>
  <c r="C230" i="14"/>
  <c r="E230" i="14" s="1"/>
  <c r="C229" i="14"/>
  <c r="E229" i="14" s="1"/>
  <c r="F229" i="14" s="1"/>
  <c r="E228" i="14"/>
  <c r="F228" i="14"/>
  <c r="C226" i="14"/>
  <c r="E226" i="14"/>
  <c r="E225" i="14"/>
  <c r="F225" i="14"/>
  <c r="E224" i="14"/>
  <c r="F224" i="14"/>
  <c r="C223" i="14"/>
  <c r="E223" i="14" s="1"/>
  <c r="F223" i="14" s="1"/>
  <c r="E222" i="14"/>
  <c r="F222" i="14" s="1"/>
  <c r="E221" i="14"/>
  <c r="F221" i="14" s="1"/>
  <c r="C204" i="14"/>
  <c r="C203" i="14"/>
  <c r="C283" i="14" s="1"/>
  <c r="E283" i="14" s="1"/>
  <c r="C198" i="14"/>
  <c r="C191" i="14"/>
  <c r="C200" i="14" s="1"/>
  <c r="C189" i="14"/>
  <c r="C262" i="14" s="1"/>
  <c r="C188" i="14"/>
  <c r="C180" i="14"/>
  <c r="E180" i="14" s="1"/>
  <c r="C179" i="14"/>
  <c r="C181" i="14" s="1"/>
  <c r="C171" i="14"/>
  <c r="E171" i="14" s="1"/>
  <c r="C170" i="14"/>
  <c r="E169" i="14"/>
  <c r="F169" i="14"/>
  <c r="E168" i="14"/>
  <c r="F168" i="14" s="1"/>
  <c r="C165" i="14"/>
  <c r="E165" i="14" s="1"/>
  <c r="F165" i="14" s="1"/>
  <c r="C164" i="14"/>
  <c r="E163" i="14"/>
  <c r="F163" i="14" s="1"/>
  <c r="C158" i="14"/>
  <c r="E158" i="14" s="1"/>
  <c r="F158" i="14" s="1"/>
  <c r="E157" i="14"/>
  <c r="F157" i="14" s="1"/>
  <c r="E156" i="14"/>
  <c r="F156" i="14" s="1"/>
  <c r="C155" i="14"/>
  <c r="E155" i="14" s="1"/>
  <c r="E154" i="14"/>
  <c r="F154" i="14"/>
  <c r="E153" i="14"/>
  <c r="F153" i="14"/>
  <c r="C145" i="14"/>
  <c r="C144" i="14"/>
  <c r="C136" i="14"/>
  <c r="E136" i="14" s="1"/>
  <c r="F136" i="14" s="1"/>
  <c r="C135" i="14"/>
  <c r="E134" i="14"/>
  <c r="F134" i="14" s="1"/>
  <c r="E133" i="14"/>
  <c r="F133" i="14" s="1"/>
  <c r="C130" i="14"/>
  <c r="E130" i="14" s="1"/>
  <c r="C129" i="14"/>
  <c r="F128" i="14"/>
  <c r="E128" i="14"/>
  <c r="C123" i="14"/>
  <c r="E123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C109" i="14"/>
  <c r="C101" i="14"/>
  <c r="E101" i="14" s="1"/>
  <c r="F101" i="14" s="1"/>
  <c r="C100" i="14"/>
  <c r="E100" i="14" s="1"/>
  <c r="E99" i="14"/>
  <c r="F99" i="14"/>
  <c r="E98" i="14"/>
  <c r="F98" i="14"/>
  <c r="C95" i="14"/>
  <c r="C94" i="14"/>
  <c r="E93" i="14"/>
  <c r="F93" i="14"/>
  <c r="C88" i="14"/>
  <c r="C89" i="14"/>
  <c r="E87" i="14"/>
  <c r="F87" i="14" s="1"/>
  <c r="E86" i="14"/>
  <c r="F86" i="14" s="1"/>
  <c r="F85" i="14"/>
  <c r="C85" i="14"/>
  <c r="E85" i="14" s="1"/>
  <c r="E84" i="14"/>
  <c r="F84" i="14" s="1"/>
  <c r="E83" i="14"/>
  <c r="F83" i="14" s="1"/>
  <c r="C77" i="14"/>
  <c r="C76" i="14"/>
  <c r="F74" i="14"/>
  <c r="E74" i="14"/>
  <c r="E73" i="14"/>
  <c r="F73" i="14" s="1"/>
  <c r="C67" i="14"/>
  <c r="E67" i="14" s="1"/>
  <c r="C66" i="14"/>
  <c r="C59" i="14"/>
  <c r="E59" i="14" s="1"/>
  <c r="C58" i="14"/>
  <c r="E58" i="14" s="1"/>
  <c r="F58" i="14" s="1"/>
  <c r="E57" i="14"/>
  <c r="F57" i="14" s="1"/>
  <c r="E56" i="14"/>
  <c r="F56" i="14" s="1"/>
  <c r="C53" i="14"/>
  <c r="E53" i="14" s="1"/>
  <c r="C52" i="14"/>
  <c r="E51" i="14"/>
  <c r="F51" i="14" s="1"/>
  <c r="C47" i="14"/>
  <c r="C48" i="14"/>
  <c r="E46" i="14"/>
  <c r="F46" i="14"/>
  <c r="E45" i="14"/>
  <c r="F45" i="14"/>
  <c r="C44" i="14"/>
  <c r="E44" i="14"/>
  <c r="E43" i="14"/>
  <c r="F43" i="14" s="1"/>
  <c r="E42" i="14"/>
  <c r="F42" i="14" s="1"/>
  <c r="C36" i="14"/>
  <c r="E36" i="14" s="1"/>
  <c r="C35" i="14"/>
  <c r="C30" i="14"/>
  <c r="C31" i="14" s="1"/>
  <c r="C32" i="14" s="1"/>
  <c r="C29" i="14"/>
  <c r="E29" i="14" s="1"/>
  <c r="F29" i="14" s="1"/>
  <c r="E28" i="14"/>
  <c r="F28" i="14" s="1"/>
  <c r="E27" i="14"/>
  <c r="F27" i="14" s="1"/>
  <c r="E24" i="14"/>
  <c r="C24" i="14"/>
  <c r="C23" i="14"/>
  <c r="E22" i="14"/>
  <c r="F22" i="14" s="1"/>
  <c r="C20" i="14"/>
  <c r="C21" i="14" s="1"/>
  <c r="E21" i="14" s="1"/>
  <c r="E19" i="14"/>
  <c r="F19" i="14" s="1"/>
  <c r="E18" i="14"/>
  <c r="F18" i="14" s="1"/>
  <c r="C17" i="14"/>
  <c r="E16" i="14"/>
  <c r="F16" i="14" s="1"/>
  <c r="E15" i="14"/>
  <c r="F15" i="14" s="1"/>
  <c r="D21" i="13"/>
  <c r="C21" i="13"/>
  <c r="E20" i="13"/>
  <c r="F20" i="13" s="1"/>
  <c r="D17" i="13"/>
  <c r="E17" i="13" s="1"/>
  <c r="C17" i="13"/>
  <c r="E16" i="13"/>
  <c r="F16" i="13" s="1"/>
  <c r="D13" i="13"/>
  <c r="C13" i="13"/>
  <c r="E12" i="13"/>
  <c r="F12" i="13" s="1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F89" i="12"/>
  <c r="E89" i="12"/>
  <c r="E88" i="12"/>
  <c r="F88" i="12" s="1"/>
  <c r="E87" i="12"/>
  <c r="F87" i="12" s="1"/>
  <c r="D84" i="12"/>
  <c r="E84" i="12" s="1"/>
  <c r="C84" i="12"/>
  <c r="E83" i="12"/>
  <c r="F83" i="12" s="1"/>
  <c r="F82" i="12"/>
  <c r="E82" i="12"/>
  <c r="F81" i="12"/>
  <c r="E81" i="12"/>
  <c r="F80" i="12"/>
  <c r="E80" i="12"/>
  <c r="F79" i="12"/>
  <c r="E79" i="12"/>
  <c r="D75" i="12"/>
  <c r="C75" i="12"/>
  <c r="E74" i="12"/>
  <c r="F74" i="12" s="1"/>
  <c r="F73" i="12"/>
  <c r="E73" i="12"/>
  <c r="E75" i="12" s="1"/>
  <c r="F75" i="12" s="1"/>
  <c r="D70" i="12"/>
  <c r="E70" i="12" s="1"/>
  <c r="F70" i="12" s="1"/>
  <c r="C70" i="12"/>
  <c r="F69" i="12"/>
  <c r="E69" i="12"/>
  <c r="F68" i="12"/>
  <c r="E68" i="12"/>
  <c r="D65" i="12"/>
  <c r="E65" i="12" s="1"/>
  <c r="F65" i="12" s="1"/>
  <c r="C65" i="12"/>
  <c r="F64" i="12"/>
  <c r="E64" i="12"/>
  <c r="F63" i="12"/>
  <c r="E63" i="12"/>
  <c r="D60" i="12"/>
  <c r="C60" i="12"/>
  <c r="F60" i="12" s="1"/>
  <c r="F59" i="12"/>
  <c r="E59" i="12"/>
  <c r="F58" i="12"/>
  <c r="E58" i="12"/>
  <c r="E60" i="12" s="1"/>
  <c r="D55" i="12"/>
  <c r="C55" i="12"/>
  <c r="F55" i="12" s="1"/>
  <c r="F54" i="12"/>
  <c r="E54" i="12"/>
  <c r="F53" i="12"/>
  <c r="E53" i="12"/>
  <c r="D50" i="12"/>
  <c r="C50" i="12"/>
  <c r="E49" i="12"/>
  <c r="F49" i="12" s="1"/>
  <c r="F48" i="12"/>
  <c r="E48" i="12"/>
  <c r="D45" i="12"/>
  <c r="E45" i="12" s="1"/>
  <c r="C45" i="12"/>
  <c r="F45" i="12" s="1"/>
  <c r="F44" i="12"/>
  <c r="E44" i="12"/>
  <c r="F43" i="12"/>
  <c r="E43" i="12"/>
  <c r="D37" i="12"/>
  <c r="C37" i="12"/>
  <c r="F37" i="12" s="1"/>
  <c r="F36" i="12"/>
  <c r="E36" i="12"/>
  <c r="F35" i="12"/>
  <c r="E35" i="12"/>
  <c r="F34" i="12"/>
  <c r="E34" i="12"/>
  <c r="F33" i="12"/>
  <c r="E33" i="12"/>
  <c r="D30" i="12"/>
  <c r="C30" i="12"/>
  <c r="F30" i="12" s="1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E17" i="11"/>
  <c r="D17" i="11"/>
  <c r="D33" i="11" s="1"/>
  <c r="D36" i="11" s="1"/>
  <c r="D38" i="11" s="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C66" i="10"/>
  <c r="C65" i="10" s="1"/>
  <c r="E65" i="10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C54" i="10"/>
  <c r="E46" i="10"/>
  <c r="E59" i="10" s="1"/>
  <c r="E61" i="10" s="1"/>
  <c r="E57" i="10" s="1"/>
  <c r="D46" i="10"/>
  <c r="D59" i="10" s="1"/>
  <c r="D61" i="10" s="1"/>
  <c r="D57" i="10" s="1"/>
  <c r="C46" i="10"/>
  <c r="C48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15" i="10"/>
  <c r="D13" i="10"/>
  <c r="D25" i="10" s="1"/>
  <c r="D27" i="10" s="1"/>
  <c r="D15" i="10"/>
  <c r="D17" i="10" s="1"/>
  <c r="D28" i="10" s="1"/>
  <c r="D70" i="10" s="1"/>
  <c r="D72" i="10" s="1"/>
  <c r="C13" i="10"/>
  <c r="C25" i="10" s="1"/>
  <c r="C27" i="10" s="1"/>
  <c r="D46" i="9"/>
  <c r="C46" i="9"/>
  <c r="F46" i="9" s="1"/>
  <c r="F45" i="9"/>
  <c r="E45" i="9"/>
  <c r="F44" i="9"/>
  <c r="E44" i="9"/>
  <c r="D39" i="9"/>
  <c r="E39" i="9" s="1"/>
  <c r="C39" i="9"/>
  <c r="E38" i="9"/>
  <c r="F38" i="9" s="1"/>
  <c r="F37" i="9"/>
  <c r="E37" i="9"/>
  <c r="E36" i="9"/>
  <c r="F36" i="9" s="1"/>
  <c r="D31" i="9"/>
  <c r="C31" i="9"/>
  <c r="F30" i="9"/>
  <c r="E30" i="9"/>
  <c r="E29" i="9"/>
  <c r="F29" i="9" s="1"/>
  <c r="E28" i="9"/>
  <c r="F28" i="9" s="1"/>
  <c r="E27" i="9"/>
  <c r="F27" i="9" s="1"/>
  <c r="F26" i="9"/>
  <c r="E26" i="9"/>
  <c r="E25" i="9"/>
  <c r="F25" i="9" s="1"/>
  <c r="E24" i="9"/>
  <c r="F24" i="9" s="1"/>
  <c r="E23" i="9"/>
  <c r="F23" i="9" s="1"/>
  <c r="F22" i="9"/>
  <c r="E22" i="9"/>
  <c r="E18" i="9"/>
  <c r="F18" i="9" s="1"/>
  <c r="E17" i="9"/>
  <c r="F17" i="9" s="1"/>
  <c r="D16" i="9"/>
  <c r="D19" i="9" s="1"/>
  <c r="C16" i="9"/>
  <c r="C19" i="9" s="1"/>
  <c r="F15" i="9"/>
  <c r="E15" i="9"/>
  <c r="F14" i="9"/>
  <c r="E14" i="9"/>
  <c r="E13" i="9"/>
  <c r="F13" i="9" s="1"/>
  <c r="E12" i="9"/>
  <c r="F12" i="9" s="1"/>
  <c r="D73" i="8"/>
  <c r="E73" i="8" s="1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 s="1"/>
  <c r="C61" i="8"/>
  <c r="E60" i="8"/>
  <c r="F60" i="8" s="1"/>
  <c r="E59" i="8"/>
  <c r="F59" i="8" s="1"/>
  <c r="D56" i="8"/>
  <c r="C56" i="8"/>
  <c r="E55" i="8"/>
  <c r="F55" i="8" s="1"/>
  <c r="E54" i="8"/>
  <c r="F54" i="8" s="1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E38" i="8" s="1"/>
  <c r="C38" i="8"/>
  <c r="C41" i="8" s="1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F28" i="8"/>
  <c r="E28" i="8"/>
  <c r="F27" i="8"/>
  <c r="E27" i="8"/>
  <c r="F26" i="8"/>
  <c r="E26" i="8"/>
  <c r="F25" i="8"/>
  <c r="E25" i="8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C120" i="7"/>
  <c r="D119" i="7"/>
  <c r="E119" i="7" s="1"/>
  <c r="C119" i="7"/>
  <c r="D118" i="7"/>
  <c r="C118" i="7"/>
  <c r="D117" i="7"/>
  <c r="E117" i="7" s="1"/>
  <c r="F117" i="7" s="1"/>
  <c r="C117" i="7"/>
  <c r="D116" i="7"/>
  <c r="C116" i="7"/>
  <c r="D115" i="7"/>
  <c r="E115" i="7" s="1"/>
  <c r="C115" i="7"/>
  <c r="D114" i="7"/>
  <c r="C114" i="7"/>
  <c r="D113" i="7"/>
  <c r="E113" i="7" s="1"/>
  <c r="F113" i="7" s="1"/>
  <c r="C113" i="7"/>
  <c r="D112" i="7"/>
  <c r="D121" i="7" s="1"/>
  <c r="C112" i="7"/>
  <c r="D108" i="7"/>
  <c r="E108" i="7" s="1"/>
  <c r="C108" i="7"/>
  <c r="D107" i="7"/>
  <c r="C107" i="7"/>
  <c r="F106" i="7"/>
  <c r="E106" i="7"/>
  <c r="E105" i="7"/>
  <c r="F105" i="7" s="1"/>
  <c r="E104" i="7"/>
  <c r="F104" i="7" s="1"/>
  <c r="E103" i="7"/>
  <c r="F103" i="7" s="1"/>
  <c r="F102" i="7"/>
  <c r="E102" i="7"/>
  <c r="E101" i="7"/>
  <c r="F101" i="7" s="1"/>
  <c r="E100" i="7"/>
  <c r="F100" i="7" s="1"/>
  <c r="E99" i="7"/>
  <c r="F99" i="7" s="1"/>
  <c r="F98" i="7"/>
  <c r="E98" i="7"/>
  <c r="D96" i="7"/>
  <c r="E96" i="7" s="1"/>
  <c r="C96" i="7"/>
  <c r="D95" i="7"/>
  <c r="E95" i="7" s="1"/>
  <c r="C95" i="7"/>
  <c r="E94" i="7"/>
  <c r="F94" i="7" s="1"/>
  <c r="E93" i="7"/>
  <c r="F93" i="7" s="1"/>
  <c r="E92" i="7"/>
  <c r="F92" i="7" s="1"/>
  <c r="F91" i="7"/>
  <c r="E91" i="7"/>
  <c r="E90" i="7"/>
  <c r="F90" i="7" s="1"/>
  <c r="E89" i="7"/>
  <c r="F89" i="7" s="1"/>
  <c r="E88" i="7"/>
  <c r="F88" i="7" s="1"/>
  <c r="F87" i="7"/>
  <c r="E87" i="7"/>
  <c r="E86" i="7"/>
  <c r="F86" i="7" s="1"/>
  <c r="D84" i="7"/>
  <c r="E84" i="7" s="1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E48" i="7" s="1"/>
  <c r="C48" i="7"/>
  <c r="F48" i="7" s="1"/>
  <c r="D47" i="7"/>
  <c r="C47" i="7"/>
  <c r="F47" i="7" s="1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4" i="7"/>
  <c r="F34" i="7" s="1"/>
  <c r="E33" i="7"/>
  <c r="F33" i="7" s="1"/>
  <c r="F32" i="7"/>
  <c r="E32" i="7"/>
  <c r="E31" i="7"/>
  <c r="F31" i="7" s="1"/>
  <c r="E30" i="7"/>
  <c r="F30" i="7" s="1"/>
  <c r="E29" i="7"/>
  <c r="F29" i="7" s="1"/>
  <c r="F28" i="7"/>
  <c r="E28" i="7"/>
  <c r="E27" i="7"/>
  <c r="F27" i="7" s="1"/>
  <c r="E26" i="7"/>
  <c r="F26" i="7" s="1"/>
  <c r="D24" i="7"/>
  <c r="E24" i="7" s="1"/>
  <c r="C24" i="7"/>
  <c r="F24" i="7" s="1"/>
  <c r="D23" i="7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C205" i="6"/>
  <c r="D204" i="6"/>
  <c r="E204" i="6" s="1"/>
  <c r="C204" i="6"/>
  <c r="D203" i="6"/>
  <c r="C203" i="6"/>
  <c r="D202" i="6"/>
  <c r="E202" i="6" s="1"/>
  <c r="F202" i="6" s="1"/>
  <c r="C202" i="6"/>
  <c r="D201" i="6"/>
  <c r="C201" i="6"/>
  <c r="D200" i="6"/>
  <c r="C200" i="6"/>
  <c r="D199" i="6"/>
  <c r="D208" i="6" s="1"/>
  <c r="C199" i="6"/>
  <c r="C208" i="6"/>
  <c r="D198" i="6"/>
  <c r="C198" i="6"/>
  <c r="D193" i="6"/>
  <c r="C193" i="6"/>
  <c r="F193" i="6" s="1"/>
  <c r="D192" i="6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E140" i="6"/>
  <c r="C140" i="6"/>
  <c r="F140" i="6"/>
  <c r="F139" i="6"/>
  <c r="E139" i="6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E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F118" i="6"/>
  <c r="E118" i="6"/>
  <c r="D115" i="6"/>
  <c r="C115" i="6"/>
  <c r="D114" i="6"/>
  <c r="E114" i="6" s="1"/>
  <c r="F114" i="6" s="1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2" i="6"/>
  <c r="D102" i="6"/>
  <c r="E102" i="6"/>
  <c r="C102" i="6"/>
  <c r="F101" i="6"/>
  <c r="D101" i="6"/>
  <c r="E101" i="6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D62" i="6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D36" i="6"/>
  <c r="E36" i="6"/>
  <c r="C36" i="6"/>
  <c r="F36" i="6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24" i="6"/>
  <c r="C24" i="6"/>
  <c r="D23" i="6"/>
  <c r="C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D161" i="5"/>
  <c r="C161" i="5"/>
  <c r="E160" i="5"/>
  <c r="E166" i="5" s="1"/>
  <c r="C160" i="5"/>
  <c r="E147" i="5"/>
  <c r="E143" i="5" s="1"/>
  <c r="D147" i="5"/>
  <c r="D143" i="5"/>
  <c r="C147" i="5"/>
  <c r="C143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E102" i="5"/>
  <c r="E104" i="5" s="1"/>
  <c r="D102" i="5"/>
  <c r="D104" i="5" s="1"/>
  <c r="C102" i="5"/>
  <c r="C104" i="5" s="1"/>
  <c r="E100" i="5"/>
  <c r="D100" i="5"/>
  <c r="C100" i="5"/>
  <c r="E95" i="5"/>
  <c r="D95" i="5"/>
  <c r="D94" i="5" s="1"/>
  <c r="C95" i="5"/>
  <c r="C94" i="5" s="1"/>
  <c r="E94" i="5"/>
  <c r="E89" i="5"/>
  <c r="D89" i="5"/>
  <c r="C89" i="5"/>
  <c r="E87" i="5"/>
  <c r="D87" i="5"/>
  <c r="C87" i="5"/>
  <c r="E84" i="5"/>
  <c r="D84" i="5"/>
  <c r="C84" i="5"/>
  <c r="C79" i="5" s="1"/>
  <c r="E83" i="5"/>
  <c r="D83" i="5"/>
  <c r="C83" i="5"/>
  <c r="E77" i="5"/>
  <c r="E75" i="5"/>
  <c r="E88" i="5" s="1"/>
  <c r="E90" i="5" s="1"/>
  <c r="E86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E38" i="5"/>
  <c r="E57" i="5" s="1"/>
  <c r="E62" i="5" s="1"/>
  <c r="D38" i="5"/>
  <c r="D43" i="5" s="1"/>
  <c r="C38" i="5"/>
  <c r="C53" i="5" s="1"/>
  <c r="E33" i="5"/>
  <c r="E34" i="5" s="1"/>
  <c r="D33" i="5"/>
  <c r="D34" i="5" s="1"/>
  <c r="E26" i="5"/>
  <c r="D26" i="5"/>
  <c r="C26" i="5"/>
  <c r="E13" i="5"/>
  <c r="E25" i="5" s="1"/>
  <c r="E27" i="5" s="1"/>
  <c r="D13" i="5"/>
  <c r="D15" i="5"/>
  <c r="C13" i="5"/>
  <c r="C25" i="5" s="1"/>
  <c r="C27" i="5" s="1"/>
  <c r="F174" i="4"/>
  <c r="E174" i="4"/>
  <c r="D171" i="4"/>
  <c r="E171" i="4" s="1"/>
  <c r="F171" i="4" s="1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 s="1"/>
  <c r="F59" i="4" s="1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C41" i="4"/>
  <c r="F40" i="4"/>
  <c r="E40" i="4"/>
  <c r="F39" i="4"/>
  <c r="E39" i="4"/>
  <c r="F38" i="4"/>
  <c r="E38" i="4"/>
  <c r="D35" i="4"/>
  <c r="E35" i="4" s="1"/>
  <c r="F35" i="4" s="1"/>
  <c r="C35" i="4"/>
  <c r="F34" i="4"/>
  <c r="E34" i="4"/>
  <c r="F33" i="4"/>
  <c r="E33" i="4"/>
  <c r="D30" i="4"/>
  <c r="E30" i="4" s="1"/>
  <c r="F30" i="4" s="1"/>
  <c r="C30" i="4"/>
  <c r="F29" i="4"/>
  <c r="E29" i="4"/>
  <c r="F28" i="4"/>
  <c r="E28" i="4"/>
  <c r="F27" i="4"/>
  <c r="E27" i="4"/>
  <c r="D24" i="4"/>
  <c r="E24" i="4" s="1"/>
  <c r="F24" i="4" s="1"/>
  <c r="C24" i="4"/>
  <c r="F23" i="4"/>
  <c r="E23" i="4"/>
  <c r="F22" i="4"/>
  <c r="E22" i="4"/>
  <c r="F21" i="4"/>
  <c r="E21" i="4"/>
  <c r="D18" i="4"/>
  <c r="E18" i="4" s="1"/>
  <c r="F18" i="4" s="1"/>
  <c r="C18" i="4"/>
  <c r="F17" i="4"/>
  <c r="E17" i="4"/>
  <c r="F16" i="4"/>
  <c r="E16" i="4"/>
  <c r="F15" i="4"/>
  <c r="E15" i="4"/>
  <c r="D179" i="3"/>
  <c r="E179" i="3" s="1"/>
  <c r="F179" i="3" s="1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 s="1"/>
  <c r="F166" i="3" s="1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E153" i="3" s="1"/>
  <c r="F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E124" i="3" s="1"/>
  <c r="F124" i="3" s="1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 s="1"/>
  <c r="F111" i="3" s="1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F94" i="3"/>
  <c r="D94" i="3"/>
  <c r="E94" i="3"/>
  <c r="C94" i="3"/>
  <c r="D93" i="3"/>
  <c r="E93" i="3" s="1"/>
  <c r="F93" i="3" s="1"/>
  <c r="C93" i="3"/>
  <c r="D92" i="3"/>
  <c r="E92" i="3" s="1"/>
  <c r="F92" i="3" s="1"/>
  <c r="C92" i="3"/>
  <c r="D91" i="3"/>
  <c r="E91" i="3" s="1"/>
  <c r="F91" i="3" s="1"/>
  <c r="C91" i="3"/>
  <c r="D90" i="3"/>
  <c r="E90" i="3" s="1"/>
  <c r="F90" i="3" s="1"/>
  <c r="C90" i="3"/>
  <c r="D89" i="3"/>
  <c r="E89" i="3" s="1"/>
  <c r="F89" i="3" s="1"/>
  <c r="C89" i="3"/>
  <c r="D88" i="3"/>
  <c r="E88" i="3" s="1"/>
  <c r="F88" i="3" s="1"/>
  <c r="C88" i="3"/>
  <c r="D87" i="3"/>
  <c r="E87" i="3" s="1"/>
  <c r="F87" i="3" s="1"/>
  <c r="C87" i="3"/>
  <c r="D86" i="3"/>
  <c r="E86" i="3" s="1"/>
  <c r="F86" i="3" s="1"/>
  <c r="C86" i="3"/>
  <c r="D85" i="3"/>
  <c r="E85" i="3" s="1"/>
  <c r="F85" i="3" s="1"/>
  <c r="C85" i="3"/>
  <c r="D84" i="3"/>
  <c r="E84" i="3" s="1"/>
  <c r="F84" i="3" s="1"/>
  <c r="C84" i="3"/>
  <c r="C95" i="3"/>
  <c r="D81" i="3"/>
  <c r="C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D52" i="3"/>
  <c r="C41" i="3"/>
  <c r="C52" i="3"/>
  <c r="D38" i="3"/>
  <c r="C38" i="3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 s="1"/>
  <c r="F45" i="2"/>
  <c r="E45" i="2"/>
  <c r="F44" i="2"/>
  <c r="E44" i="2"/>
  <c r="D39" i="2"/>
  <c r="C39" i="2"/>
  <c r="E38" i="2"/>
  <c r="F38" i="2" s="1"/>
  <c r="F37" i="2"/>
  <c r="E37" i="2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D16" i="2"/>
  <c r="C16" i="2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C61" i="1"/>
  <c r="C65" i="1" s="1"/>
  <c r="C75" i="1" s="1"/>
  <c r="E60" i="1"/>
  <c r="F60" i="1" s="1"/>
  <c r="E59" i="1"/>
  <c r="F59" i="1" s="1"/>
  <c r="D56" i="1"/>
  <c r="C56" i="1"/>
  <c r="E55" i="1"/>
  <c r="F55" i="1" s="1"/>
  <c r="E54" i="1"/>
  <c r="F54" i="1"/>
  <c r="E53" i="1"/>
  <c r="F53" i="1" s="1"/>
  <c r="E52" i="1"/>
  <c r="F52" i="1" s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E37" i="1"/>
  <c r="F37" i="1" s="1"/>
  <c r="E36" i="1"/>
  <c r="F36" i="1" s="1"/>
  <c r="E33" i="1"/>
  <c r="F33" i="1" s="1"/>
  <c r="E32" i="1"/>
  <c r="F32" i="1" s="1"/>
  <c r="E31" i="1"/>
  <c r="F31" i="1" s="1"/>
  <c r="D29" i="1"/>
  <c r="C29" i="1"/>
  <c r="E28" i="1"/>
  <c r="F28" i="1" s="1"/>
  <c r="F27" i="1"/>
  <c r="E27" i="1"/>
  <c r="F26" i="1"/>
  <c r="E26" i="1"/>
  <c r="E25" i="1"/>
  <c r="F25" i="1" s="1"/>
  <c r="D22" i="1"/>
  <c r="C22" i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E30" i="14"/>
  <c r="F30" i="14" s="1"/>
  <c r="E77" i="14"/>
  <c r="E296" i="14"/>
  <c r="F296" i="14"/>
  <c r="F307" i="14"/>
  <c r="D37" i="14"/>
  <c r="D48" i="14"/>
  <c r="D90" i="14"/>
  <c r="D124" i="14"/>
  <c r="D280" i="14"/>
  <c r="D126" i="14"/>
  <c r="D127" i="14" s="1"/>
  <c r="F283" i="14"/>
  <c r="F297" i="14"/>
  <c r="D146" i="14"/>
  <c r="D181" i="14"/>
  <c r="E181" i="14"/>
  <c r="F181" i="14" s="1"/>
  <c r="D239" i="14"/>
  <c r="E135" i="14"/>
  <c r="D262" i="14"/>
  <c r="D272" i="14"/>
  <c r="D24" i="5"/>
  <c r="D17" i="5"/>
  <c r="E32" i="14"/>
  <c r="F32" i="14" s="1"/>
  <c r="E89" i="14"/>
  <c r="F89" i="14" s="1"/>
  <c r="E52" i="3"/>
  <c r="F52" i="3" s="1"/>
  <c r="D21" i="10"/>
  <c r="D22" i="10"/>
  <c r="F33" i="11"/>
  <c r="H17" i="11"/>
  <c r="E20" i="14"/>
  <c r="F20" i="14" s="1"/>
  <c r="C90" i="14"/>
  <c r="E48" i="14"/>
  <c r="F48" i="14" s="1"/>
  <c r="E76" i="14"/>
  <c r="F76" i="14" s="1"/>
  <c r="C193" i="14"/>
  <c r="C266" i="14" s="1"/>
  <c r="C124" i="14"/>
  <c r="C192" i="14"/>
  <c r="F123" i="14"/>
  <c r="E243" i="15"/>
  <c r="C252" i="15"/>
  <c r="D95" i="3"/>
  <c r="E95" i="3"/>
  <c r="F95" i="3" s="1"/>
  <c r="D41" i="1"/>
  <c r="D65" i="1"/>
  <c r="E65" i="1" s="1"/>
  <c r="F65" i="1" s="1"/>
  <c r="D75" i="1"/>
  <c r="D19" i="2"/>
  <c r="C49" i="5"/>
  <c r="E53" i="5"/>
  <c r="E41" i="3"/>
  <c r="F41" i="3" s="1"/>
  <c r="E41" i="4"/>
  <c r="F41" i="4" s="1"/>
  <c r="E155" i="4"/>
  <c r="F155" i="4" s="1"/>
  <c r="D25" i="5"/>
  <c r="D27" i="5" s="1"/>
  <c r="D53" i="5"/>
  <c r="E63" i="6"/>
  <c r="F63" i="6"/>
  <c r="E115" i="6"/>
  <c r="F115" i="6"/>
  <c r="E167" i="6"/>
  <c r="E199" i="6"/>
  <c r="F199" i="6" s="1"/>
  <c r="E203" i="6"/>
  <c r="F203" i="6" s="1"/>
  <c r="D207" i="6"/>
  <c r="E59" i="7"/>
  <c r="E107" i="7"/>
  <c r="F107" i="7" s="1"/>
  <c r="E114" i="7"/>
  <c r="F114" i="7" s="1"/>
  <c r="E118" i="7"/>
  <c r="F118" i="7" s="1"/>
  <c r="C121" i="7"/>
  <c r="D122" i="7"/>
  <c r="C43" i="8"/>
  <c r="F38" i="8"/>
  <c r="F31" i="11"/>
  <c r="H31" i="11"/>
  <c r="C49" i="14"/>
  <c r="F67" i="14"/>
  <c r="E31" i="11"/>
  <c r="E33" i="11"/>
  <c r="E36" i="11" s="1"/>
  <c r="E38" i="11" s="1"/>
  <c r="C68" i="14"/>
  <c r="E66" i="14"/>
  <c r="F66" i="14" s="1"/>
  <c r="E120" i="14"/>
  <c r="F120" i="14" s="1"/>
  <c r="E208" i="6"/>
  <c r="F208" i="6" s="1"/>
  <c r="D41" i="8"/>
  <c r="E41" i="8" s="1"/>
  <c r="F41" i="8" s="1"/>
  <c r="C33" i="9"/>
  <c r="F44" i="14"/>
  <c r="F110" i="14"/>
  <c r="F135" i="14"/>
  <c r="C111" i="14"/>
  <c r="E109" i="14"/>
  <c r="F109" i="14" s="1"/>
  <c r="E129" i="14"/>
  <c r="F129" i="14" s="1"/>
  <c r="C146" i="14"/>
  <c r="E144" i="14"/>
  <c r="F144" i="14" s="1"/>
  <c r="C277" i="14"/>
  <c r="C261" i="14"/>
  <c r="C254" i="14"/>
  <c r="E188" i="14"/>
  <c r="F188" i="14" s="1"/>
  <c r="C206" i="14"/>
  <c r="C190" i="14"/>
  <c r="C43" i="5"/>
  <c r="C57" i="5"/>
  <c r="C62" i="5"/>
  <c r="D77" i="5"/>
  <c r="D71" i="5"/>
  <c r="E37" i="6"/>
  <c r="F37" i="6"/>
  <c r="E89" i="6"/>
  <c r="E141" i="6"/>
  <c r="F141" i="6" s="1"/>
  <c r="E193" i="6"/>
  <c r="E201" i="6"/>
  <c r="F201" i="6" s="1"/>
  <c r="E205" i="6"/>
  <c r="F205" i="6" s="1"/>
  <c r="E35" i="7"/>
  <c r="F35" i="7" s="1"/>
  <c r="E83" i="7"/>
  <c r="E112" i="7"/>
  <c r="F112" i="7" s="1"/>
  <c r="E116" i="7"/>
  <c r="F116" i="7" s="1"/>
  <c r="E120" i="7"/>
  <c r="F120" i="7" s="1"/>
  <c r="E22" i="8"/>
  <c r="F22" i="8" s="1"/>
  <c r="E31" i="9"/>
  <c r="F31" i="9" s="1"/>
  <c r="C42" i="10"/>
  <c r="F84" i="12"/>
  <c r="F17" i="13"/>
  <c r="F24" i="14"/>
  <c r="F53" i="14"/>
  <c r="F100" i="14"/>
  <c r="C214" i="14"/>
  <c r="E24" i="10"/>
  <c r="E17" i="10"/>
  <c r="E28" i="10" s="1"/>
  <c r="C21" i="10"/>
  <c r="C91" i="14"/>
  <c r="F21" i="14"/>
  <c r="E23" i="14"/>
  <c r="F23" i="14" s="1"/>
  <c r="E31" i="14"/>
  <c r="F31" i="14" s="1"/>
  <c r="E52" i="14"/>
  <c r="F52" i="14" s="1"/>
  <c r="E88" i="14"/>
  <c r="F88" i="14" s="1"/>
  <c r="E95" i="14"/>
  <c r="F95" i="14" s="1"/>
  <c r="C280" i="14"/>
  <c r="E191" i="14"/>
  <c r="F191" i="14" s="1"/>
  <c r="C264" i="14"/>
  <c r="E198" i="14"/>
  <c r="F198" i="14"/>
  <c r="C290" i="14"/>
  <c r="C274" i="14"/>
  <c r="C199" i="14"/>
  <c r="E121" i="7"/>
  <c r="E25" i="10"/>
  <c r="E27" i="10" s="1"/>
  <c r="D48" i="10"/>
  <c r="D42" i="10" s="1"/>
  <c r="I31" i="11"/>
  <c r="C126" i="14"/>
  <c r="C285" i="14"/>
  <c r="E204" i="14"/>
  <c r="F204" i="14"/>
  <c r="C269" i="14"/>
  <c r="D157" i="15"/>
  <c r="C108" i="19"/>
  <c r="C109" i="19"/>
  <c r="D109" i="19"/>
  <c r="D108" i="19"/>
  <c r="D209" i="14"/>
  <c r="D104" i="14"/>
  <c r="D174" i="14"/>
  <c r="D254" i="14"/>
  <c r="E214" i="14"/>
  <c r="D216" i="14"/>
  <c r="F155" i="14"/>
  <c r="E164" i="14"/>
  <c r="F164" i="14" s="1"/>
  <c r="F171" i="14"/>
  <c r="C215" i="14"/>
  <c r="F226" i="14"/>
  <c r="C272" i="14"/>
  <c r="E21" i="15"/>
  <c r="D43" i="15"/>
  <c r="D44" i="15"/>
  <c r="E219" i="15"/>
  <c r="C239" i="15"/>
  <c r="E239" i="15" s="1"/>
  <c r="C283" i="15"/>
  <c r="D326" i="15"/>
  <c r="D20" i="17"/>
  <c r="E20" i="17"/>
  <c r="F40" i="17"/>
  <c r="D71" i="15"/>
  <c r="D65" i="15"/>
  <c r="D289" i="15"/>
  <c r="E289" i="15" s="1"/>
  <c r="E60" i="15"/>
  <c r="D144" i="15"/>
  <c r="D175" i="15"/>
  <c r="E175" i="15" s="1"/>
  <c r="E139" i="15"/>
  <c r="D252" i="15"/>
  <c r="E252" i="15" s="1"/>
  <c r="E231" i="15"/>
  <c r="C37" i="16"/>
  <c r="C38" i="16"/>
  <c r="C127" i="16" s="1"/>
  <c r="C129" i="16" s="1"/>
  <c r="C133" i="16" s="1"/>
  <c r="C22" i="16"/>
  <c r="D175" i="14"/>
  <c r="D62" i="14"/>
  <c r="D210" i="14"/>
  <c r="D105" i="14"/>
  <c r="F237" i="14"/>
  <c r="E195" i="15"/>
  <c r="E215" i="15"/>
  <c r="C253" i="15"/>
  <c r="D240" i="15"/>
  <c r="D244" i="15"/>
  <c r="E244" i="15" s="1"/>
  <c r="E260" i="15"/>
  <c r="C303" i="15"/>
  <c r="C306" i="15" s="1"/>
  <c r="C310" i="15"/>
  <c r="D41" i="17"/>
  <c r="E290" i="14"/>
  <c r="D33" i="15"/>
  <c r="E32" i="15"/>
  <c r="E251" i="15"/>
  <c r="C239" i="14"/>
  <c r="E239" i="14"/>
  <c r="C235" i="15"/>
  <c r="D222" i="15"/>
  <c r="F20" i="17"/>
  <c r="D55" i="15"/>
  <c r="E55" i="15" s="1"/>
  <c r="E54" i="15"/>
  <c r="C163" i="15"/>
  <c r="E163" i="15" s="1"/>
  <c r="C156" i="15"/>
  <c r="D189" i="15"/>
  <c r="D261" i="15"/>
  <c r="E261" i="15" s="1"/>
  <c r="E188" i="15"/>
  <c r="E205" i="15"/>
  <c r="D210" i="15"/>
  <c r="E218" i="15"/>
  <c r="D217" i="15"/>
  <c r="C304" i="14"/>
  <c r="F130" i="14"/>
  <c r="C172" i="14"/>
  <c r="C227" i="14"/>
  <c r="E22" i="15"/>
  <c r="C44" i="15"/>
  <c r="E69" i="15"/>
  <c r="C234" i="15"/>
  <c r="C33" i="19"/>
  <c r="D34" i="19"/>
  <c r="C101" i="19"/>
  <c r="D102" i="19"/>
  <c r="D138" i="14"/>
  <c r="D161" i="14"/>
  <c r="D267" i="14"/>
  <c r="D277" i="14"/>
  <c r="D285" i="14"/>
  <c r="E285" i="14"/>
  <c r="D22" i="19"/>
  <c r="C54" i="19"/>
  <c r="D192" i="14"/>
  <c r="D200" i="14"/>
  <c r="E200" i="14" s="1"/>
  <c r="F200" i="14" s="1"/>
  <c r="D206" i="14"/>
  <c r="E206" i="14" s="1"/>
  <c r="F206" i="14" s="1"/>
  <c r="D274" i="14"/>
  <c r="D300" i="14" s="1"/>
  <c r="C222" i="15"/>
  <c r="E39" i="17"/>
  <c r="E43" i="17"/>
  <c r="D23" i="19"/>
  <c r="D40" i="19" s="1"/>
  <c r="C111" i="19"/>
  <c r="D91" i="14"/>
  <c r="D92" i="14" s="1"/>
  <c r="D199" i="14"/>
  <c r="E199" i="14" s="1"/>
  <c r="F199" i="14" s="1"/>
  <c r="D205" i="14"/>
  <c r="D261" i="14"/>
  <c r="D268" i="14" s="1"/>
  <c r="C30" i="19"/>
  <c r="C36" i="19"/>
  <c r="C40" i="19"/>
  <c r="D190" i="14"/>
  <c r="E190" i="14" s="1"/>
  <c r="F190" i="14" s="1"/>
  <c r="D160" i="14"/>
  <c r="D125" i="14"/>
  <c r="E262" i="14"/>
  <c r="F262" i="14" s="1"/>
  <c r="D49" i="14"/>
  <c r="D139" i="14"/>
  <c r="D271" i="14"/>
  <c r="E261" i="14"/>
  <c r="E91" i="14"/>
  <c r="E46" i="17"/>
  <c r="F46" i="17" s="1"/>
  <c r="F43" i="17"/>
  <c r="D287" i="14"/>
  <c r="D284" i="14"/>
  <c r="E277" i="14"/>
  <c r="E222" i="15"/>
  <c r="D246" i="15"/>
  <c r="D66" i="15"/>
  <c r="D46" i="19"/>
  <c r="D36" i="19"/>
  <c r="D111" i="19"/>
  <c r="D54" i="19"/>
  <c r="D193" i="14"/>
  <c r="E192" i="14"/>
  <c r="D241" i="15"/>
  <c r="E217" i="15"/>
  <c r="D211" i="14"/>
  <c r="E43" i="15"/>
  <c r="E215" i="14"/>
  <c r="F215" i="14" s="1"/>
  <c r="E269" i="14"/>
  <c r="F269" i="14" s="1"/>
  <c r="E20" i="10"/>
  <c r="E21" i="10"/>
  <c r="E264" i="14"/>
  <c r="C265" i="14"/>
  <c r="F264" i="14"/>
  <c r="C300" i="14"/>
  <c r="D33" i="2"/>
  <c r="D286" i="14"/>
  <c r="C56" i="19"/>
  <c r="C48" i="19"/>
  <c r="C38" i="19"/>
  <c r="C113" i="19"/>
  <c r="D53" i="19"/>
  <c r="D45" i="19"/>
  <c r="D39" i="19"/>
  <c r="D35" i="19"/>
  <c r="D29" i="19"/>
  <c r="D110" i="19"/>
  <c r="E227" i="14"/>
  <c r="F227" i="14" s="1"/>
  <c r="D99" i="15"/>
  <c r="D95" i="15"/>
  <c r="D88" i="15"/>
  <c r="D84" i="15"/>
  <c r="E44" i="15"/>
  <c r="D101" i="15"/>
  <c r="D97" i="15"/>
  <c r="D86" i="15"/>
  <c r="D98" i="15"/>
  <c r="D87" i="15"/>
  <c r="D96" i="15"/>
  <c r="D85" i="15"/>
  <c r="D83" i="15"/>
  <c r="D258" i="15"/>
  <c r="D100" i="15"/>
  <c r="D89" i="15"/>
  <c r="E254" i="14"/>
  <c r="C287" i="14"/>
  <c r="F277" i="14"/>
  <c r="C284" i="14"/>
  <c r="E111" i="14"/>
  <c r="F111" i="14" s="1"/>
  <c r="C41" i="9"/>
  <c r="C50" i="14"/>
  <c r="C194" i="14"/>
  <c r="D294" i="15"/>
  <c r="C282" i="14"/>
  <c r="D162" i="14"/>
  <c r="C258" i="15"/>
  <c r="C98" i="15"/>
  <c r="C87" i="15"/>
  <c r="C83" i="15"/>
  <c r="C100" i="15"/>
  <c r="C96" i="15"/>
  <c r="C89" i="15"/>
  <c r="C85" i="15"/>
  <c r="C101" i="15"/>
  <c r="E101" i="15" s="1"/>
  <c r="C99" i="15"/>
  <c r="C88" i="15"/>
  <c r="C97" i="15"/>
  <c r="C86" i="15"/>
  <c r="C95" i="15"/>
  <c r="C84" i="15"/>
  <c r="C157" i="15"/>
  <c r="E157" i="15" s="1"/>
  <c r="D295" i="15"/>
  <c r="E33" i="15"/>
  <c r="D106" i="14"/>
  <c r="D176" i="14"/>
  <c r="D50" i="14"/>
  <c r="E49" i="14"/>
  <c r="F49" i="14" s="1"/>
  <c r="E41" i="17"/>
  <c r="F41" i="17" s="1"/>
  <c r="F39" i="17"/>
  <c r="D270" i="14"/>
  <c r="D234" i="15"/>
  <c r="E234" i="15" s="1"/>
  <c r="E210" i="15"/>
  <c r="D211" i="15"/>
  <c r="D168" i="15"/>
  <c r="D145" i="15"/>
  <c r="D180" i="15"/>
  <c r="F285" i="14"/>
  <c r="C286" i="14"/>
  <c r="C281" i="14"/>
  <c r="E280" i="14"/>
  <c r="F280" i="14" s="1"/>
  <c r="C216" i="14"/>
  <c r="F214" i="14"/>
  <c r="C263" i="14"/>
  <c r="F261" i="14"/>
  <c r="E146" i="14"/>
  <c r="F146" i="14"/>
  <c r="E68" i="14"/>
  <c r="F68" i="14"/>
  <c r="D21" i="5"/>
  <c r="D20" i="5"/>
  <c r="E124" i="14"/>
  <c r="F124" i="14"/>
  <c r="D112" i="5"/>
  <c r="D111" i="5"/>
  <c r="D28" i="5"/>
  <c r="D99" i="5"/>
  <c r="D101" i="5" s="1"/>
  <c r="D98" i="5" s="1"/>
  <c r="E300" i="14"/>
  <c r="D223" i="15"/>
  <c r="F239" i="14"/>
  <c r="D140" i="14"/>
  <c r="D141" i="14" s="1"/>
  <c r="F290" i="14"/>
  <c r="D284" i="15"/>
  <c r="E284" i="15"/>
  <c r="F121" i="7"/>
  <c r="C254" i="15"/>
  <c r="C125" i="14"/>
  <c r="C173" i="14"/>
  <c r="E172" i="14"/>
  <c r="F172" i="14" s="1"/>
  <c r="E240" i="15"/>
  <c r="D63" i="14"/>
  <c r="E326" i="15"/>
  <c r="D330" i="15"/>
  <c r="E330" i="15" s="1"/>
  <c r="E126" i="14"/>
  <c r="F126" i="14" s="1"/>
  <c r="C127" i="14"/>
  <c r="F91" i="14"/>
  <c r="C92" i="14"/>
  <c r="F254" i="14"/>
  <c r="F36" i="11"/>
  <c r="F38" i="11" s="1"/>
  <c r="F40" i="11" s="1"/>
  <c r="E216" i="14"/>
  <c r="F216" i="14" s="1"/>
  <c r="E156" i="15"/>
  <c r="C223" i="15"/>
  <c r="F192" i="14"/>
  <c r="D43" i="8"/>
  <c r="E43" i="8" s="1"/>
  <c r="F43" i="8" s="1"/>
  <c r="E173" i="14"/>
  <c r="F173" i="14"/>
  <c r="C175" i="14"/>
  <c r="C195" i="14"/>
  <c r="C196" i="14"/>
  <c r="E96" i="15"/>
  <c r="D102" i="15"/>
  <c r="E100" i="15"/>
  <c r="E97" i="15"/>
  <c r="E88" i="15"/>
  <c r="D181" i="15"/>
  <c r="D169" i="15"/>
  <c r="D90" i="15"/>
  <c r="E84" i="15"/>
  <c r="E287" i="14"/>
  <c r="F287" i="14" s="1"/>
  <c r="E85" i="15"/>
  <c r="E286" i="14"/>
  <c r="F300" i="14"/>
  <c r="E127" i="14"/>
  <c r="F127" i="14" s="1"/>
  <c r="D247" i="15"/>
  <c r="E223" i="15"/>
  <c r="E211" i="15"/>
  <c r="D235" i="15"/>
  <c r="E235" i="15" s="1"/>
  <c r="D70" i="14"/>
  <c r="E50" i="14"/>
  <c r="F50" i="14"/>
  <c r="D183" i="14"/>
  <c r="D323" i="14"/>
  <c r="E83" i="15"/>
  <c r="D91" i="15"/>
  <c r="D105" i="15" s="1"/>
  <c r="D47" i="19"/>
  <c r="D37" i="19"/>
  <c r="D112" i="19"/>
  <c r="D55" i="19"/>
  <c r="D304" i="14"/>
  <c r="D273" i="14"/>
  <c r="D22" i="5"/>
  <c r="F286" i="14"/>
  <c r="C90" i="15"/>
  <c r="C91" i="15" s="1"/>
  <c r="E98" i="15"/>
  <c r="E99" i="15"/>
  <c r="E125" i="14"/>
  <c r="F125" i="14" s="1"/>
  <c r="C48" i="9"/>
  <c r="E258" i="15"/>
  <c r="D103" i="15"/>
  <c r="E95" i="15"/>
  <c r="D41" i="2"/>
  <c r="D194" i="14"/>
  <c r="D195" i="14" s="1"/>
  <c r="E195" i="14" s="1"/>
  <c r="F195" i="14" s="1"/>
  <c r="D266" i="14"/>
  <c r="E193" i="14"/>
  <c r="F193" i="14" s="1"/>
  <c r="D282" i="14"/>
  <c r="E284" i="14"/>
  <c r="F284" i="14"/>
  <c r="E91" i="15"/>
  <c r="E266" i="14"/>
  <c r="F266" i="14" s="1"/>
  <c r="D265" i="14"/>
  <c r="E265" i="14" s="1"/>
  <c r="F265" i="14" s="1"/>
  <c r="C176" i="14"/>
  <c r="E176" i="14" s="1"/>
  <c r="F176" i="14" s="1"/>
  <c r="E175" i="14"/>
  <c r="F175" i="14" s="1"/>
  <c r="D48" i="2"/>
  <c r="E304" i="14"/>
  <c r="F304" i="14" s="1"/>
  <c r="D322" i="14"/>
  <c r="D148" i="14"/>
  <c r="E87" i="15" l="1"/>
  <c r="E70" i="10"/>
  <c r="E72" i="10" s="1"/>
  <c r="E69" i="10" s="1"/>
  <c r="E22" i="10"/>
  <c r="E103" i="15"/>
  <c r="C102" i="15"/>
  <c r="C103" i="15" s="1"/>
  <c r="C105" i="15" s="1"/>
  <c r="E105" i="15" s="1"/>
  <c r="E89" i="15"/>
  <c r="E22" i="1"/>
  <c r="F22" i="1" s="1"/>
  <c r="E29" i="1"/>
  <c r="F29" i="1" s="1"/>
  <c r="E61" i="1"/>
  <c r="F61" i="1" s="1"/>
  <c r="E73" i="1"/>
  <c r="F73" i="1" s="1"/>
  <c r="E51" i="3"/>
  <c r="C83" i="4"/>
  <c r="C176" i="4"/>
  <c r="C15" i="5"/>
  <c r="E71" i="5"/>
  <c r="D149" i="5"/>
  <c r="E149" i="5"/>
  <c r="D166" i="5"/>
  <c r="F204" i="6"/>
  <c r="E86" i="15"/>
  <c r="E75" i="1"/>
  <c r="F75" i="1" s="1"/>
  <c r="E272" i="14"/>
  <c r="F272" i="14" s="1"/>
  <c r="E90" i="14"/>
  <c r="F90" i="14" s="1"/>
  <c r="E79" i="5"/>
  <c r="D79" i="5"/>
  <c r="C109" i="5"/>
  <c r="C106" i="5" s="1"/>
  <c r="E109" i="5"/>
  <c r="E106" i="5" s="1"/>
  <c r="C149" i="5"/>
  <c r="C166" i="5"/>
  <c r="E127" i="6"/>
  <c r="E153" i="6"/>
  <c r="E154" i="6"/>
  <c r="E206" i="6"/>
  <c r="F206" i="6" s="1"/>
  <c r="E23" i="7"/>
  <c r="F73" i="8"/>
  <c r="E46" i="9"/>
  <c r="E48" i="10"/>
  <c r="E42" i="10" s="1"/>
  <c r="C50" i="10"/>
  <c r="I17" i="11"/>
  <c r="G33" i="11"/>
  <c r="G36" i="11" s="1"/>
  <c r="G38" i="11" s="1"/>
  <c r="G40" i="11" s="1"/>
  <c r="E30" i="12"/>
  <c r="E229" i="15"/>
  <c r="C241" i="15"/>
  <c r="E241" i="15" s="1"/>
  <c r="E242" i="15"/>
  <c r="E228" i="15"/>
  <c r="E232" i="15"/>
  <c r="E262" i="15"/>
  <c r="D302" i="15"/>
  <c r="E277" i="15"/>
  <c r="E279" i="15"/>
  <c r="E293" i="15"/>
  <c r="E19" i="18"/>
  <c r="F19" i="18" s="1"/>
  <c r="E21" i="18"/>
  <c r="F21" i="18" s="1"/>
  <c r="E77" i="19"/>
  <c r="D101" i="19"/>
  <c r="D103" i="19" s="1"/>
  <c r="E36" i="7"/>
  <c r="F36" i="7" s="1"/>
  <c r="E47" i="7"/>
  <c r="E56" i="8"/>
  <c r="F56" i="8" s="1"/>
  <c r="C15" i="10"/>
  <c r="C24" i="10" s="1"/>
  <c r="C20" i="10" s="1"/>
  <c r="D50" i="10"/>
  <c r="E37" i="12"/>
  <c r="E50" i="12"/>
  <c r="F50" i="12" s="1"/>
  <c r="E55" i="12"/>
  <c r="E99" i="12"/>
  <c r="F99" i="12" s="1"/>
  <c r="E13" i="13"/>
  <c r="F13" i="13" s="1"/>
  <c r="C37" i="14"/>
  <c r="C102" i="14"/>
  <c r="C137" i="14"/>
  <c r="C159" i="14"/>
  <c r="E179" i="14"/>
  <c r="E72" i="15"/>
  <c r="E73" i="15"/>
  <c r="E74" i="15"/>
  <c r="E75" i="15"/>
  <c r="E162" i="15"/>
  <c r="E179" i="15"/>
  <c r="E216" i="15"/>
  <c r="E292" i="15"/>
  <c r="D303" i="15"/>
  <c r="E19" i="17"/>
  <c r="F19" i="17" s="1"/>
  <c r="E36" i="17"/>
  <c r="F36" i="17" s="1"/>
  <c r="F44" i="17"/>
  <c r="F45" i="17"/>
  <c r="C102" i="19"/>
  <c r="C103" i="19" s="1"/>
  <c r="E102" i="19"/>
  <c r="E103" i="19" s="1"/>
  <c r="E282" i="14"/>
  <c r="F282" i="14" s="1"/>
  <c r="D281" i="14"/>
  <c r="E281" i="14" s="1"/>
  <c r="F281" i="14" s="1"/>
  <c r="D113" i="14"/>
  <c r="D324" i="14"/>
  <c r="E92" i="14"/>
  <c r="F92" i="14" s="1"/>
  <c r="E194" i="14"/>
  <c r="F194" i="14" s="1"/>
  <c r="D196" i="14"/>
  <c r="E90" i="15"/>
  <c r="D30" i="19"/>
  <c r="D263" i="14"/>
  <c r="E263" i="14" s="1"/>
  <c r="F263" i="14" s="1"/>
  <c r="E274" i="14"/>
  <c r="F274" i="14" s="1"/>
  <c r="D76" i="15"/>
  <c r="D136" i="5"/>
  <c r="D135" i="5"/>
  <c r="D137" i="5"/>
  <c r="D140" i="5"/>
  <c r="D138" i="5"/>
  <c r="D139" i="5"/>
  <c r="E137" i="5"/>
  <c r="E136" i="5"/>
  <c r="E138" i="5"/>
  <c r="E139" i="5"/>
  <c r="E140" i="5"/>
  <c r="E135" i="5"/>
  <c r="E141" i="5" s="1"/>
  <c r="E154" i="5"/>
  <c r="E155" i="5"/>
  <c r="E156" i="5"/>
  <c r="E157" i="5"/>
  <c r="E152" i="5"/>
  <c r="E153" i="5"/>
  <c r="D157" i="5"/>
  <c r="D152" i="5"/>
  <c r="D156" i="5"/>
  <c r="D153" i="5"/>
  <c r="D154" i="5"/>
  <c r="D155" i="5"/>
  <c r="E21" i="5"/>
  <c r="C21" i="5"/>
  <c r="C139" i="5"/>
  <c r="C138" i="5"/>
  <c r="C140" i="5"/>
  <c r="C135" i="5"/>
  <c r="C136" i="5"/>
  <c r="C137" i="5"/>
  <c r="C152" i="5"/>
  <c r="C155" i="5"/>
  <c r="C157" i="5"/>
  <c r="C156" i="5"/>
  <c r="C154" i="5"/>
  <c r="C153" i="5"/>
  <c r="E38" i="1"/>
  <c r="F38" i="1" s="1"/>
  <c r="E56" i="1"/>
  <c r="F56" i="1" s="1"/>
  <c r="E16" i="2"/>
  <c r="F16" i="2" s="1"/>
  <c r="E31" i="2"/>
  <c r="F31" i="2" s="1"/>
  <c r="E39" i="2"/>
  <c r="F39" i="2" s="1"/>
  <c r="E25" i="3"/>
  <c r="F25" i="3" s="1"/>
  <c r="E38" i="3"/>
  <c r="F38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68" i="3"/>
  <c r="F68" i="3" s="1"/>
  <c r="E81" i="3"/>
  <c r="F81" i="3" s="1"/>
  <c r="E15" i="5"/>
  <c r="D49" i="5"/>
  <c r="C77" i="5"/>
  <c r="C71" i="5" s="1"/>
  <c r="E23" i="6"/>
  <c r="F23" i="6" s="1"/>
  <c r="E24" i="6"/>
  <c r="F24" i="6" s="1"/>
  <c r="E49" i="6"/>
  <c r="F49" i="6" s="1"/>
  <c r="E50" i="6"/>
  <c r="F50" i="6" s="1"/>
  <c r="E62" i="6"/>
  <c r="F62" i="6" s="1"/>
  <c r="E75" i="6"/>
  <c r="F75" i="6" s="1"/>
  <c r="E76" i="6"/>
  <c r="F76" i="6" s="1"/>
  <c r="F128" i="6"/>
  <c r="C207" i="6"/>
  <c r="D75" i="8"/>
  <c r="D43" i="1"/>
  <c r="C41" i="1"/>
  <c r="E41" i="1" s="1"/>
  <c r="C19" i="2"/>
  <c r="D83" i="4"/>
  <c r="E83" i="4" s="1"/>
  <c r="F83" i="4" s="1"/>
  <c r="D176" i="4"/>
  <c r="E176" i="4" s="1"/>
  <c r="F176" i="4" s="1"/>
  <c r="D57" i="5"/>
  <c r="D62" i="5" s="1"/>
  <c r="E43" i="5"/>
  <c r="E49" i="5"/>
  <c r="F127" i="6"/>
  <c r="E192" i="6"/>
  <c r="E198" i="6"/>
  <c r="F198" i="6" s="1"/>
  <c r="E200" i="6"/>
  <c r="F200" i="6" s="1"/>
  <c r="F95" i="7"/>
  <c r="F96" i="7"/>
  <c r="F108" i="7"/>
  <c r="F115" i="7"/>
  <c r="F119" i="7"/>
  <c r="E19" i="9"/>
  <c r="F19" i="9" s="1"/>
  <c r="D33" i="9"/>
  <c r="F39" i="9"/>
  <c r="D69" i="10"/>
  <c r="E71" i="7"/>
  <c r="E72" i="7"/>
  <c r="C122" i="7"/>
  <c r="E61" i="8"/>
  <c r="F61" i="8" s="1"/>
  <c r="E16" i="9"/>
  <c r="F16" i="9" s="1"/>
  <c r="D24" i="10"/>
  <c r="D20" i="10" s="1"/>
  <c r="C59" i="10"/>
  <c r="C61" i="10" s="1"/>
  <c r="C57" i="10" s="1"/>
  <c r="C33" i="11"/>
  <c r="E92" i="12"/>
  <c r="F92" i="12" s="1"/>
  <c r="E21" i="13"/>
  <c r="F21" i="13" s="1"/>
  <c r="E17" i="14"/>
  <c r="F17" i="14" s="1"/>
  <c r="F36" i="14"/>
  <c r="F59" i="14"/>
  <c r="C60" i="14"/>
  <c r="C65" i="8"/>
  <c r="C17" i="10"/>
  <c r="C28" i="10" s="1"/>
  <c r="D31" i="11"/>
  <c r="E35" i="14"/>
  <c r="F35" i="14" s="1"/>
  <c r="F47" i="14"/>
  <c r="E47" i="14"/>
  <c r="E170" i="14"/>
  <c r="F170" i="14" s="1"/>
  <c r="F179" i="14"/>
  <c r="F180" i="14"/>
  <c r="E189" i="14"/>
  <c r="F189" i="14" s="1"/>
  <c r="C267" i="14"/>
  <c r="F230" i="14"/>
  <c r="C306" i="14"/>
  <c r="F250" i="14"/>
  <c r="C255" i="14"/>
  <c r="C278" i="14"/>
  <c r="E298" i="14"/>
  <c r="F298" i="14" s="1"/>
  <c r="F299" i="14"/>
  <c r="D283" i="15"/>
  <c r="E283" i="15" s="1"/>
  <c r="E37" i="15"/>
  <c r="C65" i="15"/>
  <c r="C71" i="15"/>
  <c r="C76" i="15" s="1"/>
  <c r="C77" i="15" s="1"/>
  <c r="C144" i="15"/>
  <c r="C189" i="15"/>
  <c r="E189" i="15" s="1"/>
  <c r="E221" i="15"/>
  <c r="D245" i="15"/>
  <c r="E227" i="15"/>
  <c r="E233" i="15"/>
  <c r="E302" i="15"/>
  <c r="E94" i="14"/>
  <c r="F94" i="14" s="1"/>
  <c r="E203" i="14"/>
  <c r="F203" i="14" s="1"/>
  <c r="C205" i="14"/>
  <c r="E238" i="14"/>
  <c r="F238" i="14" s="1"/>
  <c r="C65" i="16"/>
  <c r="C114" i="16" s="1"/>
  <c r="C116" i="16" s="1"/>
  <c r="C119" i="16" s="1"/>
  <c r="C123" i="16" s="1"/>
  <c r="E145" i="14"/>
  <c r="F145" i="14" s="1"/>
  <c r="C49" i="16"/>
  <c r="E16" i="17"/>
  <c r="F16" i="17" s="1"/>
  <c r="C34" i="19"/>
  <c r="D278" i="14"/>
  <c r="E301" i="15"/>
  <c r="D316" i="15"/>
  <c r="C22" i="19"/>
  <c r="E33" i="19"/>
  <c r="E22" i="19"/>
  <c r="E23" i="19"/>
  <c r="D306" i="15" l="1"/>
  <c r="E303" i="15"/>
  <c r="C161" i="14"/>
  <c r="E159" i="14"/>
  <c r="F159" i="14" s="1"/>
  <c r="C160" i="14"/>
  <c r="E160" i="14" s="1"/>
  <c r="F160" i="14" s="1"/>
  <c r="E102" i="14"/>
  <c r="F102" i="14" s="1"/>
  <c r="C103" i="14"/>
  <c r="C24" i="5"/>
  <c r="C20" i="5" s="1"/>
  <c r="C17" i="5"/>
  <c r="C138" i="14"/>
  <c r="E137" i="14"/>
  <c r="F137" i="14" s="1"/>
  <c r="C207" i="14"/>
  <c r="E37" i="14"/>
  <c r="F37" i="14" s="1"/>
  <c r="E108" i="19"/>
  <c r="E109" i="19"/>
  <c r="E102" i="15"/>
  <c r="E53" i="19"/>
  <c r="E35" i="19"/>
  <c r="E45" i="19"/>
  <c r="E110" i="19"/>
  <c r="E29" i="19"/>
  <c r="E39" i="19"/>
  <c r="C39" i="19"/>
  <c r="C29" i="19"/>
  <c r="C53" i="19"/>
  <c r="C35" i="19"/>
  <c r="C45" i="19"/>
  <c r="C110" i="19"/>
  <c r="E245" i="15"/>
  <c r="D253" i="15"/>
  <c r="C121" i="15"/>
  <c r="C110" i="15"/>
  <c r="C127" i="15"/>
  <c r="C112" i="15"/>
  <c r="C113" i="15"/>
  <c r="C109" i="15"/>
  <c r="C126" i="15"/>
  <c r="C125" i="15"/>
  <c r="C114" i="15"/>
  <c r="C123" i="15"/>
  <c r="C124" i="15"/>
  <c r="C122" i="15"/>
  <c r="C128" i="15" s="1"/>
  <c r="C111" i="15"/>
  <c r="C115" i="15"/>
  <c r="E255" i="14"/>
  <c r="F255" i="14" s="1"/>
  <c r="E306" i="14"/>
  <c r="C70" i="10"/>
  <c r="C72" i="10" s="1"/>
  <c r="C69" i="10" s="1"/>
  <c r="C22" i="10"/>
  <c r="C259" i="15"/>
  <c r="C263" i="15" s="1"/>
  <c r="C264" i="15" s="1"/>
  <c r="C266" i="15" s="1"/>
  <c r="C267" i="15" s="1"/>
  <c r="C61" i="14"/>
  <c r="E60" i="14"/>
  <c r="F60" i="14" s="1"/>
  <c r="C36" i="11"/>
  <c r="C38" i="11" s="1"/>
  <c r="C40" i="11" s="1"/>
  <c r="I33" i="11"/>
  <c r="I36" i="11" s="1"/>
  <c r="I38" i="11" s="1"/>
  <c r="I40" i="11" s="1"/>
  <c r="H33" i="11"/>
  <c r="H36" i="11" s="1"/>
  <c r="H38" i="11" s="1"/>
  <c r="H40" i="11" s="1"/>
  <c r="C33" i="2"/>
  <c r="E19" i="2"/>
  <c r="F19" i="2" s="1"/>
  <c r="C141" i="5"/>
  <c r="E158" i="5"/>
  <c r="D259" i="15"/>
  <c r="E76" i="15"/>
  <c r="D77" i="15"/>
  <c r="D56" i="19"/>
  <c r="D38" i="19"/>
  <c r="D113" i="19"/>
  <c r="D48" i="19"/>
  <c r="E54" i="19"/>
  <c r="E36" i="19"/>
  <c r="E46" i="19"/>
  <c r="E111" i="19"/>
  <c r="E40" i="19"/>
  <c r="E30" i="19"/>
  <c r="D320" i="15"/>
  <c r="E320" i="15" s="1"/>
  <c r="E316" i="15"/>
  <c r="E278" i="14"/>
  <c r="D279" i="14"/>
  <c r="D288" i="14"/>
  <c r="E205" i="14"/>
  <c r="F205" i="14" s="1"/>
  <c r="C145" i="15"/>
  <c r="C180" i="15"/>
  <c r="E180" i="15" s="1"/>
  <c r="C168" i="15"/>
  <c r="E168" i="15" s="1"/>
  <c r="E144" i="15"/>
  <c r="C66" i="15"/>
  <c r="E65" i="15"/>
  <c r="C294" i="15"/>
  <c r="E294" i="15" s="1"/>
  <c r="C288" i="14"/>
  <c r="C279" i="14"/>
  <c r="F278" i="14"/>
  <c r="E267" i="14"/>
  <c r="F267" i="14" s="1"/>
  <c r="C268" i="14"/>
  <c r="C270" i="14"/>
  <c r="C271" i="14"/>
  <c r="C75" i="8"/>
  <c r="E75" i="8" s="1"/>
  <c r="E122" i="7"/>
  <c r="F122" i="7" s="1"/>
  <c r="D41" i="9"/>
  <c r="E33" i="9"/>
  <c r="F33" i="9" s="1"/>
  <c r="C43" i="1"/>
  <c r="F41" i="1"/>
  <c r="E65" i="8"/>
  <c r="F65" i="8" s="1"/>
  <c r="E24" i="5"/>
  <c r="E20" i="5" s="1"/>
  <c r="E17" i="5"/>
  <c r="C158" i="5"/>
  <c r="E207" i="6"/>
  <c r="F207" i="6" s="1"/>
  <c r="D158" i="5"/>
  <c r="D141" i="5"/>
  <c r="E71" i="15"/>
  <c r="C246" i="15"/>
  <c r="E246" i="15" s="1"/>
  <c r="D197" i="14"/>
  <c r="E196" i="14"/>
  <c r="F196" i="14" s="1"/>
  <c r="D325" i="14"/>
  <c r="C28" i="5" l="1"/>
  <c r="C112" i="5"/>
  <c r="C111" i="5" s="1"/>
  <c r="E103" i="14"/>
  <c r="C105" i="14"/>
  <c r="F103" i="14"/>
  <c r="E161" i="14"/>
  <c r="F161" i="14" s="1"/>
  <c r="C162" i="14"/>
  <c r="D310" i="15"/>
  <c r="E310" i="15" s="1"/>
  <c r="E306" i="15"/>
  <c r="C208" i="14"/>
  <c r="E207" i="14"/>
  <c r="F207" i="14" s="1"/>
  <c r="C140" i="14"/>
  <c r="E138" i="14"/>
  <c r="F138" i="14" s="1"/>
  <c r="C273" i="14"/>
  <c r="E271" i="14"/>
  <c r="F271" i="14" s="1"/>
  <c r="E270" i="14"/>
  <c r="F270" i="14"/>
  <c r="C247" i="15"/>
  <c r="E247" i="15" s="1"/>
  <c r="C295" i="15"/>
  <c r="E295" i="15" s="1"/>
  <c r="E66" i="15"/>
  <c r="C169" i="15"/>
  <c r="E169" i="15" s="1"/>
  <c r="C181" i="15"/>
  <c r="E181" i="15" s="1"/>
  <c r="E145" i="15"/>
  <c r="E279" i="14"/>
  <c r="F279" i="14" s="1"/>
  <c r="E38" i="19"/>
  <c r="E56" i="19"/>
  <c r="E48" i="19"/>
  <c r="E113" i="19"/>
  <c r="D126" i="15"/>
  <c r="E126" i="15" s="1"/>
  <c r="D122" i="15"/>
  <c r="D121" i="15"/>
  <c r="D127" i="15"/>
  <c r="E127" i="15" s="1"/>
  <c r="E77" i="15"/>
  <c r="D115" i="15"/>
  <c r="E115" i="15" s="1"/>
  <c r="D111" i="15"/>
  <c r="E111" i="15" s="1"/>
  <c r="D124" i="15"/>
  <c r="E124" i="15" s="1"/>
  <c r="D113" i="15"/>
  <c r="E113" i="15" s="1"/>
  <c r="D109" i="15"/>
  <c r="D110" i="15"/>
  <c r="D125" i="15"/>
  <c r="E125" i="15" s="1"/>
  <c r="D114" i="15"/>
  <c r="E114" i="15" s="1"/>
  <c r="D123" i="15"/>
  <c r="E123" i="15" s="1"/>
  <c r="D112" i="15"/>
  <c r="E112" i="15" s="1"/>
  <c r="D263" i="15"/>
  <c r="E259" i="15"/>
  <c r="C41" i="2"/>
  <c r="E33" i="2"/>
  <c r="F33" i="2"/>
  <c r="C104" i="14"/>
  <c r="C139" i="14"/>
  <c r="E61" i="14"/>
  <c r="F61" i="14" s="1"/>
  <c r="C62" i="14"/>
  <c r="C174" i="14"/>
  <c r="C209" i="14"/>
  <c r="C116" i="15"/>
  <c r="C117" i="15" s="1"/>
  <c r="E253" i="15"/>
  <c r="D254" i="15"/>
  <c r="E254" i="15" s="1"/>
  <c r="C55" i="19"/>
  <c r="C37" i="19"/>
  <c r="C112" i="19"/>
  <c r="C47" i="19"/>
  <c r="E28" i="5"/>
  <c r="E112" i="5"/>
  <c r="E111" i="5" s="1"/>
  <c r="D48" i="9"/>
  <c r="E48" i="9" s="1"/>
  <c r="F48" i="9" s="1"/>
  <c r="E41" i="9"/>
  <c r="F41" i="9" s="1"/>
  <c r="F75" i="8"/>
  <c r="F268" i="14"/>
  <c r="E268" i="14"/>
  <c r="C291" i="14"/>
  <c r="C289" i="14"/>
  <c r="E288" i="14"/>
  <c r="F288" i="14" s="1"/>
  <c r="D291" i="14"/>
  <c r="D289" i="14"/>
  <c r="E43" i="1"/>
  <c r="F43" i="1" s="1"/>
  <c r="C268" i="15"/>
  <c r="C269" i="15"/>
  <c r="C129" i="15"/>
  <c r="E47" i="19"/>
  <c r="E112" i="19"/>
  <c r="E37" i="19"/>
  <c r="E55" i="19"/>
  <c r="C141" i="14" l="1"/>
  <c r="E140" i="14"/>
  <c r="F140" i="14" s="1"/>
  <c r="C197" i="14"/>
  <c r="E197" i="14" s="1"/>
  <c r="F197" i="14" s="1"/>
  <c r="E162" i="14"/>
  <c r="C183" i="14"/>
  <c r="E183" i="14" s="1"/>
  <c r="F183" i="14" s="1"/>
  <c r="F162" i="14"/>
  <c r="C323" i="14"/>
  <c r="E105" i="14"/>
  <c r="F105" i="14" s="1"/>
  <c r="C106" i="14"/>
  <c r="E208" i="14"/>
  <c r="C210" i="14"/>
  <c r="E210" i="14" s="1"/>
  <c r="F210" i="14" s="1"/>
  <c r="F208" i="14"/>
  <c r="C99" i="5"/>
  <c r="C101" i="5" s="1"/>
  <c r="C98" i="5" s="1"/>
  <c r="C22" i="5"/>
  <c r="C271" i="15"/>
  <c r="E289" i="14"/>
  <c r="F209" i="14"/>
  <c r="E209" i="14"/>
  <c r="F62" i="14"/>
  <c r="E62" i="14"/>
  <c r="C63" i="14"/>
  <c r="E139" i="14"/>
  <c r="F139" i="14" s="1"/>
  <c r="D116" i="15"/>
  <c r="E116" i="15" s="1"/>
  <c r="E110" i="15"/>
  <c r="E121" i="15"/>
  <c r="E273" i="14"/>
  <c r="F273" i="14"/>
  <c r="E291" i="14"/>
  <c r="D305" i="14"/>
  <c r="F289" i="14"/>
  <c r="C305" i="14"/>
  <c r="F291" i="14"/>
  <c r="E22" i="5"/>
  <c r="E99" i="5"/>
  <c r="E101" i="5" s="1"/>
  <c r="E98" i="5" s="1"/>
  <c r="C131" i="15"/>
  <c r="E174" i="14"/>
  <c r="F174" i="14"/>
  <c r="E104" i="14"/>
  <c r="F104" i="14" s="1"/>
  <c r="C48" i="2"/>
  <c r="E41" i="2"/>
  <c r="F41" i="2" s="1"/>
  <c r="E263" i="15"/>
  <c r="D264" i="15"/>
  <c r="E109" i="15"/>
  <c r="D117" i="15"/>
  <c r="D128" i="15"/>
  <c r="E128" i="15" s="1"/>
  <c r="E122" i="15"/>
  <c r="C113" i="14" l="1"/>
  <c r="E113" i="14" s="1"/>
  <c r="F113" i="14" s="1"/>
  <c r="C324" i="14"/>
  <c r="E106" i="14"/>
  <c r="F106" i="14" s="1"/>
  <c r="E323" i="14"/>
  <c r="F323" i="14" s="1"/>
  <c r="C322" i="14"/>
  <c r="E322" i="14" s="1"/>
  <c r="F322" i="14" s="1"/>
  <c r="E141" i="14"/>
  <c r="F141" i="14" s="1"/>
  <c r="C211" i="14"/>
  <c r="E211" i="14" s="1"/>
  <c r="F211" i="14" s="1"/>
  <c r="C148" i="14"/>
  <c r="E148" i="14" s="1"/>
  <c r="F148" i="14" s="1"/>
  <c r="E117" i="15"/>
  <c r="D266" i="15"/>
  <c r="E264" i="15"/>
  <c r="E48" i="2"/>
  <c r="F48" i="2" s="1"/>
  <c r="C309" i="14"/>
  <c r="D309" i="14"/>
  <c r="E305" i="14"/>
  <c r="F305" i="14" s="1"/>
  <c r="D129" i="15"/>
  <c r="E129" i="15" s="1"/>
  <c r="C70" i="14"/>
  <c r="E63" i="14"/>
  <c r="F63" i="14" s="1"/>
  <c r="C325" i="14" l="1"/>
  <c r="E324" i="14"/>
  <c r="F324" i="14" s="1"/>
  <c r="C310" i="14"/>
  <c r="E70" i="14"/>
  <c r="F70" i="14" s="1"/>
  <c r="E309" i="14"/>
  <c r="F309" i="14" s="1"/>
  <c r="D310" i="14"/>
  <c r="E266" i="15"/>
  <c r="D267" i="15"/>
  <c r="D131" i="15"/>
  <c r="E131" i="15" s="1"/>
  <c r="F325" i="14" l="1"/>
  <c r="E325" i="14"/>
  <c r="D269" i="15"/>
  <c r="E269" i="15" s="1"/>
  <c r="D268" i="15"/>
  <c r="E267" i="15"/>
  <c r="D312" i="14"/>
  <c r="E310" i="14"/>
  <c r="F310" i="14" s="1"/>
  <c r="C312" i="14"/>
  <c r="C313" i="14" l="1"/>
  <c r="E312" i="14"/>
  <c r="F312" i="14" s="1"/>
  <c r="D313" i="14"/>
  <c r="E268" i="15"/>
  <c r="D271" i="15"/>
  <c r="E271" i="15" s="1"/>
  <c r="D315" i="14" l="1"/>
  <c r="D251" i="14"/>
  <c r="E313" i="14"/>
  <c r="F313" i="14" s="1"/>
  <c r="D314" i="14"/>
  <c r="D256" i="14"/>
  <c r="C251" i="14"/>
  <c r="C315" i="14"/>
  <c r="C256" i="14"/>
  <c r="C314" i="14"/>
  <c r="C257" i="14" l="1"/>
  <c r="C318" i="14"/>
  <c r="D318" i="14"/>
  <c r="E314" i="14"/>
  <c r="F314" i="14" s="1"/>
  <c r="E251" i="14"/>
  <c r="F251" i="14"/>
  <c r="D257" i="14"/>
  <c r="E257" i="14" s="1"/>
  <c r="E256" i="14"/>
  <c r="F256" i="14" s="1"/>
  <c r="E315" i="14"/>
  <c r="F315" i="14" s="1"/>
  <c r="E318" i="14" l="1"/>
  <c r="F318" i="14" s="1"/>
  <c r="F257" i="14"/>
</calcChain>
</file>

<file path=xl/sharedStrings.xml><?xml version="1.0" encoding="utf-8"?>
<sst xmlns="http://schemas.openxmlformats.org/spreadsheetml/2006/main" count="2307" uniqueCount="984">
  <si>
    <t>ROCKVILLE GENERAL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</si>
  <si>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</si>
  <si>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</si>
  <si>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</si>
  <si>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</si>
  <si>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</si>
  <si>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</si>
  <si>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</si>
  <si>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</si>
  <si>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</si>
  <si>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</si>
  <si>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</si>
  <si>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</si>
  <si>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</si>
  <si>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</si>
  <si>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</si>
  <si>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</si>
  <si>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</si>
  <si>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</si>
  <si>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</si>
  <si>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</si>
  <si>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</si>
  <si>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</si>
  <si>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</si>
  <si>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</si>
  <si>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</si>
  <si>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</si>
  <si>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</si>
  <si>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</si>
  <si>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</si>
  <si>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</si>
  <si>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</si>
  <si>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</si>
  <si>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</si>
  <si>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</si>
  <si>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</si>
  <si>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</si>
  <si>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</si>
  <si>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</si>
  <si>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</si>
  <si>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</si>
  <si>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</si>
  <si>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</si>
  <si>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</si>
  <si>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</si>
  <si>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</si>
  <si>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</si>
  <si>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</si>
  <si>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</si>
  <si>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</si>
  <si>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</si>
  <si>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</si>
  <si>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</si>
  <si>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</si>
  <si>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</si>
  <si>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</si>
  <si>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</si>
  <si>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</si>
  <si>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</si>
  <si>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</si>
  <si>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</si>
  <si>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</si>
  <si>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</si>
  <si>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</si>
  <si>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</si>
  <si>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</si>
  <si>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</si>
  <si>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</si>
  <si>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</si>
  <si>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</si>
  <si>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</si>
  <si>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</si>
  <si>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</si>
  <si>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</si>
  <si>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</si>
  <si>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</si>
  <si>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</si>
  <si>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</si>
  <si>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</si>
  <si>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</si>
  <si>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</si>
  <si>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</si>
  <si>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</si>
  <si>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</si>
  <si>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</si>
  <si>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</si>
  <si>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</si>
  <si>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</si>
  <si>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</si>
  <si>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</si>
  <si>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</si>
  <si>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</si>
  <si>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</si>
  <si>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</si>
  <si>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</si>
  <si>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</si>
  <si>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</si>
  <si>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</si>
  <si>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</si>
  <si>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</si>
  <si>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</si>
  <si>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</si>
  <si>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</si>
  <si>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</si>
  <si>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</si>
  <si>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</si>
  <si>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</si>
  <si>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</si>
  <si>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</si>
  <si>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</si>
  <si>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</si>
  <si>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</si>
  <si>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</si>
  <si>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</si>
  <si>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</si>
  <si>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</si>
  <si>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</si>
  <si>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</si>
  <si>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</si>
  <si>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</si>
  <si>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</si>
  <si>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</si>
  <si>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</si>
  <si>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</si>
  <si>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</si>
  <si>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</si>
  <si>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</si>
  <si>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</si>
  <si>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</si>
  <si>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</si>
  <si>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</si>
  <si>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</si>
  <si>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</si>
  <si>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</si>
  <si>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</si>
  <si>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</si>
  <si>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</si>
  <si>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</si>
  <si>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</si>
  <si>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</si>
  <si>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</si>
  <si>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</si>
  <si>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</si>
  <si>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</si>
  <si>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</si>
  <si>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</si>
  <si>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</si>
  <si>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</si>
  <si>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</si>
  <si>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</si>
  <si>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</si>
  <si>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</si>
  <si>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</si>
  <si>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</si>
  <si>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</si>
  <si>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</si>
  <si>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</si>
  <si>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</si>
  <si>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</si>
  <si>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</si>
  <si>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</si>
  <si>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</si>
  <si>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</si>
  <si>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</si>
  <si>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</si>
  <si>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</si>
  <si>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</si>
  <si>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</si>
  <si>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</si>
  <si>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</si>
  <si>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</si>
  <si>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</si>
  <si>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</si>
  <si>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</si>
  <si>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</si>
  <si>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</si>
  <si>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</si>
  <si>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</si>
  <si>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</si>
  <si>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</si>
  <si>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</si>
  <si>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</si>
  <si>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</si>
  <si>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</si>
  <si>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</si>
  <si>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</si>
  <si>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</si>
  <si>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</si>
  <si>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</si>
  <si>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</si>
  <si>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</si>
  <si>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</si>
  <si>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</si>
  <si>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</si>
  <si>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</si>
  <si>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</si>
  <si>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</si>
  <si>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</si>
  <si>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</si>
  <si>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</si>
  <si>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</si>
  <si>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</si>
  <si>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</si>
  <si>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</si>
  <si>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</si>
  <si>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</si>
  <si>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</si>
  <si>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</si>
  <si>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</si>
  <si>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</si>
  <si>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</si>
  <si>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</si>
  <si>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</si>
  <si>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</si>
  <si>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</si>
  <si>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</si>
  <si>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</si>
  <si>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</si>
  <si>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</si>
  <si>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</si>
  <si>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</si>
  <si>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</si>
  <si>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</si>
  <si>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</si>
  <si>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</si>
  <si>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</si>
  <si>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</si>
  <si>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</si>
  <si>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</si>
  <si>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</si>
  <si>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</si>
  <si>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</si>
  <si>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</si>
  <si>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</si>
  <si>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</si>
  <si>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</si>
  <si>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</si>
  <si>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</si>
  <si>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</si>
  <si>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</si>
  <si>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</si>
  <si>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</si>
  <si>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</si>
  <si>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</si>
  <si>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</si>
  <si>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</si>
  <si>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</si>
  <si>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</si>
  <si>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</si>
  <si>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</si>
  <si>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</si>
  <si>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</si>
  <si>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</si>
  <si>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</si>
  <si>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</si>
  <si>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</si>
  <si>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</si>
  <si>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</si>
  <si>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</si>
  <si>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</si>
  <si>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</si>
  <si>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</si>
  <si>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</si>
  <si>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</si>
  <si>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</si>
  <si>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</si>
  <si>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</si>
  <si>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</si>
  <si>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</si>
  <si>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</si>
  <si>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</si>
  <si>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</si>
  <si>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</si>
  <si>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</si>
  <si>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</si>
  <si>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</si>
  <si>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</si>
  <si>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</si>
  <si>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</si>
  <si>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</si>
  <si>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</si>
  <si>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</si>
  <si>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</si>
  <si>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</si>
  <si>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</si>
  <si>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</si>
  <si>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</si>
  <si>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</si>
  <si>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</si>
  <si>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</si>
  <si>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</si>
  <si>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</si>
  <si>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</si>
  <si>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</si>
  <si>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</si>
  <si>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</si>
  <si>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</si>
  <si>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</si>
  <si>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</si>
  <si>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</si>
  <si>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</si>
  <si>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</si>
  <si>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</si>
  <si>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</si>
  <si>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</si>
  <si>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</si>
  <si>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</si>
  <si>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</si>
  <si>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</si>
  <si>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</si>
  <si>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</si>
  <si>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</si>
  <si>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</si>
  <si>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</si>
  <si>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</si>
  <si>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</si>
  <si>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</si>
  <si>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</si>
  <si>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</si>
  <si>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</si>
  <si>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</si>
  <si>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</si>
  <si>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</si>
  <si>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</si>
  <si>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</si>
  <si>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</si>
  <si>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</si>
  <si>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</si>
  <si>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</si>
  <si>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</si>
  <si>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</si>
  <si>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</si>
  <si>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</si>
  <si>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</si>
  <si>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</si>
  <si>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</si>
  <si>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</si>
  <si>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</si>
  <si>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</si>
  <si>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</si>
  <si>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</si>
  <si>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</si>
  <si>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</si>
  <si>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</si>
  <si>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</si>
  <si>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</si>
  <si>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</si>
  <si>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</si>
  <si>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</si>
  <si>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</si>
  <si>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</si>
  <si>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</si>
  <si>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</si>
  <si>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</si>
  <si>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</si>
  <si>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</si>
  <si>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</si>
  <si>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</si>
  <si>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</si>
  <si>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</si>
  <si>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</si>
  <si>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</si>
  <si>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</si>
  <si>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</si>
  <si>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</si>
  <si>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</si>
  <si>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</si>
  <si>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</si>
  <si>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</si>
  <si>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</si>
  <si>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</si>
  <si>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</si>
  <si>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</si>
  <si>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</si>
  <si>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</si>
  <si>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</si>
  <si>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</si>
  <si>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</si>
  <si>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</si>
  <si>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</si>
  <si>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</si>
  <si>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</si>
  <si>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</si>
  <si>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</si>
  <si>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</si>
  <si>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</si>
  <si>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</si>
  <si>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</si>
  <si>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</si>
  <si>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</si>
  <si>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</si>
  <si>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</si>
  <si>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</si>
  <si>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</si>
  <si>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</si>
  <si>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</si>
  <si>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</si>
  <si>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</si>
  <si>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</si>
  <si>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</si>
  <si>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</si>
  <si>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</si>
  <si>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</si>
  <si>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</si>
  <si>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</si>
  <si>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</si>
  <si>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</si>
  <si>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</si>
  <si>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</si>
  <si>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</si>
  <si>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</si>
  <si>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</si>
  <si>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</si>
  <si>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</si>
  <si>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</si>
  <si>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</si>
  <si>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</si>
  <si>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</si>
  <si>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</si>
  <si>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</si>
  <si>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</si>
  <si>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</si>
  <si>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</si>
  <si>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</si>
  <si>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</si>
  <si>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</si>
  <si>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</si>
  <si>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</si>
  <si>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</si>
  <si>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</si>
  <si>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</si>
  <si>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</si>
  <si>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</si>
  <si>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</si>
  <si>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</si>
  <si>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</si>
  <si>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</si>
  <si>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</si>
  <si>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</si>
  <si>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</si>
  <si>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</si>
  <si>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</si>
  <si>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</si>
  <si>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</si>
  <si>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</si>
  <si>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</si>
  <si>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</si>
  <si>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</si>
  <si>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</si>
  <si>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</si>
  <si>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</si>
  <si>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</si>
  <si>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</si>
  <si>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</si>
  <si>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</si>
  <si>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</si>
  <si>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</si>
  <si>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</si>
  <si>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</si>
  <si>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</si>
  <si>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</si>
  <si>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</si>
  <si>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</si>
  <si>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</si>
  <si>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</si>
  <si>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</si>
  <si>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</si>
  <si>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</si>
  <si>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</si>
  <si>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</si>
  <si>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</si>
  <si>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</si>
  <si>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</si>
  <si>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</si>
  <si>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</si>
  <si>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</si>
  <si>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</si>
  <si>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EASTERN CT HEALTH NETWORK 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</si>
  <si>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</si>
  <si>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</si>
  <si>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</si>
  <si>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</si>
  <si>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</si>
  <si>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</si>
  <si>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</si>
  <si>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</si>
  <si>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</si>
  <si>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</si>
  <si>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</si>
  <si>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</si>
  <si>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</si>
  <si>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</si>
  <si>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</si>
  <si>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</si>
  <si>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</si>
  <si>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</si>
  <si>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</si>
  <si>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</si>
  <si>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</si>
  <si>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</si>
  <si>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</si>
  <si>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</si>
  <si>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</si>
  <si>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</si>
  <si>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</si>
  <si>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</si>
  <si>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</si>
  <si>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</si>
  <si>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</si>
  <si>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</si>
  <si>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</si>
  <si>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</si>
  <si>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</si>
  <si>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</si>
  <si>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</si>
  <si>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</si>
  <si>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</si>
  <si>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</si>
  <si>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</si>
  <si>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</si>
  <si>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</si>
  <si>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</si>
  <si>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</si>
  <si>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</si>
  <si>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</si>
  <si>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</si>
  <si>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</si>
  <si>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</si>
  <si>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</si>
  <si>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</si>
  <si>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</si>
  <si>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</si>
  <si>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</si>
  <si>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</si>
  <si>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</si>
  <si>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</si>
  <si>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</si>
  <si>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</si>
  <si>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</si>
  <si>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</si>
  <si>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</si>
  <si>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</si>
  <si>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</si>
  <si>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</si>
  <si>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</si>
  <si>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</si>
  <si>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</si>
  <si>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</si>
  <si>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</si>
  <si>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</si>
  <si>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</si>
  <si>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</si>
  <si>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</si>
  <si>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</si>
  <si>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</si>
  <si>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</si>
  <si>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</si>
  <si>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</si>
  <si>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</si>
  <si>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</si>
  <si>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</si>
  <si>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</si>
  <si>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</si>
  <si>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</si>
  <si>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</si>
  <si>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</si>
  <si>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</si>
  <si>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</si>
  <si>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</si>
  <si>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</si>
  <si>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</si>
  <si>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</si>
  <si>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</si>
  <si>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</si>
  <si>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</si>
  <si>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</si>
  <si>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</si>
  <si>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</si>
  <si>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</si>
  <si>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</si>
  <si>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</si>
  <si>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</si>
  <si>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</si>
  <si>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</si>
  <si>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</si>
  <si>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</si>
  <si>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</si>
  <si>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</si>
  <si>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</si>
  <si>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</si>
  <si>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Hospital Emergency Room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</si>
  <si>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</si>
  <si>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</si>
  <si>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</si>
  <si>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</si>
  <si>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</si>
  <si>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</si>
  <si>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</si>
  <si>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</si>
  <si>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</si>
  <si>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</si>
  <si>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</si>
  <si>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</si>
  <si>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</si>
  <si>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</si>
  <si>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</si>
  <si>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</si>
  <si>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</si>
  <si>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</si>
  <si>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</si>
  <si>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</si>
  <si>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</si>
  <si>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</si>
  <si>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</si>
  <si>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</si>
  <si>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</si>
  <si>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</si>
  <si>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</si>
  <si>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</si>
  <si>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</si>
  <si>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</si>
  <si>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</si>
  <si>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</si>
  <si>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</si>
  <si>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</si>
  <si>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</si>
  <si>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</si>
  <si>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</si>
  <si>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</si>
  <si>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</si>
  <si>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</si>
  <si>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</si>
  <si>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</si>
  <si>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</si>
  <si>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</si>
  <si>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</si>
  <si>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</si>
  <si>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</si>
  <si>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</si>
  <si>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</si>
  <si>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</si>
  <si>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</si>
  <si>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</si>
  <si>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</si>
  <si>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</si>
  <si>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</si>
  <si>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</si>
  <si>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</si>
  <si>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</si>
  <si>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</si>
  <si>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</si>
  <si>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</si>
  <si>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</si>
  <si>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</si>
  <si>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</si>
  <si>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</si>
  <si>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</si>
  <si>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</si>
  <si>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</si>
  <si>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</si>
  <si>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</si>
  <si>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</si>
  <si>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</si>
  <si>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</si>
  <si>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</si>
  <si>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</si>
  <si>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</si>
  <si>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</si>
  <si>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</si>
  <si>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</si>
  <si>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</si>
  <si>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</si>
  <si>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</si>
  <si>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</si>
  <si>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</si>
  <si>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</si>
  <si>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</si>
  <si>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</si>
  <si>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</si>
  <si>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</si>
  <si>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</si>
  <si>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</si>
  <si>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</si>
  <si>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</si>
  <si>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</si>
  <si>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</si>
  <si>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</si>
  <si>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</si>
  <si>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</si>
  <si>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</si>
  <si>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</si>
  <si>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</si>
  <si>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</si>
  <si>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</si>
  <si>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</si>
  <si>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</si>
  <si>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</si>
  <si>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</si>
  <si>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</si>
  <si>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</si>
  <si>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</si>
  <si>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</si>
  <si>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</si>
  <si>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</si>
  <si>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</si>
  <si>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</si>
  <si>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</si>
  <si>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</si>
  <si>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</si>
  <si>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</si>
  <si>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</si>
  <si>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</si>
  <si>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</si>
  <si>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</si>
  <si>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</si>
  <si>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</si>
  <si>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</si>
  <si>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</si>
  <si>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</si>
  <si>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</si>
  <si>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</si>
  <si>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</si>
  <si>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</si>
  <si>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</si>
  <si>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</si>
  <si>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</si>
  <si>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</si>
  <si>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</si>
  <si>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</si>
  <si>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</si>
  <si>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</si>
  <si>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</si>
  <si>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</si>
  <si>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</si>
  <si>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</si>
  <si>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</si>
  <si>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</si>
  <si>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</si>
  <si>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</si>
  <si>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</si>
  <si>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</si>
  <si>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</si>
  <si>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</si>
  <si>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</si>
  <si>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</si>
  <si>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</si>
  <si>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</si>
  <si>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</si>
  <si>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</si>
  <si>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</si>
  <si>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</si>
  <si>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</si>
  <si>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</si>
  <si>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</si>
  <si>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</si>
  <si>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</si>
  <si>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</si>
  <si>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</si>
  <si>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</si>
  <si>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</si>
  <si>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</si>
  <si>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</si>
  <si>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</si>
  <si>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</si>
  <si>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</si>
  <si>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</si>
  <si>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</si>
  <si>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</si>
  <si>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</si>
  <si>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</si>
  <si>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</si>
  <si>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</si>
  <si>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</si>
  <si>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</si>
  <si>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</si>
  <si>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</si>
  <si>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</si>
  <si>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</si>
  <si>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</si>
  <si>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</si>
  <si>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</si>
  <si>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</si>
  <si>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</si>
  <si>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</si>
  <si>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</si>
  <si>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</si>
  <si>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</si>
  <si>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</si>
  <si>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</si>
  <si>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</si>
  <si>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</si>
  <si>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</si>
  <si>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</si>
  <si>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</si>
  <si>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</si>
  <si>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</si>
  <si>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</si>
  <si>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</si>
  <si>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</si>
  <si>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</si>
  <si>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</si>
  <si>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</si>
  <si>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</si>
  <si>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</si>
  <si>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</si>
  <si>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</si>
  <si>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</si>
  <si>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</si>
  <si>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</si>
  <si>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</si>
  <si>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</si>
  <si>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</si>
  <si>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</si>
  <si>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</si>
  <si>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</si>
  <si>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</si>
  <si>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</si>
  <si>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</si>
  <si>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</si>
  <si>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</si>
  <si>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</si>
  <si>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</si>
  <si>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</si>
  <si>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</si>
  <si>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</si>
  <si>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</si>
  <si>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</si>
  <si>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</si>
  <si>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</si>
  <si>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</si>
  <si>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</si>
  <si>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</si>
  <si>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</si>
  <si>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</si>
  <si>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</si>
  <si>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</si>
  <si>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</si>
  <si>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</si>
  <si>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</si>
  <si>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</si>
  <si>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</si>
  <si>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</si>
  <si>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</si>
  <si>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</si>
  <si>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</si>
  <si>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</si>
  <si>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</si>
  <si>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</si>
  <si>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</si>
  <si>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</si>
  <si>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</si>
  <si>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</si>
  <si>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</si>
  <si>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</si>
  <si>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</si>
  <si>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</si>
  <si>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</si>
  <si>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</si>
  <si>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</si>
  <si>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</si>
  <si>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</si>
  <si>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</si>
  <si>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</si>
  <si>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</si>
  <si>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</si>
  <si>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</si>
  <si>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</si>
  <si>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</si>
  <si>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</si>
  <si>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</si>
  <si>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</si>
  <si>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</si>
  <si>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</si>
  <si>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</si>
  <si>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</si>
  <si>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</si>
  <si>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</si>
  <si>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</si>
  <si>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</si>
  <si>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</si>
  <si>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</si>
  <si>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</si>
  <si>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</si>
  <si>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</si>
  <si>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</si>
  <si>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</si>
  <si>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</si>
  <si>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</si>
  <si>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</si>
  <si>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</si>
  <si>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</si>
  <si>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</si>
  <si>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</si>
  <si>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</si>
  <si>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</si>
  <si>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</si>
  <si>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</si>
  <si>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</si>
  <si>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</si>
  <si>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</si>
  <si>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</si>
  <si>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</si>
  <si>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</si>
  <si>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</si>
  <si>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</si>
  <si>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</si>
  <si>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</si>
  <si>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</si>
  <si>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</si>
  <si>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</si>
  <si>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</si>
  <si>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</si>
  <si>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</si>
  <si>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</si>
  <si>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</si>
  <si>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</si>
  <si>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</si>
  <si>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</si>
  <si>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</si>
  <si>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</si>
  <si>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</si>
  <si>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</si>
  <si>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</si>
  <si>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</si>
  <si>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</si>
  <si>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</si>
  <si>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</si>
  <si>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</si>
  <si>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</si>
  <si>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</si>
  <si>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</si>
  <si>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</si>
  <si>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</si>
  <si>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</si>
  <si>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</si>
  <si>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</si>
  <si>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</si>
  <si>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</si>
  <si>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</si>
  <si>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</si>
  <si>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</si>
  <si>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</si>
  <si>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</si>
  <si>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</si>
  <si>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</si>
  <si>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</si>
  <si>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</si>
  <si>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</si>
  <si>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</si>
  <si>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</si>
  <si>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</si>
  <si>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</si>
  <si>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</si>
  <si>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</si>
  <si>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</si>
  <si>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</si>
  <si>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</si>
  <si>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</si>
  <si>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</si>
  <si>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</si>
  <si>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</si>
  <si>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</si>
  <si>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</si>
  <si>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</si>
  <si>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</si>
  <si>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</si>
  <si>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</si>
  <si>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</si>
  <si>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</si>
  <si>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</si>
  <si>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</si>
  <si>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</si>
  <si>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</si>
  <si>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</si>
  <si>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</si>
  <si>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</si>
  <si>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</si>
  <si>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</si>
  <si>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</si>
  <si>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</si>
  <si>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</si>
  <si>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</si>
  <si>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 *A.- K. The total operating expenses amount above must agree with the total operating expenses amount on Report 150.     </t>
  </si>
  <si>
    <t xml:space="preserve">*A.- 0. The total operating expenses amount above must agree with the total operating expenses amount on Report 150.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</si>
</sst>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20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6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5837411</v>
      </c>
      <c r="D13" s="23">
        <v>4739454</v>
      </c>
      <c r="E13" s="23">
        <f t="shared" ref="E13:E22" si="0">D13-C13</f>
        <v>-1097957</v>
      </c>
      <c r="F13" s="24">
        <f t="shared" ref="F13:F22" si="1">IF(C13=0,0,E13/C13)</f>
        <v>-0.18808971991178966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15" x14ac:dyDescent="0.2">
      <c r="A15" s="21">
        <v>3</v>
      </c>
      <c r="B15" s="22" t="s">
        <v>18</v>
      </c>
      <c r="C15" s="23">
        <v>9664890</v>
      </c>
      <c r="D15" s="23">
        <v>10246785</v>
      </c>
      <c r="E15" s="23">
        <f t="shared" si="0"/>
        <v>581895</v>
      </c>
      <c r="F15" s="24">
        <f t="shared" si="1"/>
        <v>6.0207100132541602E-2</v>
      </c>
    </row>
    <row r="16" spans="1:8" ht="24" customHeight="1" x14ac:dyDescent="0.2">
      <c r="A16" s="21">
        <v>4</v>
      </c>
      <c r="B16" s="22" t="s">
        <v>19</v>
      </c>
      <c r="C16" s="23">
        <v>256662</v>
      </c>
      <c r="D16" s="23">
        <v>501284</v>
      </c>
      <c r="E16" s="23">
        <f t="shared" si="0"/>
        <v>244622</v>
      </c>
      <c r="F16" s="24">
        <f t="shared" si="1"/>
        <v>0.95309005618283971</v>
      </c>
    </row>
    <row r="17" spans="1:11" ht="24" customHeight="1" x14ac:dyDescent="0.2">
      <c r="A17" s="21">
        <v>5</v>
      </c>
      <c r="B17" s="22" t="s">
        <v>20</v>
      </c>
      <c r="C17" s="23">
        <v>15102760</v>
      </c>
      <c r="D17" s="23">
        <v>2196771</v>
      </c>
      <c r="E17" s="23">
        <f t="shared" si="0"/>
        <v>-12905989</v>
      </c>
      <c r="F17" s="24">
        <f t="shared" si="1"/>
        <v>-0.85454506328644564</v>
      </c>
    </row>
    <row r="18" spans="1:11" ht="24" customHeight="1" x14ac:dyDescent="0.2">
      <c r="A18" s="21">
        <v>6</v>
      </c>
      <c r="B18" s="22" t="s">
        <v>21</v>
      </c>
      <c r="C18" s="23">
        <v>361514</v>
      </c>
      <c r="D18" s="23">
        <v>0</v>
      </c>
      <c r="E18" s="23">
        <f t="shared" si="0"/>
        <v>-361514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1499178</v>
      </c>
      <c r="D19" s="23">
        <v>1576966</v>
      </c>
      <c r="E19" s="23">
        <f t="shared" si="0"/>
        <v>77788</v>
      </c>
      <c r="F19" s="24">
        <f t="shared" si="1"/>
        <v>5.1887100797903915E-2</v>
      </c>
    </row>
    <row r="20" spans="1:11" ht="24" customHeight="1" x14ac:dyDescent="0.2">
      <c r="A20" s="21">
        <v>8</v>
      </c>
      <c r="B20" s="22" t="s">
        <v>23</v>
      </c>
      <c r="C20" s="23">
        <v>229941</v>
      </c>
      <c r="D20" s="23">
        <v>270651</v>
      </c>
      <c r="E20" s="23">
        <f t="shared" si="0"/>
        <v>40710</v>
      </c>
      <c r="F20" s="24">
        <f t="shared" si="1"/>
        <v>0.17704541599801688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32952356</v>
      </c>
      <c r="D22" s="27">
        <f>SUM(D13:D21)</f>
        <v>19531911</v>
      </c>
      <c r="E22" s="27">
        <f t="shared" si="0"/>
        <v>-13420445</v>
      </c>
      <c r="F22" s="28">
        <f t="shared" si="1"/>
        <v>-0.40726814798917566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932060</v>
      </c>
      <c r="D25" s="23">
        <v>1890524</v>
      </c>
      <c r="E25" s="23">
        <f>D25-C25</f>
        <v>958464</v>
      </c>
      <c r="F25" s="24">
        <f>IF(C25=0,0,E25/C25)</f>
        <v>1.0283286483702765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18679910</v>
      </c>
      <c r="D28" s="23">
        <v>18741615</v>
      </c>
      <c r="E28" s="23">
        <f>D28-C28</f>
        <v>61705</v>
      </c>
      <c r="F28" s="24">
        <f>IF(C28=0,0,E28/C28)</f>
        <v>3.3032814397928041E-3</v>
      </c>
    </row>
    <row r="29" spans="1:11" ht="24" customHeight="1" x14ac:dyDescent="0.25">
      <c r="A29" s="25"/>
      <c r="B29" s="26" t="s">
        <v>32</v>
      </c>
      <c r="C29" s="27">
        <f>SUM(C25:C28)</f>
        <v>19611970</v>
      </c>
      <c r="D29" s="27">
        <f>SUM(D25:D28)</f>
        <v>20632139</v>
      </c>
      <c r="E29" s="27">
        <f>D29-C29</f>
        <v>1020169</v>
      </c>
      <c r="F29" s="28">
        <f>IF(C29=0,0,E29/C29)</f>
        <v>5.2017670840818132E-2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2673866</v>
      </c>
      <c r="D31" s="23">
        <v>2629614</v>
      </c>
      <c r="E31" s="23">
        <f>D31-C31</f>
        <v>-44252</v>
      </c>
      <c r="F31" s="24">
        <f>IF(C31=0,0,E31/C31)</f>
        <v>-1.6549819624468842E-2</v>
      </c>
    </row>
    <row r="32" spans="1:11" ht="24" customHeight="1" x14ac:dyDescent="0.2">
      <c r="A32" s="21">
        <v>6</v>
      </c>
      <c r="B32" s="22" t="s">
        <v>34</v>
      </c>
      <c r="C32" s="23">
        <v>2854826</v>
      </c>
      <c r="D32" s="23">
        <v>2858713</v>
      </c>
      <c r="E32" s="23">
        <f>D32-C32</f>
        <v>3887</v>
      </c>
      <c r="F32" s="24">
        <f>IF(C32=0,0,E32/C32)</f>
        <v>1.3615540842068833E-3</v>
      </c>
    </row>
    <row r="33" spans="1:8" ht="24" customHeight="1" x14ac:dyDescent="0.2">
      <c r="A33" s="21">
        <v>7</v>
      </c>
      <c r="B33" s="22" t="s">
        <v>35</v>
      </c>
      <c r="C33" s="23">
        <v>3591941</v>
      </c>
      <c r="D33" s="23">
        <v>5589302</v>
      </c>
      <c r="E33" s="23">
        <f>D33-C33</f>
        <v>1997361</v>
      </c>
      <c r="F33" s="24">
        <f>IF(C33=0,0,E33/C33)</f>
        <v>0.55606731847766988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87786229</v>
      </c>
      <c r="D36" s="23">
        <v>90221247</v>
      </c>
      <c r="E36" s="23">
        <f>D36-C36</f>
        <v>2435018</v>
      </c>
      <c r="F36" s="24">
        <f>IF(C36=0,0,E36/C36)</f>
        <v>2.7738040780860972E-2</v>
      </c>
    </row>
    <row r="37" spans="1:8" ht="24" customHeight="1" x14ac:dyDescent="0.2">
      <c r="A37" s="21">
        <v>2</v>
      </c>
      <c r="B37" s="22" t="s">
        <v>39</v>
      </c>
      <c r="C37" s="23">
        <v>55094113</v>
      </c>
      <c r="D37" s="23">
        <v>59437084</v>
      </c>
      <c r="E37" s="23">
        <f>D37-C37</f>
        <v>4342971</v>
      </c>
      <c r="F37" s="24">
        <f>IF(C37=0,0,E37/C37)</f>
        <v>7.8828222536226331E-2</v>
      </c>
    </row>
    <row r="38" spans="1:8" ht="24" customHeight="1" x14ac:dyDescent="0.25">
      <c r="A38" s="25"/>
      <c r="B38" s="26" t="s">
        <v>40</v>
      </c>
      <c r="C38" s="27">
        <f>C36-C37</f>
        <v>32692116</v>
      </c>
      <c r="D38" s="27">
        <f>D36-D37</f>
        <v>30784163</v>
      </c>
      <c r="E38" s="27">
        <f>D38-C38</f>
        <v>-1907953</v>
      </c>
      <c r="F38" s="28">
        <f>IF(C38=0,0,E38/C38)</f>
        <v>-5.8361257497067491E-2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111603</v>
      </c>
      <c r="D40" s="23">
        <v>367691</v>
      </c>
      <c r="E40" s="23">
        <f>D40-C40</f>
        <v>256088</v>
      </c>
      <c r="F40" s="24">
        <f>IF(C40=0,0,E40/C40)</f>
        <v>2.2946336568013406</v>
      </c>
    </row>
    <row r="41" spans="1:8" ht="24" customHeight="1" x14ac:dyDescent="0.25">
      <c r="A41" s="25"/>
      <c r="B41" s="26" t="s">
        <v>42</v>
      </c>
      <c r="C41" s="27">
        <f>+C38+C40</f>
        <v>32803719</v>
      </c>
      <c r="D41" s="27">
        <f>+D38+D40</f>
        <v>31151854</v>
      </c>
      <c r="E41" s="27">
        <f>D41-C41</f>
        <v>-1651865</v>
      </c>
      <c r="F41" s="28">
        <f>IF(C41=0,0,E41/C41)</f>
        <v>-5.035602822960409E-2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94488678</v>
      </c>
      <c r="D43" s="27">
        <f>D22+D29+D31+D32+D33+D41</f>
        <v>82393533</v>
      </c>
      <c r="E43" s="27">
        <f>D43-C43</f>
        <v>-12095145</v>
      </c>
      <c r="F43" s="28">
        <f>IF(C43=0,0,E43/C43)</f>
        <v>-0.12800628875345255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5818288</v>
      </c>
      <c r="D49" s="23">
        <v>4351221</v>
      </c>
      <c r="E49" s="23">
        <f t="shared" ref="E49:E56" si="2">D49-C49</f>
        <v>-1467067</v>
      </c>
      <c r="F49" s="24">
        <f t="shared" ref="F49:F56" si="3">IF(C49=0,0,E49/C49)</f>
        <v>-0.25214753893241448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819406</v>
      </c>
      <c r="D50" s="23">
        <v>547347</v>
      </c>
      <c r="E50" s="23">
        <f t="shared" si="2"/>
        <v>-272059</v>
      </c>
      <c r="F50" s="24">
        <f t="shared" si="3"/>
        <v>-0.33201978018222955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142494</v>
      </c>
      <c r="D51" s="23">
        <v>684512</v>
      </c>
      <c r="E51" s="23">
        <f t="shared" si="2"/>
        <v>542018</v>
      </c>
      <c r="F51" s="24">
        <f t="shared" si="3"/>
        <v>3.8037952475191936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8798644</v>
      </c>
      <c r="D52" s="23">
        <v>2717350</v>
      </c>
      <c r="E52" s="23">
        <f t="shared" si="2"/>
        <v>-6081294</v>
      </c>
      <c r="F52" s="24">
        <f t="shared" si="3"/>
        <v>-0.69116263824289292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738727</v>
      </c>
      <c r="D53" s="23">
        <v>607963</v>
      </c>
      <c r="E53" s="23">
        <f t="shared" si="2"/>
        <v>-130764</v>
      </c>
      <c r="F53" s="24">
        <f t="shared" si="3"/>
        <v>-0.17701261765171708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615600</v>
      </c>
      <c r="D54" s="23">
        <v>639350</v>
      </c>
      <c r="E54" s="23">
        <f t="shared" si="2"/>
        <v>23750</v>
      </c>
      <c r="F54" s="24">
        <f t="shared" si="3"/>
        <v>3.8580246913580245E-2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2071603</v>
      </c>
      <c r="D55" s="23">
        <v>3891414</v>
      </c>
      <c r="E55" s="23">
        <f t="shared" si="2"/>
        <v>1819811</v>
      </c>
      <c r="F55" s="24">
        <f t="shared" si="3"/>
        <v>0.87845547626644682</v>
      </c>
    </row>
    <row r="56" spans="1:6" ht="24" customHeight="1" x14ac:dyDescent="0.25">
      <c r="A56" s="25"/>
      <c r="B56" s="26" t="s">
        <v>54</v>
      </c>
      <c r="C56" s="27">
        <f>SUM(C49:C55)</f>
        <v>19004762</v>
      </c>
      <c r="D56" s="27">
        <f>SUM(D49:D55)</f>
        <v>13439157</v>
      </c>
      <c r="E56" s="27">
        <f t="shared" si="2"/>
        <v>-5565605</v>
      </c>
      <c r="F56" s="28">
        <f t="shared" si="3"/>
        <v>-0.29285318069229177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23160864</v>
      </c>
      <c r="D59" s="23">
        <v>25135766</v>
      </c>
      <c r="E59" s="23">
        <f>D59-C59</f>
        <v>1974902</v>
      </c>
      <c r="F59" s="24">
        <f>IF(C59=0,0,E59/C59)</f>
        <v>8.526892606424355E-2</v>
      </c>
    </row>
    <row r="60" spans="1:6" ht="24" customHeight="1" x14ac:dyDescent="0.2">
      <c r="A60" s="21">
        <v>2</v>
      </c>
      <c r="B60" s="22" t="s">
        <v>57</v>
      </c>
      <c r="C60" s="23">
        <v>735817</v>
      </c>
      <c r="D60" s="23">
        <v>724547</v>
      </c>
      <c r="E60" s="23">
        <f>D60-C60</f>
        <v>-11270</v>
      </c>
      <c r="F60" s="24">
        <f>IF(C60=0,0,E60/C60)</f>
        <v>-1.5316308266865267E-2</v>
      </c>
    </row>
    <row r="61" spans="1:6" ht="24" customHeight="1" x14ac:dyDescent="0.25">
      <c r="A61" s="25"/>
      <c r="B61" s="26" t="s">
        <v>58</v>
      </c>
      <c r="C61" s="27">
        <f>SUM(C59:C60)</f>
        <v>23896681</v>
      </c>
      <c r="D61" s="27">
        <f>SUM(D59:D60)</f>
        <v>25860313</v>
      </c>
      <c r="E61" s="27">
        <f>D61-C61</f>
        <v>1963632</v>
      </c>
      <c r="F61" s="28">
        <f>IF(C61=0,0,E61/C61)</f>
        <v>8.2171745942459545E-2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12225592</v>
      </c>
      <c r="D63" s="23">
        <v>13402108</v>
      </c>
      <c r="E63" s="23">
        <f>D63-C63</f>
        <v>1176516</v>
      </c>
      <c r="F63" s="24">
        <f>IF(C63=0,0,E63/C63)</f>
        <v>9.623386744789128E-2</v>
      </c>
    </row>
    <row r="64" spans="1:6" ht="24" customHeight="1" x14ac:dyDescent="0.2">
      <c r="A64" s="21">
        <v>4</v>
      </c>
      <c r="B64" s="22" t="s">
        <v>60</v>
      </c>
      <c r="C64" s="23">
        <v>697012</v>
      </c>
      <c r="D64" s="23">
        <v>674591</v>
      </c>
      <c r="E64" s="23">
        <f>D64-C64</f>
        <v>-22421</v>
      </c>
      <c r="F64" s="24">
        <f>IF(C64=0,0,E64/C64)</f>
        <v>-3.2167308453799934E-2</v>
      </c>
    </row>
    <row r="65" spans="1:6" ht="24" customHeight="1" x14ac:dyDescent="0.25">
      <c r="A65" s="25"/>
      <c r="B65" s="26" t="s">
        <v>61</v>
      </c>
      <c r="C65" s="27">
        <f>SUM(C61:C64)</f>
        <v>36819285</v>
      </c>
      <c r="D65" s="27">
        <f>SUM(D61:D64)</f>
        <v>39937012</v>
      </c>
      <c r="E65" s="27">
        <f>D65-C65</f>
        <v>3117727</v>
      </c>
      <c r="F65" s="28">
        <f>IF(C65=0,0,E65/C65)</f>
        <v>8.4676467780403664E-2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33744284</v>
      </c>
      <c r="D70" s="23">
        <v>24688727</v>
      </c>
      <c r="E70" s="23">
        <f>D70-C70</f>
        <v>-9055557</v>
      </c>
      <c r="F70" s="24">
        <f>IF(C70=0,0,E70/C70)</f>
        <v>-0.26835824994834678</v>
      </c>
    </row>
    <row r="71" spans="1:6" ht="24" customHeight="1" x14ac:dyDescent="0.2">
      <c r="A71" s="21">
        <v>2</v>
      </c>
      <c r="B71" s="22" t="s">
        <v>65</v>
      </c>
      <c r="C71" s="23">
        <v>1433133</v>
      </c>
      <c r="D71" s="23">
        <v>912532</v>
      </c>
      <c r="E71" s="23">
        <f>D71-C71</f>
        <v>-520601</v>
      </c>
      <c r="F71" s="24">
        <f>IF(C71=0,0,E71/C71)</f>
        <v>-0.36326077202883472</v>
      </c>
    </row>
    <row r="72" spans="1:6" ht="24" customHeight="1" x14ac:dyDescent="0.2">
      <c r="A72" s="21">
        <v>3</v>
      </c>
      <c r="B72" s="22" t="s">
        <v>66</v>
      </c>
      <c r="C72" s="23">
        <v>3487214</v>
      </c>
      <c r="D72" s="23">
        <v>3416105</v>
      </c>
      <c r="E72" s="23">
        <f>D72-C72</f>
        <v>-71109</v>
      </c>
      <c r="F72" s="24">
        <f>IF(C72=0,0,E72/C72)</f>
        <v>-2.0391349656201197E-2</v>
      </c>
    </row>
    <row r="73" spans="1:6" ht="24" customHeight="1" x14ac:dyDescent="0.25">
      <c r="A73" s="21"/>
      <c r="B73" s="26" t="s">
        <v>67</v>
      </c>
      <c r="C73" s="27">
        <f>SUM(C70:C72)</f>
        <v>38664631</v>
      </c>
      <c r="D73" s="27">
        <f>SUM(D70:D72)</f>
        <v>29017364</v>
      </c>
      <c r="E73" s="27">
        <f>D73-C73</f>
        <v>-9647267</v>
      </c>
      <c r="F73" s="28">
        <f>IF(C73=0,0,E73/C73)</f>
        <v>-0.2495114203986584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94488678</v>
      </c>
      <c r="D75" s="27">
        <f>D56+D65+D67+D73</f>
        <v>82393533</v>
      </c>
      <c r="E75" s="27">
        <f>D75-C75</f>
        <v>-12095145</v>
      </c>
      <c r="F75" s="28">
        <f>IF(C75=0,0,E75/C75)</f>
        <v>-0.12800628875345255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6" t="s">
        <v>477</v>
      </c>
      <c r="B1" s="697"/>
      <c r="C1" s="697"/>
      <c r="D1" s="697"/>
      <c r="E1" s="698"/>
    </row>
    <row r="2" spans="1:6" ht="24" customHeight="1" x14ac:dyDescent="0.25">
      <c r="A2" s="696" t="s">
        <v>1</v>
      </c>
      <c r="B2" s="697"/>
      <c r="C2" s="697"/>
      <c r="D2" s="697"/>
      <c r="E2" s="698"/>
    </row>
    <row r="3" spans="1:6" ht="24" customHeight="1" x14ac:dyDescent="0.25">
      <c r="A3" s="696" t="s">
        <v>2</v>
      </c>
      <c r="B3" s="697"/>
      <c r="C3" s="697"/>
      <c r="D3" s="697"/>
      <c r="E3" s="698"/>
    </row>
    <row r="4" spans="1:6" ht="24" customHeight="1" x14ac:dyDescent="0.25">
      <c r="A4" s="696" t="s">
        <v>480</v>
      </c>
      <c r="B4" s="697"/>
      <c r="C4" s="697"/>
      <c r="D4" s="697"/>
      <c r="E4" s="698"/>
    </row>
    <row r="5" spans="1:6" ht="24" customHeight="1" x14ac:dyDescent="0.25">
      <c r="A5" s="696"/>
      <c r="B5" s="697"/>
      <c r="C5" s="697"/>
      <c r="D5" s="697"/>
      <c r="E5" s="698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305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481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482</v>
      </c>
      <c r="C11" s="51">
        <v>261403024</v>
      </c>
      <c r="D11" s="51">
        <v>262817891</v>
      </c>
      <c r="E11" s="51">
        <v>261348876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16912648</v>
      </c>
      <c r="D12" s="49">
        <v>17826849</v>
      </c>
      <c r="E12" s="49">
        <v>19641309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278315672</v>
      </c>
      <c r="D13" s="51">
        <f>+D11+D12</f>
        <v>280644740</v>
      </c>
      <c r="E13" s="51">
        <f>+E11+E12</f>
        <v>280990185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271196171</v>
      </c>
      <c r="D14" s="49">
        <v>274106412</v>
      </c>
      <c r="E14" s="49">
        <v>280947508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7119501</v>
      </c>
      <c r="D15" s="51">
        <f>+D13-D14</f>
        <v>6538328</v>
      </c>
      <c r="E15" s="51">
        <f>+E13-E14</f>
        <v>42677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-3903448</v>
      </c>
      <c r="D16" s="49">
        <v>-1785503</v>
      </c>
      <c r="E16" s="49">
        <v>-1341596</v>
      </c>
      <c r="F16" s="70"/>
    </row>
    <row r="17" spans="1:14" s="56" customFormat="1" ht="24" customHeight="1" x14ac:dyDescent="0.2">
      <c r="A17" s="44">
        <v>7</v>
      </c>
      <c r="B17" s="45" t="s">
        <v>308</v>
      </c>
      <c r="C17" s="51">
        <f>C15+C16</f>
        <v>3216053</v>
      </c>
      <c r="D17" s="51">
        <f>D15+D16</f>
        <v>4752825</v>
      </c>
      <c r="E17" s="51">
        <f>E15+E16</f>
        <v>-1298919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483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484</v>
      </c>
      <c r="C20" s="169">
        <f>IF(+C27=0,0,+C24/+C27)</f>
        <v>2.5944547572341384E-2</v>
      </c>
      <c r="D20" s="169">
        <f>IF(+D27=0,0,+D24/+D27)</f>
        <v>2.3446696872372205E-2</v>
      </c>
      <c r="E20" s="169">
        <f>IF(+E27=0,0,+E24/+E27)</f>
        <v>1.5260938792006565E-4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485</v>
      </c>
      <c r="C21" s="169">
        <f>IF(+C27=0,0,+C26/+C27)</f>
        <v>-1.4224759899908831E-2</v>
      </c>
      <c r="D21" s="169">
        <f>IF(+D27=0,0,+D26/+D27)</f>
        <v>-6.4028827562201216E-3</v>
      </c>
      <c r="E21" s="169">
        <f>IF(+E27=0,0,+E26/+E27)</f>
        <v>-4.7974352554305214E-3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486</v>
      </c>
      <c r="C22" s="169">
        <f>IF(+C27=0,0,+C28/+C27)</f>
        <v>1.1719787672432551E-2</v>
      </c>
      <c r="D22" s="169">
        <f>IF(+D27=0,0,+D28/+D27)</f>
        <v>1.7043814116152085E-2</v>
      </c>
      <c r="E22" s="169">
        <f>IF(+E27=0,0,+E28/+E27)</f>
        <v>-4.6448258675104558E-3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7119501</v>
      </c>
      <c r="D24" s="51">
        <f>+D15</f>
        <v>6538328</v>
      </c>
      <c r="E24" s="51">
        <f>+E15</f>
        <v>42677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278315672</v>
      </c>
      <c r="D25" s="51">
        <f>+D13</f>
        <v>280644740</v>
      </c>
      <c r="E25" s="51">
        <f>+E13</f>
        <v>280990185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-3903448</v>
      </c>
      <c r="D26" s="51">
        <f>+D16</f>
        <v>-1785503</v>
      </c>
      <c r="E26" s="51">
        <f>+E16</f>
        <v>-1341596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313</v>
      </c>
      <c r="C27" s="51">
        <f>SUM(C25:C26)</f>
        <v>274412224</v>
      </c>
      <c r="D27" s="51">
        <f>SUM(D25:D26)</f>
        <v>278859237</v>
      </c>
      <c r="E27" s="51">
        <f>SUM(E25:E26)</f>
        <v>279648589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308</v>
      </c>
      <c r="C28" s="51">
        <f>+C17</f>
        <v>3216053</v>
      </c>
      <c r="D28" s="51">
        <f>+D17</f>
        <v>4752825</v>
      </c>
      <c r="E28" s="51">
        <f>+E17</f>
        <v>-1298919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487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488</v>
      </c>
      <c r="C31" s="51">
        <v>59586141</v>
      </c>
      <c r="D31" s="51">
        <v>54654325</v>
      </c>
      <c r="E31" s="52">
        <v>41815956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489</v>
      </c>
      <c r="C32" s="51">
        <v>75433676</v>
      </c>
      <c r="D32" s="51">
        <v>71476482</v>
      </c>
      <c r="E32" s="51">
        <v>55161657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490</v>
      </c>
      <c r="C33" s="51">
        <v>-20064906</v>
      </c>
      <c r="D33" s="51">
        <f>+D32-C32</f>
        <v>-3957194</v>
      </c>
      <c r="E33" s="51">
        <f>+E32-D32</f>
        <v>-16314825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491</v>
      </c>
      <c r="C34" s="171">
        <v>0.78979999999999995</v>
      </c>
      <c r="D34" s="171">
        <f>IF(C32=0,0,+D33/C32)</f>
        <v>-5.2459249102483084E-2</v>
      </c>
      <c r="E34" s="171">
        <f>IF(D32=0,0,+E33/D32)</f>
        <v>-0.22825444878498638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319</v>
      </c>
      <c r="B36" s="16" t="s">
        <v>341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342</v>
      </c>
      <c r="C38" s="269">
        <f>IF(+C40=0,0,+C39/+C40)</f>
        <v>1.7972788705105314</v>
      </c>
      <c r="D38" s="269">
        <f>IF(+D40=0,0,+D39/+D40)</f>
        <v>1.3887115137181509</v>
      </c>
      <c r="E38" s="269">
        <f>IF(+E40=0,0,+E39/+E40)</f>
        <v>1.2552876757622056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78264897</v>
      </c>
      <c r="D39" s="270">
        <v>69908525</v>
      </c>
      <c r="E39" s="270">
        <v>71146925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43546329</v>
      </c>
      <c r="D40" s="270">
        <v>50340567</v>
      </c>
      <c r="E40" s="270">
        <v>56677785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343</v>
      </c>
      <c r="C42" s="271">
        <f>IF((C48/365)=0,0,+C45/(C48/365))</f>
        <v>39.467092910633177</v>
      </c>
      <c r="D42" s="271">
        <f>IF((D48/365)=0,0,+D45/(D48/365))</f>
        <v>27.266321899246435</v>
      </c>
      <c r="E42" s="271">
        <f>IF((E48/365)=0,0,+E45/(E48/365))</f>
        <v>28.477312220814834</v>
      </c>
    </row>
    <row r="43" spans="1:14" ht="24" customHeight="1" x14ac:dyDescent="0.2">
      <c r="A43" s="17">
        <v>5</v>
      </c>
      <c r="B43" s="188" t="s">
        <v>16</v>
      </c>
      <c r="C43" s="272">
        <v>28001547</v>
      </c>
      <c r="D43" s="272">
        <v>19538406</v>
      </c>
      <c r="E43" s="272">
        <v>20991180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344</v>
      </c>
      <c r="C45" s="270">
        <f>+C43+C44</f>
        <v>28001547</v>
      </c>
      <c r="D45" s="270">
        <f>+D43+D44</f>
        <v>19538406</v>
      </c>
      <c r="E45" s="270">
        <f>+E43+E44</f>
        <v>20991180</v>
      </c>
    </row>
    <row r="46" spans="1:14" ht="24" customHeight="1" x14ac:dyDescent="0.2">
      <c r="A46" s="17">
        <v>8</v>
      </c>
      <c r="B46" s="45" t="s">
        <v>322</v>
      </c>
      <c r="C46" s="270">
        <f>+C14</f>
        <v>271196171</v>
      </c>
      <c r="D46" s="270">
        <f>+D14</f>
        <v>274106412</v>
      </c>
      <c r="E46" s="270">
        <f>+E14</f>
        <v>280947508</v>
      </c>
    </row>
    <row r="47" spans="1:14" ht="24" customHeight="1" x14ac:dyDescent="0.2">
      <c r="A47" s="17">
        <v>9</v>
      </c>
      <c r="B47" s="45" t="s">
        <v>345</v>
      </c>
      <c r="C47" s="270">
        <v>12231958</v>
      </c>
      <c r="D47" s="270">
        <v>12555983</v>
      </c>
      <c r="E47" s="270">
        <v>11898918</v>
      </c>
    </row>
    <row r="48" spans="1:14" ht="24" customHeight="1" x14ac:dyDescent="0.2">
      <c r="A48" s="17">
        <v>10</v>
      </c>
      <c r="B48" s="45" t="s">
        <v>346</v>
      </c>
      <c r="C48" s="270">
        <f>+C46-C47</f>
        <v>258964213</v>
      </c>
      <c r="D48" s="270">
        <f>+D46-D47</f>
        <v>261550429</v>
      </c>
      <c r="E48" s="270">
        <f>+E46-E47</f>
        <v>269048590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347</v>
      </c>
      <c r="C50" s="278">
        <f>IF((C55/365)=0,0,+C54/(C55/365))</f>
        <v>54.283284898035454</v>
      </c>
      <c r="D50" s="278">
        <f>IF((D55/365)=0,0,+D54/(D55/365))</f>
        <v>55.147395654278348</v>
      </c>
      <c r="E50" s="278">
        <f>IF((E55/365)=0,0,+E54/(E55/365))</f>
        <v>53.031335746016367</v>
      </c>
    </row>
    <row r="51" spans="1:5" ht="24" customHeight="1" x14ac:dyDescent="0.2">
      <c r="A51" s="17">
        <v>12</v>
      </c>
      <c r="B51" s="188" t="s">
        <v>348</v>
      </c>
      <c r="C51" s="279">
        <v>38270688</v>
      </c>
      <c r="D51" s="279">
        <v>39411447</v>
      </c>
      <c r="E51" s="279">
        <v>39643428</v>
      </c>
    </row>
    <row r="52" spans="1:5" ht="24" customHeight="1" x14ac:dyDescent="0.2">
      <c r="A52" s="17">
        <v>13</v>
      </c>
      <c r="B52" s="188" t="s">
        <v>21</v>
      </c>
      <c r="C52" s="270">
        <v>1491255</v>
      </c>
      <c r="D52" s="270">
        <v>721274</v>
      </c>
      <c r="E52" s="270">
        <v>432832</v>
      </c>
    </row>
    <row r="53" spans="1:5" ht="24" customHeight="1" x14ac:dyDescent="0.2">
      <c r="A53" s="17">
        <v>14</v>
      </c>
      <c r="B53" s="188" t="s">
        <v>49</v>
      </c>
      <c r="C53" s="270">
        <v>885738</v>
      </c>
      <c r="D53" s="270">
        <v>423893</v>
      </c>
      <c r="E53" s="270">
        <v>2104534</v>
      </c>
    </row>
    <row r="54" spans="1:5" ht="32.25" customHeight="1" x14ac:dyDescent="0.2">
      <c r="A54" s="17">
        <v>15</v>
      </c>
      <c r="B54" s="45" t="s">
        <v>349</v>
      </c>
      <c r="C54" s="280">
        <f>+C51+C52-C53</f>
        <v>38876205</v>
      </c>
      <c r="D54" s="280">
        <f>+D51+D52-D53</f>
        <v>39708828</v>
      </c>
      <c r="E54" s="280">
        <f>+E51+E52-E53</f>
        <v>37971726</v>
      </c>
    </row>
    <row r="55" spans="1:5" ht="24" customHeight="1" x14ac:dyDescent="0.2">
      <c r="A55" s="17">
        <v>16</v>
      </c>
      <c r="B55" s="45" t="s">
        <v>75</v>
      </c>
      <c r="C55" s="270">
        <f>+C11</f>
        <v>261403024</v>
      </c>
      <c r="D55" s="270">
        <f>+D11</f>
        <v>262817891</v>
      </c>
      <c r="E55" s="270">
        <f>+E11</f>
        <v>261348876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350</v>
      </c>
      <c r="C57" s="283">
        <f>IF((C61/365)=0,0,+C58/(C61/365))</f>
        <v>61.376859377090845</v>
      </c>
      <c r="D57" s="283">
        <f>IF((D61/365)=0,0,+D58/(D61/365))</f>
        <v>70.25148849975696</v>
      </c>
      <c r="E57" s="283">
        <f>IF((E61/365)=0,0,+E58/(E61/365))</f>
        <v>76.890912251203403</v>
      </c>
    </row>
    <row r="58" spans="1:5" ht="24" customHeight="1" x14ac:dyDescent="0.2">
      <c r="A58" s="17">
        <v>18</v>
      </c>
      <c r="B58" s="45" t="s">
        <v>54</v>
      </c>
      <c r="C58" s="281">
        <f>+C40</f>
        <v>43546329</v>
      </c>
      <c r="D58" s="281">
        <f>+D40</f>
        <v>50340567</v>
      </c>
      <c r="E58" s="281">
        <f>+E40</f>
        <v>56677785</v>
      </c>
    </row>
    <row r="59" spans="1:5" ht="24" customHeight="1" x14ac:dyDescent="0.2">
      <c r="A59" s="17">
        <v>19</v>
      </c>
      <c r="B59" s="45" t="s">
        <v>322</v>
      </c>
      <c r="C59" s="281">
        <f t="shared" ref="C59:E60" si="0">+C46</f>
        <v>271196171</v>
      </c>
      <c r="D59" s="281">
        <f t="shared" si="0"/>
        <v>274106412</v>
      </c>
      <c r="E59" s="281">
        <f t="shared" si="0"/>
        <v>280947508</v>
      </c>
    </row>
    <row r="60" spans="1:5" ht="24" customHeight="1" x14ac:dyDescent="0.2">
      <c r="A60" s="17">
        <v>20</v>
      </c>
      <c r="B60" s="45" t="s">
        <v>345</v>
      </c>
      <c r="C60" s="176">
        <f t="shared" si="0"/>
        <v>12231958</v>
      </c>
      <c r="D60" s="176">
        <f t="shared" si="0"/>
        <v>12555983</v>
      </c>
      <c r="E60" s="176">
        <f t="shared" si="0"/>
        <v>11898918</v>
      </c>
    </row>
    <row r="61" spans="1:5" ht="24" customHeight="1" x14ac:dyDescent="0.2">
      <c r="A61" s="17">
        <v>21</v>
      </c>
      <c r="B61" s="45" t="s">
        <v>351</v>
      </c>
      <c r="C61" s="281">
        <f>+C59-C60</f>
        <v>258964213</v>
      </c>
      <c r="D61" s="281">
        <f>+D59-D60</f>
        <v>261550429</v>
      </c>
      <c r="E61" s="281">
        <f>+E59-E60</f>
        <v>269048590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340</v>
      </c>
      <c r="B63" s="16" t="s">
        <v>353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354</v>
      </c>
      <c r="C65" s="284">
        <f>IF(C67=0,0,(C66/C67)*100)</f>
        <v>28.831892679126973</v>
      </c>
      <c r="D65" s="284">
        <f>IF(D67=0,0,(D66/D67)*100)</f>
        <v>27.142618567265377</v>
      </c>
      <c r="E65" s="284">
        <f>IF(E67=0,0,(E66/E67)*100)</f>
        <v>21.030814139247386</v>
      </c>
    </row>
    <row r="66" spans="1:5" ht="24" customHeight="1" x14ac:dyDescent="0.2">
      <c r="A66" s="17">
        <v>2</v>
      </c>
      <c r="B66" s="45" t="s">
        <v>67</v>
      </c>
      <c r="C66" s="281">
        <f>+C32</f>
        <v>75433676</v>
      </c>
      <c r="D66" s="281">
        <f>+D32</f>
        <v>71476482</v>
      </c>
      <c r="E66" s="281">
        <f>+E32</f>
        <v>55161657</v>
      </c>
    </row>
    <row r="67" spans="1:5" ht="24" customHeight="1" x14ac:dyDescent="0.2">
      <c r="A67" s="17">
        <v>3</v>
      </c>
      <c r="B67" s="45" t="s">
        <v>43</v>
      </c>
      <c r="C67" s="281">
        <v>261632758</v>
      </c>
      <c r="D67" s="281">
        <v>263336722</v>
      </c>
      <c r="E67" s="281">
        <v>262289689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355</v>
      </c>
      <c r="C69" s="284">
        <f>IF(C75=0,0,(C72/C75)*100)</f>
        <v>11.989431643291379</v>
      </c>
      <c r="D69" s="284">
        <f>IF(D75=0,0,(D72/D75)*100)</f>
        <v>13.105421203286358</v>
      </c>
      <c r="E69" s="284">
        <f>IF(E75=0,0,(E72/E75)*100)</f>
        <v>7.3963999764152506</v>
      </c>
    </row>
    <row r="70" spans="1:5" ht="24" customHeight="1" x14ac:dyDescent="0.2">
      <c r="A70" s="17">
        <v>5</v>
      </c>
      <c r="B70" s="45" t="s">
        <v>356</v>
      </c>
      <c r="C70" s="281">
        <f>+C28</f>
        <v>3216053</v>
      </c>
      <c r="D70" s="281">
        <f>+D28</f>
        <v>4752825</v>
      </c>
      <c r="E70" s="281">
        <f>+E28</f>
        <v>-1298919</v>
      </c>
    </row>
    <row r="71" spans="1:5" ht="24" customHeight="1" x14ac:dyDescent="0.2">
      <c r="A71" s="17">
        <v>6</v>
      </c>
      <c r="B71" s="45" t="s">
        <v>345</v>
      </c>
      <c r="C71" s="176">
        <f>+C47</f>
        <v>12231958</v>
      </c>
      <c r="D71" s="176">
        <f>+D47</f>
        <v>12555983</v>
      </c>
      <c r="E71" s="176">
        <f>+E47</f>
        <v>11898918</v>
      </c>
    </row>
    <row r="72" spans="1:5" ht="24" customHeight="1" x14ac:dyDescent="0.2">
      <c r="A72" s="17">
        <v>7</v>
      </c>
      <c r="B72" s="45" t="s">
        <v>357</v>
      </c>
      <c r="C72" s="281">
        <f>+C70+C71</f>
        <v>15448011</v>
      </c>
      <c r="D72" s="281">
        <f>+D70+D71</f>
        <v>17308808</v>
      </c>
      <c r="E72" s="281">
        <f>+E70+E71</f>
        <v>10599999</v>
      </c>
    </row>
    <row r="73" spans="1:5" ht="24" customHeight="1" x14ac:dyDescent="0.2">
      <c r="A73" s="17">
        <v>8</v>
      </c>
      <c r="B73" s="45" t="s">
        <v>54</v>
      </c>
      <c r="C73" s="270">
        <f>+C40</f>
        <v>43546329</v>
      </c>
      <c r="D73" s="270">
        <f>+D40</f>
        <v>50340567</v>
      </c>
      <c r="E73" s="270">
        <f>+E40</f>
        <v>56677785</v>
      </c>
    </row>
    <row r="74" spans="1:5" ht="24" customHeight="1" x14ac:dyDescent="0.2">
      <c r="A74" s="17">
        <v>9</v>
      </c>
      <c r="B74" s="45" t="s">
        <v>58</v>
      </c>
      <c r="C74" s="281">
        <v>85300571</v>
      </c>
      <c r="D74" s="281">
        <v>81733082</v>
      </c>
      <c r="E74" s="281">
        <v>86635165</v>
      </c>
    </row>
    <row r="75" spans="1:5" ht="24" customHeight="1" x14ac:dyDescent="0.2">
      <c r="A75" s="17">
        <v>10</v>
      </c>
      <c r="B75" s="285" t="s">
        <v>358</v>
      </c>
      <c r="C75" s="270">
        <f>+C73+C74</f>
        <v>128846900</v>
      </c>
      <c r="D75" s="270">
        <f>+D73+D74</f>
        <v>132073649</v>
      </c>
      <c r="E75" s="270">
        <f>+E73+E74</f>
        <v>143312950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359</v>
      </c>
      <c r="C77" s="286">
        <f>IF(C80=0,0,(C78/C80)*100)</f>
        <v>53.069319446278307</v>
      </c>
      <c r="D77" s="286">
        <f>IF(D80=0,0,(D78/D80)*100)</f>
        <v>53.347245345597351</v>
      </c>
      <c r="E77" s="286">
        <f>IF(E80=0,0,(E78/E80)*100)</f>
        <v>61.098100633031116</v>
      </c>
    </row>
    <row r="78" spans="1:5" ht="24" customHeight="1" x14ac:dyDescent="0.2">
      <c r="A78" s="17">
        <v>12</v>
      </c>
      <c r="B78" s="45" t="s">
        <v>58</v>
      </c>
      <c r="C78" s="270">
        <f>+C74</f>
        <v>85300571</v>
      </c>
      <c r="D78" s="270">
        <f>+D74</f>
        <v>81733082</v>
      </c>
      <c r="E78" s="270">
        <f>+E74</f>
        <v>86635165</v>
      </c>
    </row>
    <row r="79" spans="1:5" ht="24" customHeight="1" x14ac:dyDescent="0.2">
      <c r="A79" s="17">
        <v>13</v>
      </c>
      <c r="B79" s="45" t="s">
        <v>67</v>
      </c>
      <c r="C79" s="270">
        <f>+C32</f>
        <v>75433676</v>
      </c>
      <c r="D79" s="270">
        <f>+D32</f>
        <v>71476482</v>
      </c>
      <c r="E79" s="270">
        <f>+E32</f>
        <v>55161657</v>
      </c>
    </row>
    <row r="80" spans="1:5" ht="24" customHeight="1" x14ac:dyDescent="0.2">
      <c r="A80" s="17">
        <v>14</v>
      </c>
      <c r="B80" s="45" t="s">
        <v>360</v>
      </c>
      <c r="C80" s="270">
        <f>+C78+C79</f>
        <v>160734247</v>
      </c>
      <c r="D80" s="270">
        <f>+D78+D79</f>
        <v>153209564</v>
      </c>
      <c r="E80" s="270">
        <f>+E78+E79</f>
        <v>141796822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FILING&amp;R&amp;8EASTERN CT HEALTH NETWORK 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492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493</v>
      </c>
      <c r="E6" s="126" t="s">
        <v>494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495</v>
      </c>
      <c r="I7" s="126" t="s">
        <v>495</v>
      </c>
      <c r="J7" s="125"/>
      <c r="K7" s="289"/>
    </row>
    <row r="8" spans="1:11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6" t="s">
        <v>501</v>
      </c>
      <c r="I8" s="126" t="s">
        <v>502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503</v>
      </c>
      <c r="D9" s="292" t="s">
        <v>504</v>
      </c>
      <c r="E9" s="292" t="s">
        <v>505</v>
      </c>
      <c r="F9" s="292" t="s">
        <v>506</v>
      </c>
      <c r="G9" s="292" t="s">
        <v>507</v>
      </c>
      <c r="H9" s="292" t="s">
        <v>506</v>
      </c>
      <c r="I9" s="292" t="s">
        <v>507</v>
      </c>
      <c r="J9" s="125"/>
      <c r="K9" s="56"/>
    </row>
    <row r="10" spans="1:11" ht="15.75" customHeight="1" x14ac:dyDescent="0.25">
      <c r="A10" s="293" t="s">
        <v>505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508</v>
      </c>
      <c r="C11" s="296">
        <v>10210</v>
      </c>
      <c r="D11" s="296">
        <v>2405</v>
      </c>
      <c r="E11" s="296">
        <v>2046</v>
      </c>
      <c r="F11" s="297">
        <v>46</v>
      </c>
      <c r="G11" s="297">
        <v>81</v>
      </c>
      <c r="H11" s="298">
        <f>IF(F11=0,0,$C11/(F11*365))</f>
        <v>0.6081000595592615</v>
      </c>
      <c r="I11" s="298">
        <f>IF(G11=0,0,$C11/(G11*365))</f>
        <v>0.34534077456451884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509</v>
      </c>
      <c r="C13" s="296">
        <v>1900</v>
      </c>
      <c r="D13" s="296">
        <v>246</v>
      </c>
      <c r="E13" s="296">
        <v>0</v>
      </c>
      <c r="F13" s="297">
        <v>6</v>
      </c>
      <c r="G13" s="297">
        <v>9</v>
      </c>
      <c r="H13" s="298">
        <f>IF(F13=0,0,$C13/(F13*365))</f>
        <v>0.86757990867579904</v>
      </c>
      <c r="I13" s="298">
        <f>IF(G13=0,0,$C13/(G13*365))</f>
        <v>0.57838660578386603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510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511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512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513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514</v>
      </c>
      <c r="C21" s="296">
        <v>135</v>
      </c>
      <c r="D21" s="296">
        <v>54</v>
      </c>
      <c r="E21" s="296">
        <v>49</v>
      </c>
      <c r="F21" s="297">
        <v>6</v>
      </c>
      <c r="G21" s="297">
        <v>12</v>
      </c>
      <c r="H21" s="298">
        <f>IF(F21=0,0,$C21/(F21*365))</f>
        <v>6.1643835616438353E-2</v>
      </c>
      <c r="I21" s="298">
        <f>IF(G21=0,0,$C21/(G21*365))</f>
        <v>3.0821917808219176E-2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515</v>
      </c>
      <c r="C23" s="296">
        <v>125</v>
      </c>
      <c r="D23" s="296">
        <v>56</v>
      </c>
      <c r="E23" s="296">
        <v>50</v>
      </c>
      <c r="F23" s="297">
        <v>8</v>
      </c>
      <c r="G23" s="297">
        <v>16</v>
      </c>
      <c r="H23" s="298">
        <f>IF(F23=0,0,$C23/(F23*365))</f>
        <v>4.2808219178082189E-2</v>
      </c>
      <c r="I23" s="298">
        <f>IF(G23=0,0,$C23/(G23*365))</f>
        <v>2.1404109589041095E-2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294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516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517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518</v>
      </c>
      <c r="C31" s="300">
        <f>SUM(C10:C29)-C17-C23</f>
        <v>12245</v>
      </c>
      <c r="D31" s="300">
        <f>SUM(D10:D29)-D13-D17-D23</f>
        <v>2459</v>
      </c>
      <c r="E31" s="300">
        <f>SUM(E10:E29)-E17-E23</f>
        <v>2095</v>
      </c>
      <c r="F31" s="300">
        <f>SUM(F10:F29)-F17-F23</f>
        <v>58</v>
      </c>
      <c r="G31" s="300">
        <f>SUM(G10:G29)-G17-G23</f>
        <v>102</v>
      </c>
      <c r="H31" s="301">
        <f>IF(F31=0,0,$C31/(F31*365))</f>
        <v>0.57841284837033535</v>
      </c>
      <c r="I31" s="301">
        <f>IF(G31=0,0,$C31/(G31*365))</f>
        <v>0.3289014235831319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519</v>
      </c>
      <c r="C33" s="300">
        <f>SUM(C10:C29)-C17</f>
        <v>12370</v>
      </c>
      <c r="D33" s="300">
        <f>SUM(D10:D29)-D13-D17</f>
        <v>2515</v>
      </c>
      <c r="E33" s="300">
        <f>SUM(E10:E29)-E17</f>
        <v>2145</v>
      </c>
      <c r="F33" s="300">
        <f>SUM(F10:F29)-F17</f>
        <v>66</v>
      </c>
      <c r="G33" s="300">
        <f>SUM(G10:G29)-G17</f>
        <v>118</v>
      </c>
      <c r="H33" s="301">
        <f>IF(F33=0,0,$C33/(F33*365))</f>
        <v>0.51349107513491077</v>
      </c>
      <c r="I33" s="301">
        <f>IF(G33=0,0,$C33/(G33*365))</f>
        <v>0.28720687253308569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520</v>
      </c>
      <c r="C36" s="300">
        <f t="shared" ref="C36:I36" si="1">+C33</f>
        <v>12370</v>
      </c>
      <c r="D36" s="300">
        <f t="shared" si="1"/>
        <v>2515</v>
      </c>
      <c r="E36" s="300">
        <f t="shared" si="1"/>
        <v>2145</v>
      </c>
      <c r="F36" s="300">
        <f t="shared" si="1"/>
        <v>66</v>
      </c>
      <c r="G36" s="300">
        <f t="shared" si="1"/>
        <v>118</v>
      </c>
      <c r="H36" s="301">
        <f t="shared" si="1"/>
        <v>0.51349107513491077</v>
      </c>
      <c r="I36" s="301">
        <f t="shared" si="1"/>
        <v>0.28720687253308569</v>
      </c>
      <c r="J36" s="125"/>
      <c r="K36" s="299"/>
    </row>
    <row r="37" spans="1:11" ht="15.75" customHeight="1" x14ac:dyDescent="0.25">
      <c r="A37" s="293"/>
      <c r="B37" s="135" t="s">
        <v>521</v>
      </c>
      <c r="C37" s="300">
        <v>14180</v>
      </c>
      <c r="D37" s="300">
        <v>0</v>
      </c>
      <c r="E37" s="300">
        <v>0</v>
      </c>
      <c r="F37" s="302">
        <v>66</v>
      </c>
      <c r="G37" s="302">
        <v>118</v>
      </c>
      <c r="H37" s="301">
        <f>IF(F37=0,0,$C37/(F37*365))</f>
        <v>0.58862598588625981</v>
      </c>
      <c r="I37" s="301">
        <f>IF(G37=0,0,$C37/(G37*365))</f>
        <v>0.32923148363129789</v>
      </c>
      <c r="J37" s="125"/>
      <c r="K37" s="299"/>
    </row>
    <row r="38" spans="1:11" ht="15.75" customHeight="1" x14ac:dyDescent="0.25">
      <c r="A38" s="293"/>
      <c r="B38" s="135" t="s">
        <v>522</v>
      </c>
      <c r="C38" s="300">
        <f t="shared" ref="C38:I38" si="2">+C36-C37</f>
        <v>-1810</v>
      </c>
      <c r="D38" s="300">
        <f t="shared" si="2"/>
        <v>2515</v>
      </c>
      <c r="E38" s="300">
        <f t="shared" si="2"/>
        <v>2145</v>
      </c>
      <c r="F38" s="300">
        <f t="shared" si="2"/>
        <v>0</v>
      </c>
      <c r="G38" s="300">
        <f t="shared" si="2"/>
        <v>0</v>
      </c>
      <c r="H38" s="301">
        <f t="shared" si="2"/>
        <v>-7.5134910751349038E-2</v>
      </c>
      <c r="I38" s="301">
        <f t="shared" si="2"/>
        <v>-4.2024611098212206E-2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523</v>
      </c>
      <c r="C40" s="148">
        <f t="shared" ref="C40:I40" si="3">IF(C37=0,0,C38/C37)</f>
        <v>-0.12764456981664316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-0.12764456981664304</v>
      </c>
      <c r="I40" s="148">
        <f t="shared" si="3"/>
        <v>-0.12764456981664313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524</v>
      </c>
      <c r="C42" s="295">
        <v>118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525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505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FILING&amp;RROCKVILLE GENERAL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526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527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528</v>
      </c>
      <c r="C12" s="296">
        <v>2428</v>
      </c>
      <c r="D12" s="296">
        <v>1870</v>
      </c>
      <c r="E12" s="296">
        <f>+D12-C12</f>
        <v>-558</v>
      </c>
      <c r="F12" s="316">
        <f>IF(C12=0,0,+E12/C12)</f>
        <v>-0.2298187808896211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529</v>
      </c>
      <c r="C13" s="296">
        <v>5772</v>
      </c>
      <c r="D13" s="296">
        <v>4960</v>
      </c>
      <c r="E13" s="296">
        <f>+D13-C13</f>
        <v>-812</v>
      </c>
      <c r="F13" s="316">
        <f>IF(C13=0,0,+E13/C13)</f>
        <v>-0.14067914067914067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530</v>
      </c>
      <c r="C14" s="296">
        <v>2251</v>
      </c>
      <c r="D14" s="296">
        <v>1929</v>
      </c>
      <c r="E14" s="296">
        <f>+D14-C14</f>
        <v>-322</v>
      </c>
      <c r="F14" s="316">
        <f>IF(C14=0,0,+E14/C14)</f>
        <v>-0.14304753442914261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531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532</v>
      </c>
      <c r="C16" s="300">
        <f>SUM(C12:C15)</f>
        <v>10451</v>
      </c>
      <c r="D16" s="300">
        <f>SUM(D12:D15)</f>
        <v>8759</v>
      </c>
      <c r="E16" s="300">
        <f>+D16-C16</f>
        <v>-1692</v>
      </c>
      <c r="F16" s="309">
        <f>IF(C16=0,0,+E16/C16)</f>
        <v>-0.16189838292986317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533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528</v>
      </c>
      <c r="C19" s="296">
        <v>297</v>
      </c>
      <c r="D19" s="296">
        <v>222</v>
      </c>
      <c r="E19" s="296">
        <f>+D19-C19</f>
        <v>-75</v>
      </c>
      <c r="F19" s="316">
        <f>IF(C19=0,0,+E19/C19)</f>
        <v>-0.25252525252525254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529</v>
      </c>
      <c r="C20" s="296">
        <v>1578</v>
      </c>
      <c r="D20" s="296">
        <v>1595</v>
      </c>
      <c r="E20" s="296">
        <f>+D20-C20</f>
        <v>17</v>
      </c>
      <c r="F20" s="316">
        <f>IF(C20=0,0,+E20/C20)</f>
        <v>1.0773130544993664E-2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530</v>
      </c>
      <c r="C21" s="296">
        <v>21</v>
      </c>
      <c r="D21" s="296">
        <v>16</v>
      </c>
      <c r="E21" s="296">
        <f>+D21-C21</f>
        <v>-5</v>
      </c>
      <c r="F21" s="316">
        <f>IF(C21=0,0,+E21/C21)</f>
        <v>-0.23809523809523808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531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534</v>
      </c>
      <c r="C23" s="300">
        <f>SUM(C19:C22)</f>
        <v>1896</v>
      </c>
      <c r="D23" s="300">
        <f>SUM(D19:D22)</f>
        <v>1833</v>
      </c>
      <c r="E23" s="300">
        <f>+D23-C23</f>
        <v>-63</v>
      </c>
      <c r="F23" s="309">
        <f>IF(C23=0,0,+E23/C23)</f>
        <v>-3.3227848101265819E-2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535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528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529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530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531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536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319</v>
      </c>
      <c r="B32" s="291" t="s">
        <v>537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528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529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530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531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538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539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540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340</v>
      </c>
      <c r="B42" s="291" t="s">
        <v>541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542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543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544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352</v>
      </c>
      <c r="B47" s="291" t="s">
        <v>545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542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543</v>
      </c>
      <c r="C49" s="296">
        <v>11</v>
      </c>
      <c r="D49" s="296">
        <v>0</v>
      </c>
      <c r="E49" s="296">
        <f>+D49-C49</f>
        <v>-11</v>
      </c>
      <c r="F49" s="316">
        <f>IF(C49=0,0,+E49/C49)</f>
        <v>-1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546</v>
      </c>
      <c r="C50" s="300">
        <f>SUM(C48:C49)</f>
        <v>11</v>
      </c>
      <c r="D50" s="300">
        <f>SUM(D48:D49)</f>
        <v>0</v>
      </c>
      <c r="E50" s="300">
        <f>+D50-C50</f>
        <v>-11</v>
      </c>
      <c r="F50" s="309">
        <f>IF(C50=0,0,+E50/C50)</f>
        <v>-1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364</v>
      </c>
      <c r="B52" s="291" t="s">
        <v>547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548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549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550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368</v>
      </c>
      <c r="B57" s="291" t="s">
        <v>551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552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553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554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555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556</v>
      </c>
      <c r="C63" s="296">
        <v>746</v>
      </c>
      <c r="D63" s="296">
        <v>631</v>
      </c>
      <c r="E63" s="296">
        <f>+D63-C63</f>
        <v>-115</v>
      </c>
      <c r="F63" s="316">
        <f>IF(C63=0,0,+E63/C63)</f>
        <v>-0.15415549597855227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557</v>
      </c>
      <c r="C64" s="296">
        <v>1726</v>
      </c>
      <c r="D64" s="296">
        <v>1629</v>
      </c>
      <c r="E64" s="296">
        <f>+D64-C64</f>
        <v>-97</v>
      </c>
      <c r="F64" s="316">
        <f>IF(C64=0,0,+E64/C64)</f>
        <v>-5.619930475086906E-2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558</v>
      </c>
      <c r="C65" s="300">
        <f>SUM(C63:C64)</f>
        <v>2472</v>
      </c>
      <c r="D65" s="300">
        <f>SUM(D63:D64)</f>
        <v>2260</v>
      </c>
      <c r="E65" s="300">
        <f>+D65-C65</f>
        <v>-212</v>
      </c>
      <c r="F65" s="309">
        <f>IF(C65=0,0,+E65/C65)</f>
        <v>-8.5760517799352745E-2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394</v>
      </c>
      <c r="B67" s="291" t="s">
        <v>559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560</v>
      </c>
      <c r="C68" s="296">
        <v>252</v>
      </c>
      <c r="D68" s="296">
        <v>188</v>
      </c>
      <c r="E68" s="296">
        <f>+D68-C68</f>
        <v>-64</v>
      </c>
      <c r="F68" s="316">
        <f>IF(C68=0,0,+E68/C68)</f>
        <v>-0.25396825396825395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561</v>
      </c>
      <c r="C69" s="296">
        <v>2508</v>
      </c>
      <c r="D69" s="296">
        <v>2560</v>
      </c>
      <c r="E69" s="296">
        <f>+D69-C69</f>
        <v>52</v>
      </c>
      <c r="F69" s="318">
        <f>IF(C69=0,0,+E69/C69)</f>
        <v>2.0733652312599681E-2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562</v>
      </c>
      <c r="C70" s="300">
        <f>SUM(C68:C69)</f>
        <v>2760</v>
      </c>
      <c r="D70" s="300">
        <f>SUM(D68:D69)</f>
        <v>2748</v>
      </c>
      <c r="E70" s="300">
        <f>+D70-C70</f>
        <v>-12</v>
      </c>
      <c r="F70" s="309">
        <f>IF(C70=0,0,+E70/C70)</f>
        <v>-4.3478260869565218E-3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410</v>
      </c>
      <c r="B72" s="291" t="s">
        <v>563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564</v>
      </c>
      <c r="C73" s="319">
        <v>2136</v>
      </c>
      <c r="D73" s="319">
        <v>2066</v>
      </c>
      <c r="E73" s="296">
        <f>+D73-C73</f>
        <v>-70</v>
      </c>
      <c r="F73" s="316">
        <f>IF(C73=0,0,+E73/C73)</f>
        <v>-3.2771535580524341E-2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565</v>
      </c>
      <c r="C74" s="319">
        <v>23873</v>
      </c>
      <c r="D74" s="319">
        <v>24397</v>
      </c>
      <c r="E74" s="296">
        <f>+D74-C74</f>
        <v>524</v>
      </c>
      <c r="F74" s="316">
        <f>IF(C74=0,0,+E74/C74)</f>
        <v>2.1949482679177314E-2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426</v>
      </c>
      <c r="C75" s="300">
        <f>SUM(C73:C74)</f>
        <v>26009</v>
      </c>
      <c r="D75" s="300">
        <f>SUM(D73:D74)</f>
        <v>26463</v>
      </c>
      <c r="E75" s="300">
        <f>SUM(E73:E74)</f>
        <v>454</v>
      </c>
      <c r="F75" s="309">
        <f>IF(C75=0,0,+E75/C75)</f>
        <v>1.7455496174401168E-2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419</v>
      </c>
      <c r="B78" s="291" t="s">
        <v>566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567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568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569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570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571</v>
      </c>
      <c r="C83" s="319">
        <v>1629</v>
      </c>
      <c r="D83" s="319">
        <v>1626</v>
      </c>
      <c r="E83" s="296">
        <f t="shared" si="0"/>
        <v>-3</v>
      </c>
      <c r="F83" s="316">
        <f t="shared" si="1"/>
        <v>-1.841620626151013E-3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572</v>
      </c>
      <c r="C84" s="320">
        <f>SUM(C79:C83)</f>
        <v>1629</v>
      </c>
      <c r="D84" s="320">
        <f>SUM(D79:D83)</f>
        <v>1626</v>
      </c>
      <c r="E84" s="300">
        <f t="shared" si="0"/>
        <v>-3</v>
      </c>
      <c r="F84" s="309">
        <f t="shared" si="1"/>
        <v>-1.841620626151013E-3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422</v>
      </c>
      <c r="B86" s="291" t="s">
        <v>573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574</v>
      </c>
      <c r="C87" s="322">
        <v>27606</v>
      </c>
      <c r="D87" s="322">
        <v>21095</v>
      </c>
      <c r="E87" s="323">
        <f t="shared" ref="E87:E92" si="2">+D87-C87</f>
        <v>-6511</v>
      </c>
      <c r="F87" s="318">
        <f t="shared" ref="F87:F92" si="3">IF(C87=0,0,+E87/C87)</f>
        <v>-0.23585452437875823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262</v>
      </c>
      <c r="C88" s="322">
        <v>8649</v>
      </c>
      <c r="D88" s="322">
        <v>7956</v>
      </c>
      <c r="E88" s="296">
        <f t="shared" si="2"/>
        <v>-693</v>
      </c>
      <c r="F88" s="316">
        <f t="shared" si="3"/>
        <v>-8.0124869927159212E-2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575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576</v>
      </c>
      <c r="C90" s="322">
        <v>2508</v>
      </c>
      <c r="D90" s="322">
        <v>2562</v>
      </c>
      <c r="E90" s="296">
        <f t="shared" si="2"/>
        <v>54</v>
      </c>
      <c r="F90" s="316">
        <f t="shared" si="3"/>
        <v>2.1531100478468901E-2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577</v>
      </c>
      <c r="C91" s="322">
        <v>14316</v>
      </c>
      <c r="D91" s="322">
        <v>17127</v>
      </c>
      <c r="E91" s="296">
        <f t="shared" si="2"/>
        <v>2811</v>
      </c>
      <c r="F91" s="316">
        <f t="shared" si="3"/>
        <v>0.19635373009220453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578</v>
      </c>
      <c r="C92" s="320">
        <f>SUM(C87:C91)</f>
        <v>53079</v>
      </c>
      <c r="D92" s="320">
        <f>SUM(D87:D91)</f>
        <v>48740</v>
      </c>
      <c r="E92" s="300">
        <f t="shared" si="2"/>
        <v>-4339</v>
      </c>
      <c r="F92" s="309">
        <f t="shared" si="3"/>
        <v>-8.1746076602799603E-2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579</v>
      </c>
      <c r="B95" s="291" t="s">
        <v>580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581</v>
      </c>
      <c r="C96" s="325">
        <v>124.5</v>
      </c>
      <c r="D96" s="325">
        <v>115.1</v>
      </c>
      <c r="E96" s="326">
        <f>+D96-C96</f>
        <v>-9.4000000000000057</v>
      </c>
      <c r="F96" s="316">
        <f>IF(C96=0,0,+E96/C96)</f>
        <v>-7.5502008032128559E-2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582</v>
      </c>
      <c r="C97" s="325">
        <v>5.3</v>
      </c>
      <c r="D97" s="325">
        <v>6.6</v>
      </c>
      <c r="E97" s="326">
        <f>+D97-C97</f>
        <v>1.2999999999999998</v>
      </c>
      <c r="F97" s="316">
        <f>IF(C97=0,0,+E97/C97)</f>
        <v>0.2452830188679245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583</v>
      </c>
      <c r="C98" s="325">
        <v>292.89999999999998</v>
      </c>
      <c r="D98" s="325">
        <v>283.39999999999998</v>
      </c>
      <c r="E98" s="326">
        <f>+D98-C98</f>
        <v>-9.5</v>
      </c>
      <c r="F98" s="316">
        <f>IF(C98=0,0,+E98/C98)</f>
        <v>-3.2434277910549675E-2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584</v>
      </c>
      <c r="C99" s="327">
        <f>SUM(C96:C98)</f>
        <v>422.7</v>
      </c>
      <c r="D99" s="327">
        <f>SUM(D96:D98)</f>
        <v>405.09999999999997</v>
      </c>
      <c r="E99" s="327">
        <f>+D99-C99</f>
        <v>-17.600000000000023</v>
      </c>
      <c r="F99" s="309">
        <f>IF(C99=0,0,+E99/C99)</f>
        <v>-4.1637094866335517E-2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FILING&amp;RROCKVILLE GENERAL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9" t="s">
        <v>0</v>
      </c>
      <c r="B1" s="699"/>
      <c r="C1" s="699"/>
      <c r="D1" s="699"/>
      <c r="E1" s="699"/>
      <c r="F1" s="699"/>
    </row>
    <row r="2" spans="1:16" ht="15.75" customHeight="1" x14ac:dyDescent="0.25">
      <c r="A2" s="699" t="s">
        <v>1</v>
      </c>
      <c r="B2" s="699"/>
      <c r="C2" s="699"/>
      <c r="D2" s="699"/>
      <c r="E2" s="699"/>
      <c r="F2" s="699"/>
    </row>
    <row r="3" spans="1:16" ht="15.75" customHeight="1" x14ac:dyDescent="0.25">
      <c r="A3" s="699" t="s">
        <v>2</v>
      </c>
      <c r="B3" s="699"/>
      <c r="C3" s="699"/>
      <c r="D3" s="699"/>
      <c r="E3" s="699"/>
      <c r="F3" s="699"/>
    </row>
    <row r="4" spans="1:16" ht="15.75" customHeight="1" x14ac:dyDescent="0.25">
      <c r="A4" s="699" t="s">
        <v>585</v>
      </c>
      <c r="B4" s="699"/>
      <c r="C4" s="699"/>
      <c r="D4" s="699"/>
      <c r="E4" s="699"/>
      <c r="F4" s="699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557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586</v>
      </c>
      <c r="C12" s="296">
        <v>1726</v>
      </c>
      <c r="D12" s="296">
        <v>1629</v>
      </c>
      <c r="E12" s="296">
        <f>+D12-C12</f>
        <v>-97</v>
      </c>
      <c r="F12" s="316">
        <f>IF(C12=0,0,+E12/C12)</f>
        <v>-5.619930475086906E-2</v>
      </c>
    </row>
    <row r="13" spans="1:16" ht="15.75" customHeight="1" x14ac:dyDescent="0.25">
      <c r="A13" s="294"/>
      <c r="B13" s="135" t="s">
        <v>587</v>
      </c>
      <c r="C13" s="300">
        <f>SUM(C11:C12)</f>
        <v>1726</v>
      </c>
      <c r="D13" s="300">
        <f>SUM(D11:D12)</f>
        <v>1629</v>
      </c>
      <c r="E13" s="300">
        <f>+D13-C13</f>
        <v>-97</v>
      </c>
      <c r="F13" s="309">
        <f>IF(C13=0,0,+E13/C13)</f>
        <v>-5.619930475086906E-2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561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586</v>
      </c>
      <c r="C16" s="296">
        <v>2508</v>
      </c>
      <c r="D16" s="296">
        <v>2560</v>
      </c>
      <c r="E16" s="296">
        <f>+D16-C16</f>
        <v>52</v>
      </c>
      <c r="F16" s="316">
        <f>IF(C16=0,0,+E16/C16)</f>
        <v>2.0733652312599681E-2</v>
      </c>
    </row>
    <row r="17" spans="1:6" ht="15.75" customHeight="1" x14ac:dyDescent="0.25">
      <c r="A17" s="294"/>
      <c r="B17" s="135" t="s">
        <v>588</v>
      </c>
      <c r="C17" s="300">
        <f>SUM(C15:C16)</f>
        <v>2508</v>
      </c>
      <c r="D17" s="300">
        <f>SUM(D15:D16)</f>
        <v>2560</v>
      </c>
      <c r="E17" s="300">
        <f>+D17-C17</f>
        <v>52</v>
      </c>
      <c r="F17" s="309">
        <f>IF(C17=0,0,+E17/C17)</f>
        <v>2.0733652312599681E-2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589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590</v>
      </c>
      <c r="C20" s="296">
        <v>23873</v>
      </c>
      <c r="D20" s="296">
        <v>24397</v>
      </c>
      <c r="E20" s="296">
        <f>+D20-C20</f>
        <v>524</v>
      </c>
      <c r="F20" s="316">
        <f>IF(C20=0,0,+E20/C20)</f>
        <v>2.1949482679177314E-2</v>
      </c>
    </row>
    <row r="21" spans="1:6" ht="15.75" customHeight="1" x14ac:dyDescent="0.25">
      <c r="A21" s="294"/>
      <c r="B21" s="135" t="s">
        <v>591</v>
      </c>
      <c r="C21" s="300">
        <f>SUM(C19:C20)</f>
        <v>23873</v>
      </c>
      <c r="D21" s="300">
        <f>SUM(D19:D20)</f>
        <v>24397</v>
      </c>
      <c r="E21" s="300">
        <f>+D21-C21</f>
        <v>524</v>
      </c>
      <c r="F21" s="309">
        <f>IF(C21=0,0,+E21/C21)</f>
        <v>2.1949482679177314E-2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700" t="s">
        <v>592</v>
      </c>
      <c r="C23" s="701"/>
      <c r="D23" s="701"/>
      <c r="E23" s="701"/>
      <c r="F23" s="702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700" t="s">
        <v>593</v>
      </c>
      <c r="C25" s="701"/>
      <c r="D25" s="701"/>
      <c r="E25" s="701"/>
      <c r="F25" s="702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700" t="s">
        <v>594</v>
      </c>
      <c r="C27" s="701"/>
      <c r="D27" s="701"/>
      <c r="E27" s="701"/>
      <c r="F27" s="702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FILING&amp;RROCKVILLE GENERAL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3" t="s">
        <v>0</v>
      </c>
      <c r="B1" s="703"/>
      <c r="C1" s="703"/>
      <c r="D1" s="703"/>
      <c r="E1" s="703"/>
      <c r="F1" s="703"/>
    </row>
    <row r="2" spans="1:21" ht="15.75" customHeight="1" x14ac:dyDescent="0.25">
      <c r="A2" s="704" t="s">
        <v>595</v>
      </c>
      <c r="B2" s="705"/>
      <c r="C2" s="705"/>
      <c r="D2" s="705"/>
      <c r="E2" s="705"/>
      <c r="F2" s="706"/>
    </row>
    <row r="3" spans="1:21" ht="15.75" customHeight="1" x14ac:dyDescent="0.25">
      <c r="A3" s="704" t="s">
        <v>596</v>
      </c>
      <c r="B3" s="705"/>
      <c r="C3" s="705"/>
      <c r="D3" s="705"/>
      <c r="E3" s="705"/>
      <c r="F3" s="706"/>
    </row>
    <row r="4" spans="1:21" ht="15.75" customHeight="1" x14ac:dyDescent="0.25">
      <c r="A4" s="707" t="s">
        <v>597</v>
      </c>
      <c r="B4" s="708"/>
      <c r="C4" s="708"/>
      <c r="D4" s="708"/>
      <c r="E4" s="708"/>
      <c r="F4" s="709"/>
    </row>
    <row r="5" spans="1:21" ht="15.75" customHeight="1" x14ac:dyDescent="0.25">
      <c r="A5" s="707" t="s">
        <v>598</v>
      </c>
      <c r="B5" s="708"/>
      <c r="C5" s="708"/>
      <c r="D5" s="708"/>
      <c r="E5" s="708"/>
      <c r="F5" s="709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35216904</v>
      </c>
      <c r="D15" s="361">
        <v>36910536</v>
      </c>
      <c r="E15" s="361">
        <f t="shared" ref="E15:E24" si="0">D15-C15</f>
        <v>1693632</v>
      </c>
      <c r="F15" s="362">
        <f t="shared" ref="F15:F24" si="1">IF(C15=0,0,E15/C15)</f>
        <v>4.8091450628368698E-2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14872476</v>
      </c>
      <c r="D16" s="361">
        <v>14956892</v>
      </c>
      <c r="E16" s="361">
        <f t="shared" si="0"/>
        <v>84416</v>
      </c>
      <c r="F16" s="362">
        <f t="shared" si="1"/>
        <v>5.6759883155972149E-3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0.42231071760311467</v>
      </c>
      <c r="D17" s="366">
        <f>IF(LN_IA1=0,0,LN_IA2/LN_IA1)</f>
        <v>0.4052201246820149</v>
      </c>
      <c r="E17" s="367">
        <f t="shared" si="0"/>
        <v>-1.7090592921099768E-2</v>
      </c>
      <c r="F17" s="362">
        <f t="shared" si="1"/>
        <v>-4.0469237953750951E-2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1595</v>
      </c>
      <c r="D18" s="369">
        <v>1581</v>
      </c>
      <c r="E18" s="369">
        <f t="shared" si="0"/>
        <v>-14</v>
      </c>
      <c r="F18" s="362">
        <f t="shared" si="1"/>
        <v>-8.7774294670846398E-3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1.4282999999999999</v>
      </c>
      <c r="D19" s="372">
        <v>1.4683999999999999</v>
      </c>
      <c r="E19" s="373">
        <f t="shared" si="0"/>
        <v>4.0100000000000025E-2</v>
      </c>
      <c r="F19" s="362">
        <f t="shared" si="1"/>
        <v>2.8075334313519589E-2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2278.1385</v>
      </c>
      <c r="D20" s="376">
        <f>LN_IA4*LN_IA5</f>
        <v>2321.5403999999999</v>
      </c>
      <c r="E20" s="376">
        <f t="shared" si="0"/>
        <v>43.401899999999841</v>
      </c>
      <c r="F20" s="362">
        <f t="shared" si="1"/>
        <v>1.9051475579733121E-2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6528.3458402551032</v>
      </c>
      <c r="D21" s="378">
        <f>IF(LN_IA6=0,0,LN_IA2/LN_IA6)</f>
        <v>6442.6585038106596</v>
      </c>
      <c r="E21" s="378">
        <f t="shared" si="0"/>
        <v>-85.687336444443645</v>
      </c>
      <c r="F21" s="362">
        <f t="shared" si="1"/>
        <v>-1.3125428483901415E-2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8291</v>
      </c>
      <c r="D22" s="369">
        <v>8640</v>
      </c>
      <c r="E22" s="369">
        <f t="shared" si="0"/>
        <v>349</v>
      </c>
      <c r="F22" s="362">
        <f t="shared" si="1"/>
        <v>4.2093836690387167E-2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1793.809673139549</v>
      </c>
      <c r="D23" s="378">
        <f>IF(LN_IA8=0,0,LN_IA2/LN_IA8)</f>
        <v>1731.1217592592593</v>
      </c>
      <c r="E23" s="378">
        <f t="shared" si="0"/>
        <v>-62.68791388028967</v>
      </c>
      <c r="F23" s="362">
        <f t="shared" si="1"/>
        <v>-3.4946803342058283E-2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5.1981191222570535</v>
      </c>
      <c r="D24" s="379">
        <f>IF(LN_IA4=0,0,LN_IA8/LN_IA4)</f>
        <v>5.4648956356736242</v>
      </c>
      <c r="E24" s="379">
        <f t="shared" si="0"/>
        <v>0.26677651341657072</v>
      </c>
      <c r="F24" s="362">
        <f t="shared" si="1"/>
        <v>5.1321739102572698E-2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27105329</v>
      </c>
      <c r="D27" s="361">
        <v>30465162</v>
      </c>
      <c r="E27" s="361">
        <f t="shared" ref="E27:E32" si="2">D27-C27</f>
        <v>3359833</v>
      </c>
      <c r="F27" s="362">
        <f t="shared" ref="F27:F32" si="3">IF(C27=0,0,E27/C27)</f>
        <v>0.12395470278187733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8379884</v>
      </c>
      <c r="D28" s="361">
        <v>7879322</v>
      </c>
      <c r="E28" s="361">
        <f t="shared" si="2"/>
        <v>-500562</v>
      </c>
      <c r="F28" s="362">
        <f t="shared" si="3"/>
        <v>-5.9733762424396326E-2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0.30916001794333503</v>
      </c>
      <c r="D29" s="366">
        <f>IF(LN_IA11=0,0,LN_IA12/LN_IA11)</f>
        <v>0.25863384543958767</v>
      </c>
      <c r="E29" s="367">
        <f t="shared" si="2"/>
        <v>-5.0526172503747357E-2</v>
      </c>
      <c r="F29" s="362">
        <f t="shared" si="3"/>
        <v>-0.16343048768035762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0.76966814005001694</v>
      </c>
      <c r="D30" s="366">
        <f>IF(LN_IA1=0,0,LN_IA11/LN_IA1)</f>
        <v>0.82537847729981484</v>
      </c>
      <c r="E30" s="367">
        <f t="shared" si="2"/>
        <v>5.5710337249797903E-2</v>
      </c>
      <c r="F30" s="362">
        <f t="shared" si="3"/>
        <v>7.2382283156709026E-2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1227.6206833797771</v>
      </c>
      <c r="D31" s="376">
        <f>LN_IA14*LN_IA4</f>
        <v>1304.9233726110072</v>
      </c>
      <c r="E31" s="376">
        <f t="shared" si="2"/>
        <v>77.302689231230033</v>
      </c>
      <c r="F31" s="362">
        <f t="shared" si="3"/>
        <v>6.2969523304549649E-2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6826.1182899991891</v>
      </c>
      <c r="D32" s="378">
        <f>IF(LN_IA15=0,0,LN_IA12/LN_IA15)</f>
        <v>6038.1491859053376</v>
      </c>
      <c r="E32" s="378">
        <f t="shared" si="2"/>
        <v>-787.96910409385146</v>
      </c>
      <c r="F32" s="362">
        <f t="shared" si="3"/>
        <v>-0.11543443442055339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62322233</v>
      </c>
      <c r="D35" s="361">
        <f>LN_IA1+LN_IA11</f>
        <v>67375698</v>
      </c>
      <c r="E35" s="361">
        <f>D35-C35</f>
        <v>5053465</v>
      </c>
      <c r="F35" s="362">
        <f>IF(C35=0,0,E35/C35)</f>
        <v>8.1086070840882735E-2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23252360</v>
      </c>
      <c r="D36" s="361">
        <f>LN_IA2+LN_IA12</f>
        <v>22836214</v>
      </c>
      <c r="E36" s="361">
        <f>D36-C36</f>
        <v>-416146</v>
      </c>
      <c r="F36" s="362">
        <f>IF(C36=0,0,E36/C36)</f>
        <v>-1.7896936052942583E-2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39069873</v>
      </c>
      <c r="D37" s="361">
        <f>LN_IA17-LN_IA18</f>
        <v>44539484</v>
      </c>
      <c r="E37" s="361">
        <f>D37-C37</f>
        <v>5469611</v>
      </c>
      <c r="F37" s="362">
        <f>IF(C37=0,0,E37/C37)</f>
        <v>0.13999561759517365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16275839</v>
      </c>
      <c r="D42" s="361">
        <v>12352100</v>
      </c>
      <c r="E42" s="361">
        <f t="shared" ref="E42:E53" si="4">D42-C42</f>
        <v>-3923739</v>
      </c>
      <c r="F42" s="362">
        <f t="shared" ref="F42:F53" si="5">IF(C42=0,0,E42/C42)</f>
        <v>-0.24107752601878157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8333599</v>
      </c>
      <c r="D43" s="361">
        <v>7212608</v>
      </c>
      <c r="E43" s="361">
        <f t="shared" si="4"/>
        <v>-1120991</v>
      </c>
      <c r="F43" s="362">
        <f t="shared" si="5"/>
        <v>-0.13451463167354225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0.51202269818471413</v>
      </c>
      <c r="D44" s="366">
        <f>IF(LN_IB1=0,0,LN_IB2/LN_IB1)</f>
        <v>0.58391755248095467</v>
      </c>
      <c r="E44" s="367">
        <f t="shared" si="4"/>
        <v>7.189485429624054E-2</v>
      </c>
      <c r="F44" s="362">
        <f t="shared" si="5"/>
        <v>0.14041341243489991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1129</v>
      </c>
      <c r="D45" s="369">
        <v>663</v>
      </c>
      <c r="E45" s="369">
        <f t="shared" si="4"/>
        <v>-466</v>
      </c>
      <c r="F45" s="362">
        <f t="shared" si="5"/>
        <v>-0.41275465013286095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1.0759000000000001</v>
      </c>
      <c r="D46" s="372">
        <v>1.3484</v>
      </c>
      <c r="E46" s="373">
        <f t="shared" si="4"/>
        <v>0.27249999999999996</v>
      </c>
      <c r="F46" s="362">
        <f t="shared" si="5"/>
        <v>0.25327632679617057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1214.6911</v>
      </c>
      <c r="D47" s="376">
        <f>LN_IB4*LN_IB5</f>
        <v>893.98919999999998</v>
      </c>
      <c r="E47" s="376">
        <f t="shared" si="4"/>
        <v>-320.70190000000002</v>
      </c>
      <c r="F47" s="362">
        <f t="shared" si="5"/>
        <v>-0.2640193049903799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6860.6734666945367</v>
      </c>
      <c r="D48" s="378">
        <f>IF(LN_IB6=0,0,LN_IB2/LN_IB6)</f>
        <v>8067.8916479080508</v>
      </c>
      <c r="E48" s="378">
        <f t="shared" si="4"/>
        <v>1207.2181812135141</v>
      </c>
      <c r="F48" s="362">
        <f t="shared" si="5"/>
        <v>0.17596205198717177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-332.32762643943352</v>
      </c>
      <c r="D49" s="378">
        <f>LN_IA7-LN_IB7</f>
        <v>-1625.2331440973912</v>
      </c>
      <c r="E49" s="378">
        <f t="shared" si="4"/>
        <v>-1292.9055176579577</v>
      </c>
      <c r="F49" s="362">
        <f t="shared" si="5"/>
        <v>3.8904545237787773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-403675.41012010456</v>
      </c>
      <c r="D50" s="391">
        <f>LN_IB8*LN_IB6</f>
        <v>-1452940.8783051115</v>
      </c>
      <c r="E50" s="391">
        <f t="shared" si="4"/>
        <v>-1049265.4681850071</v>
      </c>
      <c r="F50" s="362">
        <f t="shared" si="5"/>
        <v>2.5992801193236459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3729</v>
      </c>
      <c r="D51" s="369">
        <v>2633</v>
      </c>
      <c r="E51" s="369">
        <f t="shared" si="4"/>
        <v>-1096</v>
      </c>
      <c r="F51" s="362">
        <f t="shared" si="5"/>
        <v>-0.29391257709841778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2234.807991418611</v>
      </c>
      <c r="D52" s="378">
        <f>IF(LN_IB10=0,0,LN_IB2/LN_IB10)</f>
        <v>2739.3118116217242</v>
      </c>
      <c r="E52" s="378">
        <f t="shared" si="4"/>
        <v>504.50382020311326</v>
      </c>
      <c r="F52" s="362">
        <f t="shared" si="5"/>
        <v>0.22574817261274621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3.3029229406554474</v>
      </c>
      <c r="D53" s="379">
        <f>IF(LN_IB4=0,0,LN_IB10/LN_IB4)</f>
        <v>3.9713423831070891</v>
      </c>
      <c r="E53" s="379">
        <f t="shared" si="4"/>
        <v>0.66841944245164164</v>
      </c>
      <c r="F53" s="362">
        <f t="shared" si="5"/>
        <v>0.20237209721853133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43969014</v>
      </c>
      <c r="D56" s="361">
        <v>44728204</v>
      </c>
      <c r="E56" s="361">
        <f t="shared" ref="E56:E63" si="6">D56-C56</f>
        <v>759190</v>
      </c>
      <c r="F56" s="362">
        <f t="shared" ref="F56:F63" si="7">IF(C56=0,0,E56/C56)</f>
        <v>1.7266477706322912E-2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21676096</v>
      </c>
      <c r="D57" s="361">
        <v>23939105</v>
      </c>
      <c r="E57" s="361">
        <f t="shared" si="6"/>
        <v>2263009</v>
      </c>
      <c r="F57" s="362">
        <f t="shared" si="7"/>
        <v>0.10440113385731453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0.49298571944324249</v>
      </c>
      <c r="D58" s="366">
        <f>IF(LN_IB13=0,0,LN_IB14/LN_IB13)</f>
        <v>0.53521274853781298</v>
      </c>
      <c r="E58" s="367">
        <f t="shared" si="6"/>
        <v>4.222702909457049E-2</v>
      </c>
      <c r="F58" s="362">
        <f t="shared" si="7"/>
        <v>8.5655684189513512E-2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2.7014898586794818</v>
      </c>
      <c r="D59" s="366">
        <f>IF(LN_IB1=0,0,LN_IB13/LN_IB1)</f>
        <v>3.6211011892714597</v>
      </c>
      <c r="E59" s="367">
        <f t="shared" si="6"/>
        <v>0.91961133059197797</v>
      </c>
      <c r="F59" s="362">
        <f t="shared" si="7"/>
        <v>0.34040895161512624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3049.9820504491349</v>
      </c>
      <c r="D60" s="376">
        <f>LN_IB16*LN_IB4</f>
        <v>2400.7900884869778</v>
      </c>
      <c r="E60" s="376">
        <f t="shared" si="6"/>
        <v>-649.19196196215717</v>
      </c>
      <c r="F60" s="362">
        <f t="shared" si="7"/>
        <v>-0.21285107624373012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7106.958546463582</v>
      </c>
      <c r="D61" s="378">
        <f>IF(LN_IB17=0,0,LN_IB14/LN_IB17)</f>
        <v>9971.3444814689592</v>
      </c>
      <c r="E61" s="378">
        <f t="shared" si="6"/>
        <v>2864.3859350053772</v>
      </c>
      <c r="F61" s="362">
        <f t="shared" si="7"/>
        <v>0.40303962887622213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-280.84025646439295</v>
      </c>
      <c r="D62" s="378">
        <f>LN_IA16-LN_IB18</f>
        <v>-3933.1952955636216</v>
      </c>
      <c r="E62" s="378">
        <f t="shared" si="6"/>
        <v>-3652.3550390992286</v>
      </c>
      <c r="F62" s="362">
        <f t="shared" si="7"/>
        <v>13.005097933893611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-856557.74125993019</v>
      </c>
      <c r="D63" s="361">
        <f>LN_IB19*LN_IB17</f>
        <v>-9442776.2816727515</v>
      </c>
      <c r="E63" s="361">
        <f t="shared" si="6"/>
        <v>-8586218.5404128209</v>
      </c>
      <c r="F63" s="362">
        <f t="shared" si="7"/>
        <v>10.024097765765513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60244853</v>
      </c>
      <c r="D66" s="361">
        <f>LN_IB1+LN_IB13</f>
        <v>57080304</v>
      </c>
      <c r="E66" s="361">
        <f>D66-C66</f>
        <v>-3164549</v>
      </c>
      <c r="F66" s="362">
        <f>IF(C66=0,0,E66/C66)</f>
        <v>-5.2528122194936716E-2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30009695</v>
      </c>
      <c r="D67" s="361">
        <f>LN_IB2+LN_IB14</f>
        <v>31151713</v>
      </c>
      <c r="E67" s="361">
        <f>D67-C67</f>
        <v>1142018</v>
      </c>
      <c r="F67" s="362">
        <f>IF(C67=0,0,E67/C67)</f>
        <v>3.8054968569324013E-2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30235158</v>
      </c>
      <c r="D68" s="361">
        <f>LN_IB21-LN_IB22</f>
        <v>25928591</v>
      </c>
      <c r="E68" s="361">
        <f>D68-C68</f>
        <v>-4306567</v>
      </c>
      <c r="F68" s="362">
        <f>IF(C68=0,0,E68/C68)</f>
        <v>-0.14243573656866618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-1260233.1513800346</v>
      </c>
      <c r="D70" s="353">
        <f>LN_IB9+LN_IB20</f>
        <v>-10895717.159977863</v>
      </c>
      <c r="E70" s="361">
        <f>D70-C70</f>
        <v>-9635484.0085978284</v>
      </c>
      <c r="F70" s="362">
        <f>IF(C70=0,0,E70/C70)</f>
        <v>7.6457947468263052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60244853</v>
      </c>
      <c r="D73" s="400">
        <v>57080304</v>
      </c>
      <c r="E73" s="400">
        <f>D73-C73</f>
        <v>-3164549</v>
      </c>
      <c r="F73" s="401">
        <f>IF(C73=0,0,E73/C73)</f>
        <v>-5.2528122194936716E-2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30009695</v>
      </c>
      <c r="D74" s="400">
        <v>31183459</v>
      </c>
      <c r="E74" s="400">
        <f>D74-C74</f>
        <v>1173764</v>
      </c>
      <c r="F74" s="401">
        <f>IF(C74=0,0,E74/C74)</f>
        <v>3.9112826704836554E-2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30235158</v>
      </c>
      <c r="D76" s="353">
        <f>LN_IB32-LN_IB33</f>
        <v>25896845</v>
      </c>
      <c r="E76" s="400">
        <f>D76-C76</f>
        <v>-4338313</v>
      </c>
      <c r="F76" s="401">
        <f>IF(C76=0,0,E76/C76)</f>
        <v>-0.14348570627611737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0.50187122209427582</v>
      </c>
      <c r="D77" s="366">
        <f>IF(LN_IB1=0,0,LN_IB34/LN_IB32)</f>
        <v>0.4536914344394522</v>
      </c>
      <c r="E77" s="405">
        <f>D77-C77</f>
        <v>-4.8179787654823614E-2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1077749</v>
      </c>
      <c r="D83" s="361">
        <v>786334</v>
      </c>
      <c r="E83" s="361">
        <f t="shared" ref="E83:E95" si="8">D83-C83</f>
        <v>-291415</v>
      </c>
      <c r="F83" s="362">
        <f t="shared" ref="F83:F95" si="9">IF(C83=0,0,E83/C83)</f>
        <v>-0.27039227129879034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254043</v>
      </c>
      <c r="D84" s="361">
        <v>4157</v>
      </c>
      <c r="E84" s="361">
        <f t="shared" si="8"/>
        <v>-249886</v>
      </c>
      <c r="F84" s="362">
        <f t="shared" si="9"/>
        <v>-0.98363662844479083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0.23571629386805276</v>
      </c>
      <c r="D85" s="366">
        <f>IF(LN_IC1=0,0,LN_IC2/LN_IC1)</f>
        <v>5.2865576205530984E-3</v>
      </c>
      <c r="E85" s="367">
        <f t="shared" si="8"/>
        <v>-0.23042973624749966</v>
      </c>
      <c r="F85" s="362">
        <f t="shared" si="9"/>
        <v>-0.97757237086243864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65</v>
      </c>
      <c r="D86" s="369">
        <v>63</v>
      </c>
      <c r="E86" s="369">
        <f t="shared" si="8"/>
        <v>-2</v>
      </c>
      <c r="F86" s="362">
        <f t="shared" si="9"/>
        <v>-3.0769230769230771E-2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1.0134799999999999</v>
      </c>
      <c r="D87" s="372">
        <v>1.2078</v>
      </c>
      <c r="E87" s="373">
        <f t="shared" si="8"/>
        <v>0.19432000000000005</v>
      </c>
      <c r="F87" s="362">
        <f t="shared" si="9"/>
        <v>0.19173540671744885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65.876199999999997</v>
      </c>
      <c r="D88" s="376">
        <f>LN_IC4*LN_IC5</f>
        <v>76.091399999999993</v>
      </c>
      <c r="E88" s="376">
        <f t="shared" si="8"/>
        <v>10.215199999999996</v>
      </c>
      <c r="F88" s="362">
        <f t="shared" si="9"/>
        <v>0.15506662497229645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3856.3699788390954</v>
      </c>
      <c r="D89" s="378">
        <f>IF(LN_IC6=0,0,LN_IC2/LN_IC6)</f>
        <v>54.631666653524583</v>
      </c>
      <c r="E89" s="378">
        <f t="shared" si="8"/>
        <v>-3801.738312185571</v>
      </c>
      <c r="F89" s="362">
        <f t="shared" si="9"/>
        <v>-0.98583339592588304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3004.3034878554413</v>
      </c>
      <c r="D90" s="378">
        <f>LN_IB7-LN_IC7</f>
        <v>8013.2599812545259</v>
      </c>
      <c r="E90" s="378">
        <f t="shared" si="8"/>
        <v>5008.9564933990841</v>
      </c>
      <c r="F90" s="362">
        <f t="shared" si="9"/>
        <v>1.6672604860485059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2671.9758614160078</v>
      </c>
      <c r="D91" s="378">
        <f>LN_IA7-LN_IC7</f>
        <v>6388.0268371571347</v>
      </c>
      <c r="E91" s="378">
        <f t="shared" si="8"/>
        <v>3716.0509757411269</v>
      </c>
      <c r="F91" s="362">
        <f t="shared" si="9"/>
        <v>1.3907502045216134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176019.6162418132</v>
      </c>
      <c r="D92" s="353">
        <f>LN_IC9*LN_IC6</f>
        <v>486073.90527685836</v>
      </c>
      <c r="E92" s="353">
        <f t="shared" si="8"/>
        <v>310054.28903504519</v>
      </c>
      <c r="F92" s="362">
        <f t="shared" si="9"/>
        <v>1.7614757698886077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266</v>
      </c>
      <c r="D93" s="369">
        <v>314</v>
      </c>
      <c r="E93" s="369">
        <f t="shared" si="8"/>
        <v>48</v>
      </c>
      <c r="F93" s="362">
        <f t="shared" si="9"/>
        <v>0.18045112781954886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955.0488721804511</v>
      </c>
      <c r="D94" s="411">
        <f>IF(LN_IC11=0,0,LN_IC2/LN_IC11)</f>
        <v>13.238853503184714</v>
      </c>
      <c r="E94" s="411">
        <f t="shared" si="8"/>
        <v>-941.81001867726638</v>
      </c>
      <c r="F94" s="362">
        <f t="shared" si="9"/>
        <v>-0.9861380355615107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4.092307692307692</v>
      </c>
      <c r="D95" s="379">
        <f>IF(LN_IC4=0,0,LN_IC11/LN_IC4)</f>
        <v>4.9841269841269842</v>
      </c>
      <c r="E95" s="379">
        <f t="shared" si="8"/>
        <v>0.8918192918192922</v>
      </c>
      <c r="F95" s="362">
        <f t="shared" si="9"/>
        <v>0.21792576679794737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4141862</v>
      </c>
      <c r="D98" s="361">
        <v>3146480</v>
      </c>
      <c r="E98" s="361">
        <f t="shared" ref="E98:E106" si="10">D98-C98</f>
        <v>-995382</v>
      </c>
      <c r="F98" s="362">
        <f t="shared" ref="F98:F106" si="11">IF(C98=0,0,E98/C98)</f>
        <v>-0.24032234777498623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671338</v>
      </c>
      <c r="D99" s="361">
        <v>183945</v>
      </c>
      <c r="E99" s="361">
        <f t="shared" si="10"/>
        <v>-487393</v>
      </c>
      <c r="F99" s="362">
        <f t="shared" si="11"/>
        <v>-0.72600240117496706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0.16208603763234988</v>
      </c>
      <c r="D100" s="366">
        <f>IF(LN_IC14=0,0,LN_IC15/LN_IC14)</f>
        <v>5.8460565457272892E-2</v>
      </c>
      <c r="E100" s="367">
        <f t="shared" si="10"/>
        <v>-0.10362547217507699</v>
      </c>
      <c r="F100" s="362">
        <f t="shared" si="11"/>
        <v>-0.63932386582319001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3.8430673561283748</v>
      </c>
      <c r="D101" s="366">
        <f>IF(LN_IC1=0,0,LN_IC14/LN_IC1)</f>
        <v>4.0014548525181413</v>
      </c>
      <c r="E101" s="367">
        <f t="shared" si="10"/>
        <v>0.15838749638976646</v>
      </c>
      <c r="F101" s="362">
        <f t="shared" si="11"/>
        <v>4.1213822634982626E-2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249.79937814834437</v>
      </c>
      <c r="D102" s="376">
        <f>LN_IC17*LN_IC4</f>
        <v>252.09165570864289</v>
      </c>
      <c r="E102" s="376">
        <f t="shared" si="10"/>
        <v>2.2922775602985155</v>
      </c>
      <c r="F102" s="362">
        <f t="shared" si="11"/>
        <v>9.1764742462138449E-3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2687.5086918804227</v>
      </c>
      <c r="D103" s="378">
        <f>IF(LN_IC18=0,0,LN_IC15/LN_IC18)</f>
        <v>729.67508378220987</v>
      </c>
      <c r="E103" s="378">
        <f t="shared" si="10"/>
        <v>-1957.8336080982128</v>
      </c>
      <c r="F103" s="362">
        <f t="shared" si="11"/>
        <v>-0.72849387018292266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4419.4498545831593</v>
      </c>
      <c r="D104" s="378">
        <f>LN_IB18-LN_IC19</f>
        <v>9241.66939768675</v>
      </c>
      <c r="E104" s="378">
        <f t="shared" si="10"/>
        <v>4822.2195431035907</v>
      </c>
      <c r="F104" s="362">
        <f t="shared" si="11"/>
        <v>1.0911357073330614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4138.6095981187664</v>
      </c>
      <c r="D105" s="378">
        <f>LN_IA16-LN_IC19</f>
        <v>5308.4741021231275</v>
      </c>
      <c r="E105" s="378">
        <f t="shared" si="10"/>
        <v>1169.8645040043612</v>
      </c>
      <c r="F105" s="362">
        <f t="shared" si="11"/>
        <v>0.28267090100407904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1033822.1040088373</v>
      </c>
      <c r="D106" s="361">
        <f>LN_IC21*LN_IC18</f>
        <v>1338222.0256906706</v>
      </c>
      <c r="E106" s="361">
        <f t="shared" si="10"/>
        <v>304399.92168183334</v>
      </c>
      <c r="F106" s="362">
        <f t="shared" si="11"/>
        <v>0.29444129749351083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5219611</v>
      </c>
      <c r="D109" s="361">
        <f>LN_IC1+LN_IC14</f>
        <v>3932814</v>
      </c>
      <c r="E109" s="361">
        <f>D109-C109</f>
        <v>-1286797</v>
      </c>
      <c r="F109" s="362">
        <f>IF(C109=0,0,E109/C109)</f>
        <v>-0.24653120701906714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925381</v>
      </c>
      <c r="D110" s="361">
        <f>LN_IC2+LN_IC15</f>
        <v>188102</v>
      </c>
      <c r="E110" s="361">
        <f>D110-C110</f>
        <v>-737279</v>
      </c>
      <c r="F110" s="362">
        <f>IF(C110=0,0,E110/C110)</f>
        <v>-0.79673021166416857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4294230</v>
      </c>
      <c r="D111" s="361">
        <f>LN_IC23-LN_IC24</f>
        <v>3744712</v>
      </c>
      <c r="E111" s="361">
        <f>D111-C111</f>
        <v>-549518</v>
      </c>
      <c r="F111" s="362">
        <f>IF(C111=0,0,E111/C111)</f>
        <v>-0.12796659703835148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1209841.7202506505</v>
      </c>
      <c r="D113" s="361">
        <f>LN_IC10+LN_IC22</f>
        <v>1824295.9309675288</v>
      </c>
      <c r="E113" s="361">
        <f>D113-C113</f>
        <v>614454.2107168783</v>
      </c>
      <c r="F113" s="362">
        <f>IF(C113=0,0,E113/C113)</f>
        <v>0.50787983290043759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319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5770790</v>
      </c>
      <c r="D118" s="361">
        <v>4845721</v>
      </c>
      <c r="E118" s="361">
        <f t="shared" ref="E118:E130" si="12">D118-C118</f>
        <v>-925069</v>
      </c>
      <c r="F118" s="362">
        <f t="shared" ref="F118:F130" si="13">IF(C118=0,0,E118/C118)</f>
        <v>-0.16030196905449687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2072762</v>
      </c>
      <c r="D119" s="361">
        <v>1391859</v>
      </c>
      <c r="E119" s="361">
        <f t="shared" si="12"/>
        <v>-680903</v>
      </c>
      <c r="F119" s="362">
        <f t="shared" si="13"/>
        <v>-0.32850032951202307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0.35918167183349248</v>
      </c>
      <c r="D120" s="366">
        <f>IF(LN_ID1=0,0,LN_1D2/LN_ID1)</f>
        <v>0.28723465506990603</v>
      </c>
      <c r="E120" s="367">
        <f t="shared" si="12"/>
        <v>-7.1947016763586447E-2</v>
      </c>
      <c r="F120" s="362">
        <f t="shared" si="13"/>
        <v>-0.20030815157221959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548</v>
      </c>
      <c r="D121" s="369">
        <v>268</v>
      </c>
      <c r="E121" s="369">
        <f t="shared" si="12"/>
        <v>-280</v>
      </c>
      <c r="F121" s="362">
        <f t="shared" si="13"/>
        <v>-0.51094890510948909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0.8</v>
      </c>
      <c r="D122" s="372">
        <v>1.103</v>
      </c>
      <c r="E122" s="373">
        <f t="shared" si="12"/>
        <v>0.30299999999999994</v>
      </c>
      <c r="F122" s="362">
        <f t="shared" si="13"/>
        <v>0.37874999999999992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438.40000000000003</v>
      </c>
      <c r="D123" s="376">
        <f>LN_ID4*LN_ID5</f>
        <v>295.60399999999998</v>
      </c>
      <c r="E123" s="376">
        <f t="shared" si="12"/>
        <v>-142.79600000000005</v>
      </c>
      <c r="F123" s="362">
        <f t="shared" si="13"/>
        <v>-0.32572080291970812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4728.0155109489051</v>
      </c>
      <c r="D124" s="378">
        <f>IF(LN_ID6=0,0,LN_1D2/LN_ID6)</f>
        <v>4708.5255950528408</v>
      </c>
      <c r="E124" s="378">
        <f t="shared" si="12"/>
        <v>-19.489915896064304</v>
      </c>
      <c r="F124" s="362">
        <f t="shared" si="13"/>
        <v>-4.1222191109421104E-3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2132.6579557456316</v>
      </c>
      <c r="D125" s="378">
        <f>LN_IB7-LN_ID7</f>
        <v>3359.36605285521</v>
      </c>
      <c r="E125" s="378">
        <f t="shared" si="12"/>
        <v>1226.7080971095784</v>
      </c>
      <c r="F125" s="362">
        <f t="shared" si="13"/>
        <v>0.57520151968330524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1800.3303293061981</v>
      </c>
      <c r="D126" s="378">
        <f>LN_IA7-LN_ID7</f>
        <v>1734.1329087578188</v>
      </c>
      <c r="E126" s="378">
        <f t="shared" si="12"/>
        <v>-66.197420548379341</v>
      </c>
      <c r="F126" s="362">
        <f t="shared" si="13"/>
        <v>-3.6769596929409148E-2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789264.81636783737</v>
      </c>
      <c r="D127" s="391">
        <f>LN_ID9*LN_ID6</f>
        <v>512616.62436044624</v>
      </c>
      <c r="E127" s="391">
        <f t="shared" si="12"/>
        <v>-276648.19200739113</v>
      </c>
      <c r="F127" s="362">
        <f t="shared" si="13"/>
        <v>-0.3505137772142361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1644</v>
      </c>
      <c r="D128" s="369">
        <v>1087</v>
      </c>
      <c r="E128" s="369">
        <f t="shared" si="12"/>
        <v>-557</v>
      </c>
      <c r="F128" s="362">
        <f t="shared" si="13"/>
        <v>-0.33880778588807786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1260.8041362530414</v>
      </c>
      <c r="D129" s="378">
        <f>IF(LN_ID11=0,0,LN_1D2/LN_ID11)</f>
        <v>1280.4590616375344</v>
      </c>
      <c r="E129" s="378">
        <f t="shared" si="12"/>
        <v>19.654925384493026</v>
      </c>
      <c r="F129" s="362">
        <f t="shared" si="13"/>
        <v>1.5589198051733163E-2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3</v>
      </c>
      <c r="D130" s="379">
        <f>IF(LN_ID4=0,0,LN_ID11/LN_ID4)</f>
        <v>4.0559701492537314</v>
      </c>
      <c r="E130" s="379">
        <f t="shared" si="12"/>
        <v>1.0559701492537314</v>
      </c>
      <c r="F130" s="362">
        <f t="shared" si="13"/>
        <v>0.35199004975124382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13820160</v>
      </c>
      <c r="D133" s="361">
        <v>18272578</v>
      </c>
      <c r="E133" s="361">
        <f t="shared" ref="E133:E141" si="14">D133-C133</f>
        <v>4452418</v>
      </c>
      <c r="F133" s="362">
        <f t="shared" ref="F133:F141" si="15">IF(C133=0,0,E133/C133)</f>
        <v>0.32216833958506991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3860821</v>
      </c>
      <c r="D134" s="361">
        <v>4333204</v>
      </c>
      <c r="E134" s="361">
        <f t="shared" si="14"/>
        <v>472383</v>
      </c>
      <c r="F134" s="362">
        <f t="shared" si="15"/>
        <v>0.12235299176004275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0.27936152692877653</v>
      </c>
      <c r="D135" s="366">
        <f>IF(LN_ID14=0,0,LN_ID15/LN_ID14)</f>
        <v>0.23714245466622169</v>
      </c>
      <c r="E135" s="367">
        <f t="shared" si="14"/>
        <v>-4.2219072262554835E-2</v>
      </c>
      <c r="F135" s="362">
        <f t="shared" si="15"/>
        <v>-0.15112700995981679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2.3948471526428792</v>
      </c>
      <c r="D136" s="366">
        <f>IF(LN_ID1=0,0,LN_ID14/LN_ID1)</f>
        <v>3.770868772675934</v>
      </c>
      <c r="E136" s="367">
        <f t="shared" si="14"/>
        <v>1.3760216200330548</v>
      </c>
      <c r="F136" s="362">
        <f t="shared" si="15"/>
        <v>0.57457596762053065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1312.3762396482978</v>
      </c>
      <c r="D137" s="376">
        <f>LN_ID17*LN_ID4</f>
        <v>1010.5928310771503</v>
      </c>
      <c r="E137" s="376">
        <f t="shared" si="14"/>
        <v>-301.78340857114745</v>
      </c>
      <c r="F137" s="362">
        <f t="shared" si="15"/>
        <v>-0.22995189904689378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2941.8553028929091</v>
      </c>
      <c r="D138" s="378">
        <f>IF(LN_ID18=0,0,LN_ID15/LN_ID18)</f>
        <v>4287.7842259987256</v>
      </c>
      <c r="E138" s="378">
        <f t="shared" si="14"/>
        <v>1345.9289231058165</v>
      </c>
      <c r="F138" s="362">
        <f t="shared" si="15"/>
        <v>0.45751023912776434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4165.1032435706729</v>
      </c>
      <c r="D139" s="378">
        <f>LN_IB18-LN_ID19</f>
        <v>5683.5602554702336</v>
      </c>
      <c r="E139" s="378">
        <f t="shared" si="14"/>
        <v>1518.4570118995607</v>
      </c>
      <c r="F139" s="362">
        <f t="shared" si="15"/>
        <v>0.36456647605157877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3884.26298710628</v>
      </c>
      <c r="D140" s="378">
        <f>LN_IA16-LN_ID19</f>
        <v>1750.3649599066121</v>
      </c>
      <c r="E140" s="378">
        <f t="shared" si="14"/>
        <v>-2133.8980271996679</v>
      </c>
      <c r="F140" s="362">
        <f t="shared" si="15"/>
        <v>-0.54937012099414806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5097614.4528236045</v>
      </c>
      <c r="D141" s="353">
        <f>LN_ID21*LN_ID18</f>
        <v>1768906.2802502657</v>
      </c>
      <c r="E141" s="353">
        <f t="shared" si="14"/>
        <v>-3328708.1725733387</v>
      </c>
      <c r="F141" s="362">
        <f t="shared" si="15"/>
        <v>-0.65299331743881572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19590950</v>
      </c>
      <c r="D144" s="361">
        <f>LN_ID1+LN_ID14</f>
        <v>23118299</v>
      </c>
      <c r="E144" s="361">
        <f>D144-C144</f>
        <v>3527349</v>
      </c>
      <c r="F144" s="362">
        <f>IF(C144=0,0,E144/C144)</f>
        <v>0.1800499210094457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5933583</v>
      </c>
      <c r="D145" s="361">
        <f>LN_1D2+LN_ID15</f>
        <v>5725063</v>
      </c>
      <c r="E145" s="361">
        <f>D145-C145</f>
        <v>-208520</v>
      </c>
      <c r="F145" s="362">
        <f>IF(C145=0,0,E145/C145)</f>
        <v>-3.5142341482372455E-2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13657367</v>
      </c>
      <c r="D146" s="361">
        <f>LN_ID23-LN_ID24</f>
        <v>17393236</v>
      </c>
      <c r="E146" s="361">
        <f>D146-C146</f>
        <v>3735869</v>
      </c>
      <c r="F146" s="362">
        <f>IF(C146=0,0,E146/C146)</f>
        <v>0.27354240389088175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5886879.2691914421</v>
      </c>
      <c r="D148" s="361">
        <f>LN_ID10+LN_ID22</f>
        <v>2281522.9046107121</v>
      </c>
      <c r="E148" s="361">
        <f>D148-C148</f>
        <v>-3605356.36458073</v>
      </c>
      <c r="F148" s="415">
        <f>IF(C148=0,0,E148/C148)</f>
        <v>-0.61243932476229002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340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1628725</v>
      </c>
      <c r="D153" s="361">
        <v>0</v>
      </c>
      <c r="E153" s="361">
        <f t="shared" ref="E153:E165" si="16">D153-C153</f>
        <v>-1628725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459161</v>
      </c>
      <c r="D154" s="361">
        <v>0</v>
      </c>
      <c r="E154" s="361">
        <f t="shared" si="16"/>
        <v>-459161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0.28191438088075027</v>
      </c>
      <c r="D155" s="366">
        <f>IF(LN_IE1=0,0,LN_IE2/LN_IE1)</f>
        <v>0</v>
      </c>
      <c r="E155" s="367">
        <f t="shared" si="16"/>
        <v>-0.28191438088075027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97</v>
      </c>
      <c r="D156" s="419">
        <v>0</v>
      </c>
      <c r="E156" s="419">
        <f t="shared" si="16"/>
        <v>-97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1.28176</v>
      </c>
      <c r="D157" s="372">
        <v>0</v>
      </c>
      <c r="E157" s="373">
        <f t="shared" si="16"/>
        <v>-1.28176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124.33072</v>
      </c>
      <c r="D158" s="376">
        <f>LN_IE4*LN_IE5</f>
        <v>0</v>
      </c>
      <c r="E158" s="376">
        <f t="shared" si="16"/>
        <v>-124.33072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3693.0615378081943</v>
      </c>
      <c r="D159" s="378">
        <f>IF(LN_IE6=0,0,LN_IE2/LN_IE6)</f>
        <v>0</v>
      </c>
      <c r="E159" s="378">
        <f t="shared" si="16"/>
        <v>-3693.0615378081943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3167.6119288863424</v>
      </c>
      <c r="D160" s="378">
        <f>LN_IB7-LN_IE7</f>
        <v>8067.8916479080508</v>
      </c>
      <c r="E160" s="378">
        <f t="shared" si="16"/>
        <v>4900.2797190217079</v>
      </c>
      <c r="F160" s="362">
        <f t="shared" si="17"/>
        <v>1.5469949694072944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2835.2843024469089</v>
      </c>
      <c r="D161" s="378">
        <f>LN_IA7-LN_IE7</f>
        <v>6442.6585038106596</v>
      </c>
      <c r="E161" s="378">
        <f t="shared" si="16"/>
        <v>3607.3742013637507</v>
      </c>
      <c r="F161" s="362">
        <f t="shared" si="17"/>
        <v>1.2723148074605823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352512.93872792192</v>
      </c>
      <c r="D162" s="391">
        <f>LN_IE9*LN_IE6</f>
        <v>0</v>
      </c>
      <c r="E162" s="391">
        <f t="shared" si="16"/>
        <v>-352512.93872792192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468</v>
      </c>
      <c r="D163" s="369">
        <v>0</v>
      </c>
      <c r="E163" s="419">
        <f t="shared" si="16"/>
        <v>-468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981.11324786324781</v>
      </c>
      <c r="D164" s="378">
        <f>IF(LN_IE11=0,0,LN_IE2/LN_IE11)</f>
        <v>0</v>
      </c>
      <c r="E164" s="378">
        <f t="shared" si="16"/>
        <v>-981.11324786324781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4.8247422680412368</v>
      </c>
      <c r="D165" s="379">
        <f>IF(LN_IE4=0,0,LN_IE11/LN_IE4)</f>
        <v>0</v>
      </c>
      <c r="E165" s="379">
        <f t="shared" si="16"/>
        <v>-4.8247422680412368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2676432</v>
      </c>
      <c r="D168" s="424">
        <v>0</v>
      </c>
      <c r="E168" s="424">
        <f t="shared" ref="E168:E176" si="18">D168-C168</f>
        <v>-2676432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243733</v>
      </c>
      <c r="D169" s="424">
        <v>0</v>
      </c>
      <c r="E169" s="424">
        <f t="shared" si="18"/>
        <v>-243733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9.1066389880258489E-2</v>
      </c>
      <c r="D170" s="366">
        <f>IF(LN_IE14=0,0,LN_IE15/LN_IE14)</f>
        <v>0</v>
      </c>
      <c r="E170" s="367">
        <f t="shared" si="18"/>
        <v>-9.1066389880258489E-2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1.6432682005863481</v>
      </c>
      <c r="D171" s="366">
        <f>IF(LN_IE1=0,0,LN_IE14/LN_IE1)</f>
        <v>0</v>
      </c>
      <c r="E171" s="367">
        <f t="shared" si="18"/>
        <v>-1.6432682005863481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159.39701545687578</v>
      </c>
      <c r="D172" s="376">
        <f>LN_IE17*LN_IE4</f>
        <v>0</v>
      </c>
      <c r="E172" s="376">
        <f t="shared" si="18"/>
        <v>-159.39701545687578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1529.0938748218971</v>
      </c>
      <c r="D173" s="378">
        <f>IF(LN_IE18=0,0,LN_IE15/LN_IE18)</f>
        <v>0</v>
      </c>
      <c r="E173" s="378">
        <f t="shared" si="18"/>
        <v>-1529.0938748218971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5577.8646716416852</v>
      </c>
      <c r="D174" s="378">
        <f>LN_IB18-LN_IE19</f>
        <v>9971.3444814689592</v>
      </c>
      <c r="E174" s="378">
        <f t="shared" si="18"/>
        <v>4393.479809827274</v>
      </c>
      <c r="F174" s="362">
        <f t="shared" si="19"/>
        <v>0.78766339243834305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5297.0244151772922</v>
      </c>
      <c r="D175" s="378">
        <f>LN_IA16-LN_IE19</f>
        <v>6038.1491859053376</v>
      </c>
      <c r="E175" s="378">
        <f t="shared" si="18"/>
        <v>741.12477072804541</v>
      </c>
      <c r="F175" s="362">
        <f t="shared" si="19"/>
        <v>0.13991341414333275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844329.8825814632</v>
      </c>
      <c r="D176" s="353">
        <f>LN_IE21*LN_IE18</f>
        <v>0</v>
      </c>
      <c r="E176" s="353">
        <f t="shared" si="18"/>
        <v>-844329.8825814632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4305157</v>
      </c>
      <c r="D179" s="361">
        <f>LN_IE1+LN_IE14</f>
        <v>0</v>
      </c>
      <c r="E179" s="361">
        <f>D179-C179</f>
        <v>-4305157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702894</v>
      </c>
      <c r="D180" s="361">
        <f>LN_IE15+LN_IE2</f>
        <v>0</v>
      </c>
      <c r="E180" s="361">
        <f>D180-C180</f>
        <v>-702894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3602263</v>
      </c>
      <c r="D181" s="361">
        <f>LN_IE23-LN_IE24</f>
        <v>0</v>
      </c>
      <c r="E181" s="361">
        <f>D181-C181</f>
        <v>-3602263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1196842.8213093851</v>
      </c>
      <c r="D183" s="361">
        <f>LN_IE10+LN_IE22</f>
        <v>0</v>
      </c>
      <c r="E183" s="353">
        <f>D183-C183</f>
        <v>-1196842.8213093851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352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7399515</v>
      </c>
      <c r="D188" s="361">
        <f>LN_ID1+LN_IE1</f>
        <v>4845721</v>
      </c>
      <c r="E188" s="361">
        <f t="shared" ref="E188:E200" si="20">D188-C188</f>
        <v>-2553794</v>
      </c>
      <c r="F188" s="362">
        <f t="shared" ref="F188:F200" si="21">IF(C188=0,0,E188/C188)</f>
        <v>-0.34512991729863374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2531923</v>
      </c>
      <c r="D189" s="361">
        <f>LN_1D2+LN_IE2</f>
        <v>1391859</v>
      </c>
      <c r="E189" s="361">
        <f t="shared" si="20"/>
        <v>-1140064</v>
      </c>
      <c r="F189" s="362">
        <f t="shared" si="21"/>
        <v>-0.45027593651149739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0.34217418303767205</v>
      </c>
      <c r="D190" s="366">
        <f>IF(LN_IF1=0,0,LN_IF2/LN_IF1)</f>
        <v>0.28723465506990603</v>
      </c>
      <c r="E190" s="367">
        <f t="shared" si="20"/>
        <v>-5.4939527967766022E-2</v>
      </c>
      <c r="F190" s="362">
        <f t="shared" si="21"/>
        <v>-0.16056012022893437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645</v>
      </c>
      <c r="D191" s="369">
        <f>LN_ID4+LN_IE4</f>
        <v>268</v>
      </c>
      <c r="E191" s="369">
        <f t="shared" si="20"/>
        <v>-377</v>
      </c>
      <c r="F191" s="362">
        <f t="shared" si="21"/>
        <v>-0.5844961240310077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0.87245072868217055</v>
      </c>
      <c r="D192" s="372">
        <f>IF((LN_ID4+LN_IE4)=0,0,(LN_ID6+LN_IE6)/(LN_ID4+LN_IE4))</f>
        <v>1.103</v>
      </c>
      <c r="E192" s="373">
        <f t="shared" si="20"/>
        <v>0.23054927131782943</v>
      </c>
      <c r="F192" s="362">
        <f t="shared" si="21"/>
        <v>0.26425477535685271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562.73072000000002</v>
      </c>
      <c r="D193" s="376">
        <f>LN_IF4*LN_IF5</f>
        <v>295.60399999999998</v>
      </c>
      <c r="E193" s="376">
        <f t="shared" si="20"/>
        <v>-267.12672000000003</v>
      </c>
      <c r="F193" s="362">
        <f t="shared" si="21"/>
        <v>-0.47469724062692015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4499.3509506642895</v>
      </c>
      <c r="D194" s="378">
        <f>IF(LN_IF6=0,0,LN_IF2/LN_IF6)</f>
        <v>4708.5255950528408</v>
      </c>
      <c r="E194" s="378">
        <f t="shared" si="20"/>
        <v>209.17464438855131</v>
      </c>
      <c r="F194" s="362">
        <f t="shared" si="21"/>
        <v>4.6489959703558695E-2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2361.3225160302472</v>
      </c>
      <c r="D195" s="378">
        <f>LN_IB7-LN_IF7</f>
        <v>3359.36605285521</v>
      </c>
      <c r="E195" s="378">
        <f t="shared" si="20"/>
        <v>998.04353682496276</v>
      </c>
      <c r="F195" s="362">
        <f t="shared" si="21"/>
        <v>0.42266294843231755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2028.9948895908137</v>
      </c>
      <c r="D196" s="378">
        <f>LN_IA7-LN_IF7</f>
        <v>1734.1329087578188</v>
      </c>
      <c r="E196" s="378">
        <f t="shared" si="20"/>
        <v>-294.86198083299496</v>
      </c>
      <c r="F196" s="362">
        <f t="shared" si="21"/>
        <v>-0.14532416140903126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1141777.7550957594</v>
      </c>
      <c r="D197" s="391">
        <f>LN_IF9*LN_IF6</f>
        <v>512616.62436044624</v>
      </c>
      <c r="E197" s="391">
        <f t="shared" si="20"/>
        <v>-629161.13073531317</v>
      </c>
      <c r="F197" s="362">
        <f t="shared" si="21"/>
        <v>-0.55103642361866323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2112</v>
      </c>
      <c r="D198" s="369">
        <f>LN_ID11+LN_IE11</f>
        <v>1087</v>
      </c>
      <c r="E198" s="369">
        <f t="shared" si="20"/>
        <v>-1025</v>
      </c>
      <c r="F198" s="362">
        <f t="shared" si="21"/>
        <v>-0.48532196969696972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1198.827178030303</v>
      </c>
      <c r="D199" s="432">
        <f>IF(LN_IF11=0,0,LN_IF2/LN_IF11)</f>
        <v>1280.4590616375344</v>
      </c>
      <c r="E199" s="432">
        <f t="shared" si="20"/>
        <v>81.63188360723143</v>
      </c>
      <c r="F199" s="362">
        <f t="shared" si="21"/>
        <v>6.8093120595876244E-2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3.2744186046511627</v>
      </c>
      <c r="D200" s="379">
        <f>IF(LN_IF4=0,0,LN_IF11/LN_IF4)</f>
        <v>4.0559701492537314</v>
      </c>
      <c r="E200" s="379">
        <f t="shared" si="20"/>
        <v>0.7815515446025687</v>
      </c>
      <c r="F200" s="362">
        <f t="shared" si="21"/>
        <v>0.23868406546811402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16496592</v>
      </c>
      <c r="D203" s="361">
        <f>LN_ID14+LN_IE14</f>
        <v>18272578</v>
      </c>
      <c r="E203" s="361">
        <f t="shared" ref="E203:E211" si="22">D203-C203</f>
        <v>1775986</v>
      </c>
      <c r="F203" s="362">
        <f t="shared" ref="F203:F211" si="23">IF(C203=0,0,E203/C203)</f>
        <v>0.10765775137070735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4104554</v>
      </c>
      <c r="D204" s="361">
        <f>LN_ID15+LN_IE15</f>
        <v>4333204</v>
      </c>
      <c r="E204" s="361">
        <f t="shared" si="22"/>
        <v>228650</v>
      </c>
      <c r="F204" s="362">
        <f t="shared" si="23"/>
        <v>5.5706417798377122E-2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0.24881223952195702</v>
      </c>
      <c r="D205" s="366">
        <f>IF(LN_IF14=0,0,LN_IF15/LN_IF14)</f>
        <v>0.23714245466622169</v>
      </c>
      <c r="E205" s="367">
        <f t="shared" si="22"/>
        <v>-1.1669784855735332E-2</v>
      </c>
      <c r="F205" s="362">
        <f t="shared" si="23"/>
        <v>-4.6901972660816409E-2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2.2294153062734519</v>
      </c>
      <c r="D206" s="366">
        <f>IF(LN_IF1=0,0,LN_IF14/LN_IF1)</f>
        <v>3.770868772675934</v>
      </c>
      <c r="E206" s="367">
        <f t="shared" si="22"/>
        <v>1.5414534664024822</v>
      </c>
      <c r="F206" s="362">
        <f t="shared" si="23"/>
        <v>0.69141602377310185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1471.7732551051736</v>
      </c>
      <c r="D207" s="376">
        <f>LN_ID18+LN_IE18</f>
        <v>1010.5928310771503</v>
      </c>
      <c r="E207" s="376">
        <f t="shared" si="22"/>
        <v>-461.18042402802325</v>
      </c>
      <c r="F207" s="362">
        <f t="shared" si="23"/>
        <v>-0.31335018653744123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2788.8494275612356</v>
      </c>
      <c r="D208" s="378">
        <f>IF(LN_IF18=0,0,LN_IF15/LN_IF18)</f>
        <v>4287.7842259987256</v>
      </c>
      <c r="E208" s="378">
        <f t="shared" si="22"/>
        <v>1498.9347984374899</v>
      </c>
      <c r="F208" s="362">
        <f t="shared" si="23"/>
        <v>0.537474265775712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4318.1091189023464</v>
      </c>
      <c r="D209" s="378">
        <f>LN_IB18-LN_IF19</f>
        <v>5683.5602554702336</v>
      </c>
      <c r="E209" s="378">
        <f t="shared" si="22"/>
        <v>1365.4511365678873</v>
      </c>
      <c r="F209" s="362">
        <f t="shared" si="23"/>
        <v>0.31621506056683019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4037.2688624379534</v>
      </c>
      <c r="D210" s="378">
        <f>LN_IA16-LN_IF19</f>
        <v>1750.3649599066121</v>
      </c>
      <c r="E210" s="378">
        <f t="shared" si="22"/>
        <v>-2286.9039025313414</v>
      </c>
      <c r="F210" s="362">
        <f t="shared" si="23"/>
        <v>-0.56644825510837216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5941944.3354050675</v>
      </c>
      <c r="D211" s="353">
        <f>LN_IF21*LN_IF18</f>
        <v>1768906.2802502657</v>
      </c>
      <c r="E211" s="353">
        <f t="shared" si="22"/>
        <v>-4173038.0551548018</v>
      </c>
      <c r="F211" s="362">
        <f t="shared" si="23"/>
        <v>-0.70230177524379689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23896107</v>
      </c>
      <c r="D214" s="361">
        <f>LN_IF1+LN_IF14</f>
        <v>23118299</v>
      </c>
      <c r="E214" s="361">
        <f>D214-C214</f>
        <v>-777808</v>
      </c>
      <c r="F214" s="362">
        <f>IF(C214=0,0,E214/C214)</f>
        <v>-3.2549569685137413E-2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6636477</v>
      </c>
      <c r="D215" s="361">
        <f>LN_IF2+LN_IF15</f>
        <v>5725063</v>
      </c>
      <c r="E215" s="361">
        <f>D215-C215</f>
        <v>-911414</v>
      </c>
      <c r="F215" s="362">
        <f>IF(C215=0,0,E215/C215)</f>
        <v>-0.13733401019848332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17259630</v>
      </c>
      <c r="D216" s="361">
        <f>LN_IF23-LN_IF24</f>
        <v>17393236</v>
      </c>
      <c r="E216" s="361">
        <f>D216-C216</f>
        <v>133606</v>
      </c>
      <c r="F216" s="362">
        <f>IF(C216=0,0,E216/C216)</f>
        <v>7.740953890668572E-3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364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270821</v>
      </c>
      <c r="D221" s="361">
        <v>15966</v>
      </c>
      <c r="E221" s="361">
        <f t="shared" ref="E221:E230" si="24">D221-C221</f>
        <v>-254855</v>
      </c>
      <c r="F221" s="362">
        <f t="shared" ref="F221:F230" si="25">IF(C221=0,0,E221/C221)</f>
        <v>-0.94104593070699838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91096</v>
      </c>
      <c r="D222" s="361">
        <v>5231</v>
      </c>
      <c r="E222" s="361">
        <f t="shared" si="24"/>
        <v>-85865</v>
      </c>
      <c r="F222" s="362">
        <f t="shared" si="25"/>
        <v>-0.94257706156142973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0.33636977930071893</v>
      </c>
      <c r="D223" s="366">
        <f>IF(LN_IG1=0,0,LN_IG2/LN_IG1)</f>
        <v>0.32763372165852439</v>
      </c>
      <c r="E223" s="367">
        <f t="shared" si="24"/>
        <v>-8.7360576421945391E-3</v>
      </c>
      <c r="F223" s="362">
        <f t="shared" si="25"/>
        <v>-2.5971588947009388E-2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17</v>
      </c>
      <c r="D224" s="369">
        <v>3</v>
      </c>
      <c r="E224" s="369">
        <f t="shared" si="24"/>
        <v>-14</v>
      </c>
      <c r="F224" s="362">
        <f t="shared" si="25"/>
        <v>-0.82352941176470584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1.0069999999999999</v>
      </c>
      <c r="D225" s="372">
        <v>0.78386999999999996</v>
      </c>
      <c r="E225" s="373">
        <f t="shared" si="24"/>
        <v>-0.22312999999999994</v>
      </c>
      <c r="F225" s="362">
        <f t="shared" si="25"/>
        <v>-0.22157894736842101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17.119</v>
      </c>
      <c r="D226" s="376">
        <f>LN_IG3*LN_IG4</f>
        <v>2.35161</v>
      </c>
      <c r="E226" s="376">
        <f t="shared" si="24"/>
        <v>-14.767389999999999</v>
      </c>
      <c r="F226" s="362">
        <f t="shared" si="25"/>
        <v>-0.86263157894736842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5321.3388632513579</v>
      </c>
      <c r="D227" s="378">
        <f>IF(LN_IG5=0,0,LN_IG2/LN_IG5)</f>
        <v>2224.4334732374841</v>
      </c>
      <c r="E227" s="378">
        <f t="shared" si="24"/>
        <v>-3096.9053900138738</v>
      </c>
      <c r="F227" s="362">
        <f t="shared" si="25"/>
        <v>-0.58197860906787902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48</v>
      </c>
      <c r="D228" s="369">
        <v>10</v>
      </c>
      <c r="E228" s="369">
        <f t="shared" si="24"/>
        <v>-38</v>
      </c>
      <c r="F228" s="362">
        <f t="shared" si="25"/>
        <v>-0.79166666666666663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1897.8333333333333</v>
      </c>
      <c r="D229" s="378">
        <f>IF(LN_IG6=0,0,LN_IG2/LN_IG6)</f>
        <v>523.1</v>
      </c>
      <c r="E229" s="378">
        <f t="shared" si="24"/>
        <v>-1374.7333333333331</v>
      </c>
      <c r="F229" s="362">
        <f t="shared" si="25"/>
        <v>-0.72436989549486253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2.8235294117647061</v>
      </c>
      <c r="D230" s="379">
        <f>IF(LN_IG3=0,0,LN_IG6/LN_IG3)</f>
        <v>3.3333333333333335</v>
      </c>
      <c r="E230" s="379">
        <f t="shared" si="24"/>
        <v>0.50980392156862742</v>
      </c>
      <c r="F230" s="362">
        <f t="shared" si="25"/>
        <v>0.18055555555555552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400126</v>
      </c>
      <c r="D233" s="361">
        <v>482355</v>
      </c>
      <c r="E233" s="361">
        <f>D233-C233</f>
        <v>82229</v>
      </c>
      <c r="F233" s="362">
        <f>IF(C233=0,0,E233/C233)</f>
        <v>0.20550776505400797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255010</v>
      </c>
      <c r="D234" s="361">
        <v>310999</v>
      </c>
      <c r="E234" s="361">
        <f>D234-C234</f>
        <v>55989</v>
      </c>
      <c r="F234" s="362">
        <f>IF(C234=0,0,E234/C234)</f>
        <v>0.21955609583937885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670947</v>
      </c>
      <c r="D237" s="361">
        <f>LN_IG1+LN_IG9</f>
        <v>498321</v>
      </c>
      <c r="E237" s="361">
        <f>D237-C237</f>
        <v>-172626</v>
      </c>
      <c r="F237" s="362">
        <f>IF(C237=0,0,E237/C237)</f>
        <v>-0.25728708824989155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346106</v>
      </c>
      <c r="D238" s="361">
        <f>LN_IG2+LN_IG10</f>
        <v>316230</v>
      </c>
      <c r="E238" s="361">
        <f>D238-C238</f>
        <v>-29876</v>
      </c>
      <c r="F238" s="362">
        <f>IF(C238=0,0,E238/C238)</f>
        <v>-8.6320375838615918E-2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324841</v>
      </c>
      <c r="D239" s="361">
        <f>LN_IG13-LN_IG14</f>
        <v>182091</v>
      </c>
      <c r="E239" s="361">
        <f>D239-C239</f>
        <v>-142750</v>
      </c>
      <c r="F239" s="362">
        <f>IF(C239=0,0,E239/C239)</f>
        <v>-0.43944575961778226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368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5266293</v>
      </c>
      <c r="D243" s="361">
        <v>4793055</v>
      </c>
      <c r="E243" s="353">
        <f>D243-C243</f>
        <v>-473238</v>
      </c>
      <c r="F243" s="415">
        <f>IF(C243=0,0,E243/C243)</f>
        <v>-8.9861692085875203E-2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65883977</v>
      </c>
      <c r="D244" s="361">
        <v>68017199</v>
      </c>
      <c r="E244" s="353">
        <f>D244-C244</f>
        <v>2133222</v>
      </c>
      <c r="F244" s="415">
        <f>IF(C244=0,0,E244/C244)</f>
        <v>3.2378464341944628E-2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327558</v>
      </c>
      <c r="D245" s="400">
        <v>0</v>
      </c>
      <c r="E245" s="400">
        <f>D245-C245</f>
        <v>-327558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772244</v>
      </c>
      <c r="D248" s="353">
        <v>821721</v>
      </c>
      <c r="E248" s="353">
        <f>D248-C248</f>
        <v>49477</v>
      </c>
      <c r="F248" s="362">
        <f>IF(C248=0,0,E248/C248)</f>
        <v>6.4069128410191592E-2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3601814</v>
      </c>
      <c r="D249" s="353">
        <v>2925278</v>
      </c>
      <c r="E249" s="353">
        <f>D249-C249</f>
        <v>-676536</v>
      </c>
      <c r="F249" s="362">
        <f>IF(C249=0,0,E249/C249)</f>
        <v>-0.18783202019871098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4374058</v>
      </c>
      <c r="D250" s="353">
        <f>LN_IH4+LN_IH5</f>
        <v>3746999</v>
      </c>
      <c r="E250" s="353">
        <f>D250-C250</f>
        <v>-627059</v>
      </c>
      <c r="F250" s="362">
        <f>IF(C250=0,0,E250/C250)</f>
        <v>-0.14335863859144071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1670678.9811256859</v>
      </c>
      <c r="D251" s="353">
        <f>LN_IH6*LN_III10</f>
        <v>1425033.03571563</v>
      </c>
      <c r="E251" s="353">
        <f>D251-C251</f>
        <v>-245645.94541005581</v>
      </c>
      <c r="F251" s="362">
        <f>IF(C251=0,0,E251/C251)</f>
        <v>-0.14703360022195416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23896107</v>
      </c>
      <c r="D254" s="353">
        <f>LN_IF23</f>
        <v>23118299</v>
      </c>
      <c r="E254" s="353">
        <f>D254-C254</f>
        <v>-777808</v>
      </c>
      <c r="F254" s="362">
        <f>IF(C254=0,0,E254/C254)</f>
        <v>-3.2549569685137413E-2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6636477</v>
      </c>
      <c r="D255" s="353">
        <f>LN_IF24</f>
        <v>5725063</v>
      </c>
      <c r="E255" s="353">
        <f>D255-C255</f>
        <v>-911414</v>
      </c>
      <c r="F255" s="362">
        <f>IF(C255=0,0,E255/C255)</f>
        <v>-0.13733401019848332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9127159.1953353994</v>
      </c>
      <c r="D256" s="353">
        <f>LN_IH8*LN_III10</f>
        <v>8792193.3805030677</v>
      </c>
      <c r="E256" s="353">
        <f>D256-C256</f>
        <v>-334965.81483233161</v>
      </c>
      <c r="F256" s="362">
        <f>IF(C256=0,0,E256/C256)</f>
        <v>-3.6699898365257173E-2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2490682.1953353994</v>
      </c>
      <c r="D257" s="353">
        <f>LN_IH10-LN_IH9</f>
        <v>3067130.3805030677</v>
      </c>
      <c r="E257" s="353">
        <f>D257-C257</f>
        <v>576448.18516766839</v>
      </c>
      <c r="F257" s="362">
        <f>IF(C257=0,0,E257/C257)</f>
        <v>0.23144188618172659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59163079</v>
      </c>
      <c r="D261" s="361">
        <f>LN_IA1+LN_IB1+LN_IF1+LN_IG1</f>
        <v>54124323</v>
      </c>
      <c r="E261" s="361">
        <f t="shared" ref="E261:E274" si="26">D261-C261</f>
        <v>-5038756</v>
      </c>
      <c r="F261" s="415">
        <f t="shared" ref="F261:F274" si="27">IF(C261=0,0,E261/C261)</f>
        <v>-8.5167237492828937E-2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25829094</v>
      </c>
      <c r="D262" s="361">
        <f>+LN_IA2+LN_IB2+LN_IF2+LN_IG2</f>
        <v>23566590</v>
      </c>
      <c r="E262" s="361">
        <f t="shared" si="26"/>
        <v>-2262504</v>
      </c>
      <c r="F262" s="415">
        <f t="shared" si="27"/>
        <v>-8.7595174650725263E-2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0.43657454000999507</v>
      </c>
      <c r="D263" s="366">
        <f>IF(LN_IIA1=0,0,LN_IIA2/LN_IIA1)</f>
        <v>0.43541588501716688</v>
      </c>
      <c r="E263" s="367">
        <f t="shared" si="26"/>
        <v>-1.1586549928281897E-3</v>
      </c>
      <c r="F263" s="371">
        <f t="shared" si="27"/>
        <v>-2.6539683069967002E-3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3386</v>
      </c>
      <c r="D264" s="369">
        <f>LN_IA4+LN_IB4+LN_IF4+LN_IG3</f>
        <v>2515</v>
      </c>
      <c r="E264" s="369">
        <f t="shared" si="26"/>
        <v>-871</v>
      </c>
      <c r="F264" s="415">
        <f t="shared" si="27"/>
        <v>-0.25723567631423511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1.2027995629060839</v>
      </c>
      <c r="D265" s="439">
        <f>IF(LN_IIA4=0,0,LN_IIA6/LN_IIA4)</f>
        <v>1.3970120119284293</v>
      </c>
      <c r="E265" s="439">
        <f t="shared" si="26"/>
        <v>0.19421244902234536</v>
      </c>
      <c r="F265" s="415">
        <f t="shared" si="27"/>
        <v>0.16146700997555127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4072.6793200000002</v>
      </c>
      <c r="D266" s="376">
        <f>LN_IA6+LN_IB6+LN_IF6+LN_IG5</f>
        <v>3513.4852099999998</v>
      </c>
      <c r="E266" s="376">
        <f t="shared" si="26"/>
        <v>-559.19411000000036</v>
      </c>
      <c r="F266" s="415">
        <f t="shared" si="27"/>
        <v>-0.13730374185218205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87971061</v>
      </c>
      <c r="D267" s="361">
        <f>LN_IA11+LN_IB13+LN_IF14+LN_IG9</f>
        <v>93948299</v>
      </c>
      <c r="E267" s="361">
        <f t="shared" si="26"/>
        <v>5977238</v>
      </c>
      <c r="F267" s="415">
        <f t="shared" si="27"/>
        <v>6.7945503124033024E-2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1.4869249959083435</v>
      </c>
      <c r="D268" s="366">
        <f>IF(LN_IIA1=0,0,LN_IIA7/LN_IIA1)</f>
        <v>1.7357870508606639</v>
      </c>
      <c r="E268" s="367">
        <f t="shared" si="26"/>
        <v>0.24886205495232039</v>
      </c>
      <c r="F268" s="371">
        <f t="shared" si="27"/>
        <v>0.16736691873304191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34415544</v>
      </c>
      <c r="D269" s="361">
        <f>LN_IA12+LN_IB14+LN_IF15+LN_IG10</f>
        <v>36462630</v>
      </c>
      <c r="E269" s="361">
        <f t="shared" si="26"/>
        <v>2047086</v>
      </c>
      <c r="F269" s="415">
        <f t="shared" si="27"/>
        <v>5.9481436643860693E-2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0.39121437901038841</v>
      </c>
      <c r="D270" s="366">
        <f>IF(LN_IIA7=0,0,LN_IIA9/LN_IIA7)</f>
        <v>0.38811378586002926</v>
      </c>
      <c r="E270" s="367">
        <f t="shared" si="26"/>
        <v>-3.1005931503591544E-3</v>
      </c>
      <c r="F270" s="371">
        <f t="shared" si="27"/>
        <v>-7.92556029817304E-3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147134140</v>
      </c>
      <c r="D271" s="353">
        <f>LN_IIA1+LN_IIA7</f>
        <v>148072622</v>
      </c>
      <c r="E271" s="353">
        <f t="shared" si="26"/>
        <v>938482</v>
      </c>
      <c r="F271" s="415">
        <f t="shared" si="27"/>
        <v>6.3784108841088817E-3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60244638</v>
      </c>
      <c r="D272" s="353">
        <f>LN_IIA2+LN_IIA9</f>
        <v>60029220</v>
      </c>
      <c r="E272" s="353">
        <f t="shared" si="26"/>
        <v>-215418</v>
      </c>
      <c r="F272" s="415">
        <f t="shared" si="27"/>
        <v>-3.5757207139330807E-3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0.40945383579908784</v>
      </c>
      <c r="D273" s="366">
        <f>IF(LN_IIA11=0,0,LN_IIA12/LN_IIA11)</f>
        <v>0.40540391052168984</v>
      </c>
      <c r="E273" s="367">
        <f t="shared" si="26"/>
        <v>-4.0499252773980032E-3</v>
      </c>
      <c r="F273" s="371">
        <f t="shared" si="27"/>
        <v>-9.8910424651272137E-3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14180</v>
      </c>
      <c r="D274" s="421">
        <f>LN_IA8+LN_IB10+LN_IF11+LN_IG6</f>
        <v>12370</v>
      </c>
      <c r="E274" s="442">
        <f t="shared" si="26"/>
        <v>-1810</v>
      </c>
      <c r="F274" s="371">
        <f t="shared" si="27"/>
        <v>-0.12764456981664316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42887240</v>
      </c>
      <c r="D277" s="361">
        <f>LN_IA1+LN_IF1+LN_IG1</f>
        <v>41772223</v>
      </c>
      <c r="E277" s="361">
        <f t="shared" ref="E277:E291" si="28">D277-C277</f>
        <v>-1115017</v>
      </c>
      <c r="F277" s="415">
        <f t="shared" ref="F277:F291" si="29">IF(C277=0,0,E277/C277)</f>
        <v>-2.5998805239040797E-2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17495495</v>
      </c>
      <c r="D278" s="361">
        <f>LN_IA2+LN_IF2+LN_IG2</f>
        <v>16353982</v>
      </c>
      <c r="E278" s="361">
        <f t="shared" si="28"/>
        <v>-1141513</v>
      </c>
      <c r="F278" s="415">
        <f t="shared" si="29"/>
        <v>-6.5246110498731247E-2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0.40794173278578899</v>
      </c>
      <c r="D279" s="366">
        <f>IF(D277=0,0,LN_IIB2/D277)</f>
        <v>0.39150375118891806</v>
      </c>
      <c r="E279" s="367">
        <f t="shared" si="28"/>
        <v>-1.6437981596870932E-2</v>
      </c>
      <c r="F279" s="371">
        <f t="shared" si="29"/>
        <v>-4.0294925171341929E-2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2257</v>
      </c>
      <c r="D280" s="369">
        <f>LN_IA4+LN_IF4+LN_IG3</f>
        <v>1852</v>
      </c>
      <c r="E280" s="369">
        <f t="shared" si="28"/>
        <v>-405</v>
      </c>
      <c r="F280" s="415">
        <f t="shared" si="29"/>
        <v>-0.179441736818786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1.2662774568010635</v>
      </c>
      <c r="D281" s="439">
        <f>IF(LN_IIB4=0,0,LN_IIB6/LN_IIB4)</f>
        <v>1.4144146922246219</v>
      </c>
      <c r="E281" s="439">
        <f t="shared" si="28"/>
        <v>0.14813723542355839</v>
      </c>
      <c r="F281" s="415">
        <f t="shared" si="29"/>
        <v>0.11698639553908702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2857.9882200000002</v>
      </c>
      <c r="D282" s="376">
        <f>LN_IA6+LN_IF6+LN_IG5</f>
        <v>2619.4960099999998</v>
      </c>
      <c r="E282" s="376">
        <f t="shared" si="28"/>
        <v>-238.49221000000034</v>
      </c>
      <c r="F282" s="415">
        <f t="shared" si="29"/>
        <v>-8.344758327940216E-2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44002047</v>
      </c>
      <c r="D283" s="361">
        <f>LN_IA11+LN_IF14+LN_IG9</f>
        <v>49220095</v>
      </c>
      <c r="E283" s="361">
        <f t="shared" si="28"/>
        <v>5218048</v>
      </c>
      <c r="F283" s="415">
        <f t="shared" si="29"/>
        <v>0.1185864830333916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1.0259939086777325</v>
      </c>
      <c r="D284" s="366">
        <f>IF(D277=0,0,LN_IIB7/D277)</f>
        <v>1.1782972383346704</v>
      </c>
      <c r="E284" s="367">
        <f t="shared" si="28"/>
        <v>0.15230332965693782</v>
      </c>
      <c r="F284" s="371">
        <f t="shared" si="29"/>
        <v>0.14844467239890477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12739448</v>
      </c>
      <c r="D285" s="361">
        <f>LN_IA12+LN_IF15+LN_IG10</f>
        <v>12523525</v>
      </c>
      <c r="E285" s="361">
        <f t="shared" si="28"/>
        <v>-215923</v>
      </c>
      <c r="F285" s="415">
        <f t="shared" si="29"/>
        <v>-1.694916451639035E-2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0.28951943985696849</v>
      </c>
      <c r="D286" s="366">
        <f>IF(LN_IIB7=0,0,LN_IIB9/LN_IIB7)</f>
        <v>0.2544392691643525</v>
      </c>
      <c r="E286" s="367">
        <f t="shared" si="28"/>
        <v>-3.5080170692615986E-2</v>
      </c>
      <c r="F286" s="371">
        <f t="shared" si="29"/>
        <v>-0.12116689197086962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86889287</v>
      </c>
      <c r="D287" s="353">
        <f>D277+LN_IIB7</f>
        <v>90992318</v>
      </c>
      <c r="E287" s="353">
        <f t="shared" si="28"/>
        <v>4103031</v>
      </c>
      <c r="F287" s="415">
        <f t="shared" si="29"/>
        <v>4.7221368038156415E-2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30234943</v>
      </c>
      <c r="D288" s="353">
        <f>LN_IIB2+LN_IIB9</f>
        <v>28877507</v>
      </c>
      <c r="E288" s="353">
        <f t="shared" si="28"/>
        <v>-1357436</v>
      </c>
      <c r="F288" s="415">
        <f t="shared" si="29"/>
        <v>-4.489626456381942E-2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0.3479708954223551</v>
      </c>
      <c r="D289" s="366">
        <f>IF(LN_IIB11=0,0,LN_IIB12/LN_IIB11)</f>
        <v>0.31736203269379287</v>
      </c>
      <c r="E289" s="367">
        <f t="shared" si="28"/>
        <v>-3.0608862728562225E-2</v>
      </c>
      <c r="F289" s="371">
        <f t="shared" si="29"/>
        <v>-8.7963858849201285E-2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10451</v>
      </c>
      <c r="D290" s="421">
        <f>LN_IA8+LN_IF11+LN_IG6</f>
        <v>9737</v>
      </c>
      <c r="E290" s="442">
        <f t="shared" si="28"/>
        <v>-714</v>
      </c>
      <c r="F290" s="371">
        <f t="shared" si="29"/>
        <v>-6.831882116543872E-2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56654344</v>
      </c>
      <c r="D291" s="429">
        <f>LN_IIB11-LN_IIB12</f>
        <v>62114811</v>
      </c>
      <c r="E291" s="353">
        <f t="shared" si="28"/>
        <v>5460467</v>
      </c>
      <c r="F291" s="415">
        <f t="shared" si="29"/>
        <v>9.6382141500041027E-2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5.1981191222570535</v>
      </c>
      <c r="D294" s="379">
        <f>IF(LN_IA4=0,0,LN_IA8/LN_IA4)</f>
        <v>5.4648956356736242</v>
      </c>
      <c r="E294" s="379">
        <f t="shared" ref="E294:E300" si="30">D294-C294</f>
        <v>0.26677651341657072</v>
      </c>
      <c r="F294" s="415">
        <f t="shared" ref="F294:F300" si="31">IF(C294=0,0,E294/C294)</f>
        <v>5.1321739102572698E-2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3.3029229406554474</v>
      </c>
      <c r="D295" s="379">
        <f>IF(LN_IB4=0,0,(LN_IB10)/(LN_IB4))</f>
        <v>3.9713423831070891</v>
      </c>
      <c r="E295" s="379">
        <f t="shared" si="30"/>
        <v>0.66841944245164164</v>
      </c>
      <c r="F295" s="415">
        <f t="shared" si="31"/>
        <v>0.20237209721853133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4.092307692307692</v>
      </c>
      <c r="D296" s="379">
        <f>IF(LN_IC4=0,0,LN_IC11/LN_IC4)</f>
        <v>4.9841269841269842</v>
      </c>
      <c r="E296" s="379">
        <f t="shared" si="30"/>
        <v>0.8918192918192922</v>
      </c>
      <c r="F296" s="415">
        <f t="shared" si="31"/>
        <v>0.21792576679794737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</v>
      </c>
      <c r="D297" s="379">
        <f>IF(LN_ID4=0,0,LN_ID11/LN_ID4)</f>
        <v>4.0559701492537314</v>
      </c>
      <c r="E297" s="379">
        <f t="shared" si="30"/>
        <v>1.0559701492537314</v>
      </c>
      <c r="F297" s="415">
        <f t="shared" si="31"/>
        <v>0.35199004975124382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4.8247422680412368</v>
      </c>
      <c r="D298" s="379">
        <f>IF(LN_IE4=0,0,LN_IE11/LN_IE4)</f>
        <v>0</v>
      </c>
      <c r="E298" s="379">
        <f t="shared" si="30"/>
        <v>-4.8247422680412368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416</v>
      </c>
      <c r="C299" s="379">
        <f>IF(C224=0,0,C228/C224)</f>
        <v>2.8235294117647061</v>
      </c>
      <c r="D299" s="379">
        <f>IF(LN_IG3=0,0,LN_IG6/LN_IG3)</f>
        <v>3.3333333333333335</v>
      </c>
      <c r="E299" s="379">
        <f t="shared" si="30"/>
        <v>0.50980392156862742</v>
      </c>
      <c r="F299" s="415">
        <f t="shared" si="31"/>
        <v>0.18055555555555552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4.1878322504430008</v>
      </c>
      <c r="D300" s="379">
        <f>IF(LN_IIA4=0,0,LN_IIA14/LN_IIA4)</f>
        <v>4.9184890656063622</v>
      </c>
      <c r="E300" s="379">
        <f t="shared" si="30"/>
        <v>0.73065681516336145</v>
      </c>
      <c r="F300" s="415">
        <f t="shared" si="31"/>
        <v>0.17447136644168842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147134140</v>
      </c>
      <c r="D304" s="353">
        <f>LN_IIA11</f>
        <v>148072622</v>
      </c>
      <c r="E304" s="353">
        <f t="shared" ref="E304:E316" si="32">D304-C304</f>
        <v>938482</v>
      </c>
      <c r="F304" s="362">
        <f>IF(C304=0,0,E304/C304)</f>
        <v>6.3784108841088817E-3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56654344</v>
      </c>
      <c r="D305" s="353">
        <f>LN_IIB14</f>
        <v>62114811</v>
      </c>
      <c r="E305" s="353">
        <f t="shared" si="32"/>
        <v>5460467</v>
      </c>
      <c r="F305" s="362">
        <f>IF(C305=0,0,E305/C305)</f>
        <v>9.6382141500041027E-2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4374058</v>
      </c>
      <c r="D306" s="353">
        <f>LN_IH6</f>
        <v>3746999</v>
      </c>
      <c r="E306" s="353">
        <f t="shared" si="32"/>
        <v>-627059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30235158</v>
      </c>
      <c r="D307" s="353">
        <f>LN_IB32-LN_IB33</f>
        <v>25896845</v>
      </c>
      <c r="E307" s="353">
        <f t="shared" si="32"/>
        <v>-4338313</v>
      </c>
      <c r="F307" s="362">
        <f t="shared" ref="F307:F316" si="33">IF(C307=0,0,E307/C307)</f>
        <v>-0.14348570627611737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91263560</v>
      </c>
      <c r="D309" s="353">
        <f>LN_III2+LN_III3+LN_III4+LN_III5</f>
        <v>91758655</v>
      </c>
      <c r="E309" s="353">
        <f t="shared" si="32"/>
        <v>495095</v>
      </c>
      <c r="F309" s="362">
        <f t="shared" si="33"/>
        <v>5.424892476252296E-3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55870580</v>
      </c>
      <c r="D310" s="353">
        <f>LN_III1-LN_III6</f>
        <v>56313967</v>
      </c>
      <c r="E310" s="353">
        <f t="shared" si="32"/>
        <v>443387</v>
      </c>
      <c r="F310" s="362">
        <f t="shared" si="33"/>
        <v>7.9359655833177323E-3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327558</v>
      </c>
      <c r="D311" s="353">
        <f>LN_IH3</f>
        <v>0</v>
      </c>
      <c r="E311" s="353">
        <f t="shared" si="32"/>
        <v>-327558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56198138</v>
      </c>
      <c r="D312" s="353">
        <f>LN_III7+LN_III8</f>
        <v>56313967</v>
      </c>
      <c r="E312" s="353">
        <f t="shared" si="32"/>
        <v>115829</v>
      </c>
      <c r="F312" s="362">
        <f t="shared" si="33"/>
        <v>2.0610825219867603E-3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0.38195172106215458</v>
      </c>
      <c r="D313" s="448">
        <f>IF(LN_III1=0,0,LN_III9/LN_III1)</f>
        <v>0.38031316147018723</v>
      </c>
      <c r="E313" s="448">
        <f t="shared" si="32"/>
        <v>-1.6385595919673479E-3</v>
      </c>
      <c r="F313" s="362">
        <f t="shared" si="33"/>
        <v>-4.2899652013891751E-3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1670678.9811256859</v>
      </c>
      <c r="D314" s="353">
        <f>D313*LN_III5</f>
        <v>1425033.03571563</v>
      </c>
      <c r="E314" s="353">
        <f t="shared" si="32"/>
        <v>-245645.94541005581</v>
      </c>
      <c r="F314" s="362">
        <f t="shared" si="33"/>
        <v>-0.14703360022195416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2490682.1953353994</v>
      </c>
      <c r="D315" s="353">
        <f>D313*LN_IH8-LN_IH9</f>
        <v>3067130.3805030677</v>
      </c>
      <c r="E315" s="353">
        <f t="shared" si="32"/>
        <v>576448.18516766839</v>
      </c>
      <c r="F315" s="362">
        <f t="shared" si="33"/>
        <v>0.23144188618172659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4161361.1764610852</v>
      </c>
      <c r="D318" s="353">
        <f>D314+D315+D316</f>
        <v>4492163.416218698</v>
      </c>
      <c r="E318" s="353">
        <f>D318-C318</f>
        <v>330802.23975761281</v>
      </c>
      <c r="F318" s="362">
        <f>IF(C318=0,0,E318/C318)</f>
        <v>7.9493758347343083E-2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5097614.4528236045</v>
      </c>
      <c r="D322" s="353">
        <f>LN_ID22</f>
        <v>1768906.2802502657</v>
      </c>
      <c r="E322" s="353">
        <f>LN_IV2-C322</f>
        <v>-3328708.1725733387</v>
      </c>
      <c r="F322" s="362">
        <f>IF(C322=0,0,E322/C322)</f>
        <v>-0.65299331743881572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1196842.8213093851</v>
      </c>
      <c r="D323" s="353">
        <f>LN_IE10+LN_IE22</f>
        <v>0</v>
      </c>
      <c r="E323" s="353">
        <f>LN_IV3-C323</f>
        <v>-1196842.8213093851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1209841.7202506505</v>
      </c>
      <c r="D324" s="353">
        <f>LN_IC10+LN_IC22</f>
        <v>1824295.9309675288</v>
      </c>
      <c r="E324" s="353">
        <f>LN_IV1-C324</f>
        <v>614454.2107168783</v>
      </c>
      <c r="F324" s="362">
        <f>IF(C324=0,0,E324/C324)</f>
        <v>0.50787983290043759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7504298.9943836397</v>
      </c>
      <c r="D325" s="429">
        <f>LN_IV1+LN_IV2+LN_IV3</f>
        <v>3593202.2112177946</v>
      </c>
      <c r="E325" s="353">
        <f>LN_IV4-C325</f>
        <v>-3911096.7831658451</v>
      </c>
      <c r="F325" s="362">
        <f>IF(C325=0,0,E325/C325)</f>
        <v>-0.5211808306269492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3601814</v>
      </c>
      <c r="D330" s="429">
        <v>3357906</v>
      </c>
      <c r="E330" s="431">
        <f t="shared" si="34"/>
        <v>-243908</v>
      </c>
      <c r="F330" s="463">
        <f t="shared" si="35"/>
        <v>-6.7718099824144173E-2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64174022</v>
      </c>
      <c r="D331" s="429">
        <v>63387116</v>
      </c>
      <c r="E331" s="431">
        <f t="shared" si="34"/>
        <v>-786906</v>
      </c>
      <c r="F331" s="462">
        <f t="shared" si="35"/>
        <v>-1.2262064546928351E-2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147134138</v>
      </c>
      <c r="D333" s="429">
        <v>148072623</v>
      </c>
      <c r="E333" s="431">
        <f t="shared" si="34"/>
        <v>938485</v>
      </c>
      <c r="F333" s="462">
        <f t="shared" si="35"/>
        <v>6.3784313603685912E-3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4374058</v>
      </c>
      <c r="D335" s="429">
        <v>3746999</v>
      </c>
      <c r="E335" s="429">
        <f t="shared" si="34"/>
        <v>-627059</v>
      </c>
      <c r="F335" s="462">
        <f t="shared" si="35"/>
        <v>-0.14335863859144071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FILING&amp;RROCKVILLE GENERAL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10" t="s">
        <v>0</v>
      </c>
      <c r="B2" s="710"/>
      <c r="C2" s="710"/>
      <c r="D2" s="710"/>
      <c r="E2" s="710"/>
    </row>
    <row r="3" spans="1:5" s="338" customFormat="1" ht="15.75" customHeight="1" x14ac:dyDescent="0.25">
      <c r="A3" s="711" t="s">
        <v>595</v>
      </c>
      <c r="B3" s="711"/>
      <c r="C3" s="711"/>
      <c r="D3" s="711"/>
      <c r="E3" s="711"/>
    </row>
    <row r="4" spans="1:5" s="338" customFormat="1" ht="15.75" customHeight="1" x14ac:dyDescent="0.25">
      <c r="A4" s="711" t="s">
        <v>2</v>
      </c>
      <c r="B4" s="711"/>
      <c r="C4" s="711"/>
      <c r="D4" s="711"/>
      <c r="E4" s="711"/>
    </row>
    <row r="5" spans="1:5" s="338" customFormat="1" ht="15.75" customHeight="1" x14ac:dyDescent="0.25">
      <c r="A5" s="711" t="s">
        <v>743</v>
      </c>
      <c r="B5" s="711"/>
      <c r="C5" s="711"/>
      <c r="D5" s="711"/>
      <c r="E5" s="711"/>
    </row>
    <row r="6" spans="1:5" s="338" customFormat="1" ht="15.75" customHeight="1" x14ac:dyDescent="0.25">
      <c r="A6" s="711" t="s">
        <v>744</v>
      </c>
      <c r="B6" s="711"/>
      <c r="C6" s="711"/>
      <c r="D6" s="711"/>
      <c r="E6" s="711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16275839</v>
      </c>
      <c r="D14" s="513">
        <v>12352100</v>
      </c>
      <c r="E14" s="514">
        <f t="shared" ref="E14:E22" si="0">D14-C14</f>
        <v>-3923739</v>
      </c>
    </row>
    <row r="15" spans="1:5" s="506" customFormat="1" x14ac:dyDescent="0.2">
      <c r="A15" s="512">
        <v>2</v>
      </c>
      <c r="B15" s="511" t="s">
        <v>604</v>
      </c>
      <c r="C15" s="513">
        <v>35216904</v>
      </c>
      <c r="D15" s="515">
        <v>36910536</v>
      </c>
      <c r="E15" s="514">
        <f t="shared" si="0"/>
        <v>1693632</v>
      </c>
    </row>
    <row r="16" spans="1:5" s="506" customFormat="1" x14ac:dyDescent="0.2">
      <c r="A16" s="512">
        <v>3</v>
      </c>
      <c r="B16" s="511" t="s">
        <v>750</v>
      </c>
      <c r="C16" s="513">
        <v>7399515</v>
      </c>
      <c r="D16" s="515">
        <v>4845721</v>
      </c>
      <c r="E16" s="514">
        <f t="shared" si="0"/>
        <v>-2553794</v>
      </c>
    </row>
    <row r="17" spans="1:5" s="506" customFormat="1" x14ac:dyDescent="0.2">
      <c r="A17" s="512">
        <v>4</v>
      </c>
      <c r="B17" s="511" t="s">
        <v>114</v>
      </c>
      <c r="C17" s="513">
        <v>5770790</v>
      </c>
      <c r="D17" s="515">
        <v>4845721</v>
      </c>
      <c r="E17" s="514">
        <f t="shared" si="0"/>
        <v>-925069</v>
      </c>
    </row>
    <row r="18" spans="1:5" s="506" customFormat="1" x14ac:dyDescent="0.2">
      <c r="A18" s="512">
        <v>5</v>
      </c>
      <c r="B18" s="511" t="s">
        <v>717</v>
      </c>
      <c r="C18" s="513">
        <v>1628725</v>
      </c>
      <c r="D18" s="515">
        <v>0</v>
      </c>
      <c r="E18" s="514">
        <f t="shared" si="0"/>
        <v>-1628725</v>
      </c>
    </row>
    <row r="19" spans="1:5" s="506" customFormat="1" x14ac:dyDescent="0.2">
      <c r="A19" s="512">
        <v>6</v>
      </c>
      <c r="B19" s="511" t="s">
        <v>416</v>
      </c>
      <c r="C19" s="513">
        <v>270821</v>
      </c>
      <c r="D19" s="515">
        <v>15966</v>
      </c>
      <c r="E19" s="514">
        <f t="shared" si="0"/>
        <v>-254855</v>
      </c>
    </row>
    <row r="20" spans="1:5" s="506" customFormat="1" x14ac:dyDescent="0.2">
      <c r="A20" s="512">
        <v>7</v>
      </c>
      <c r="B20" s="511" t="s">
        <v>732</v>
      </c>
      <c r="C20" s="513">
        <v>1077749</v>
      </c>
      <c r="D20" s="515">
        <v>786334</v>
      </c>
      <c r="E20" s="514">
        <f t="shared" si="0"/>
        <v>-291415</v>
      </c>
    </row>
    <row r="21" spans="1:5" s="506" customFormat="1" x14ac:dyDescent="0.2">
      <c r="A21" s="512"/>
      <c r="B21" s="516" t="s">
        <v>751</v>
      </c>
      <c r="C21" s="517">
        <f>SUM(C15+C16+C19)</f>
        <v>42887240</v>
      </c>
      <c r="D21" s="517">
        <f>SUM(D15+D16+D19)</f>
        <v>41772223</v>
      </c>
      <c r="E21" s="517">
        <f t="shared" si="0"/>
        <v>-1115017</v>
      </c>
    </row>
    <row r="22" spans="1:5" s="506" customFormat="1" x14ac:dyDescent="0.2">
      <c r="A22" s="512"/>
      <c r="B22" s="516" t="s">
        <v>691</v>
      </c>
      <c r="C22" s="517">
        <f>SUM(C14+C21)</f>
        <v>59163079</v>
      </c>
      <c r="D22" s="517">
        <f>SUM(D14+D21)</f>
        <v>54124323</v>
      </c>
      <c r="E22" s="517">
        <f t="shared" si="0"/>
        <v>-5038756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43969014</v>
      </c>
      <c r="D25" s="513">
        <v>44728204</v>
      </c>
      <c r="E25" s="514">
        <f t="shared" ref="E25:E33" si="1">D25-C25</f>
        <v>759190</v>
      </c>
    </row>
    <row r="26" spans="1:5" s="506" customFormat="1" x14ac:dyDescent="0.2">
      <c r="A26" s="512">
        <v>2</v>
      </c>
      <c r="B26" s="511" t="s">
        <v>604</v>
      </c>
      <c r="C26" s="513">
        <v>27105329</v>
      </c>
      <c r="D26" s="515">
        <v>30465162</v>
      </c>
      <c r="E26" s="514">
        <f t="shared" si="1"/>
        <v>3359833</v>
      </c>
    </row>
    <row r="27" spans="1:5" s="506" customFormat="1" x14ac:dyDescent="0.2">
      <c r="A27" s="512">
        <v>3</v>
      </c>
      <c r="B27" s="511" t="s">
        <v>750</v>
      </c>
      <c r="C27" s="513">
        <v>16496592</v>
      </c>
      <c r="D27" s="515">
        <v>18272578</v>
      </c>
      <c r="E27" s="514">
        <f t="shared" si="1"/>
        <v>1775986</v>
      </c>
    </row>
    <row r="28" spans="1:5" s="506" customFormat="1" x14ac:dyDescent="0.2">
      <c r="A28" s="512">
        <v>4</v>
      </c>
      <c r="B28" s="511" t="s">
        <v>114</v>
      </c>
      <c r="C28" s="513">
        <v>13820160</v>
      </c>
      <c r="D28" s="515">
        <v>18272578</v>
      </c>
      <c r="E28" s="514">
        <f t="shared" si="1"/>
        <v>4452418</v>
      </c>
    </row>
    <row r="29" spans="1:5" s="506" customFormat="1" x14ac:dyDescent="0.2">
      <c r="A29" s="512">
        <v>5</v>
      </c>
      <c r="B29" s="511" t="s">
        <v>717</v>
      </c>
      <c r="C29" s="513">
        <v>2676432</v>
      </c>
      <c r="D29" s="515">
        <v>0</v>
      </c>
      <c r="E29" s="514">
        <f t="shared" si="1"/>
        <v>-2676432</v>
      </c>
    </row>
    <row r="30" spans="1:5" s="506" customFormat="1" x14ac:dyDescent="0.2">
      <c r="A30" s="512">
        <v>6</v>
      </c>
      <c r="B30" s="511" t="s">
        <v>416</v>
      </c>
      <c r="C30" s="513">
        <v>400126</v>
      </c>
      <c r="D30" s="515">
        <v>482355</v>
      </c>
      <c r="E30" s="514">
        <f t="shared" si="1"/>
        <v>82229</v>
      </c>
    </row>
    <row r="31" spans="1:5" s="506" customFormat="1" x14ac:dyDescent="0.2">
      <c r="A31" s="512">
        <v>7</v>
      </c>
      <c r="B31" s="511" t="s">
        <v>732</v>
      </c>
      <c r="C31" s="514">
        <v>4141862</v>
      </c>
      <c r="D31" s="518">
        <v>3146480</v>
      </c>
      <c r="E31" s="514">
        <f t="shared" si="1"/>
        <v>-995382</v>
      </c>
    </row>
    <row r="32" spans="1:5" s="506" customFormat="1" x14ac:dyDescent="0.2">
      <c r="A32" s="512"/>
      <c r="B32" s="516" t="s">
        <v>753</v>
      </c>
      <c r="C32" s="517">
        <f>SUM(C26+C27+C30)</f>
        <v>44002047</v>
      </c>
      <c r="D32" s="517">
        <f>SUM(D26+D27+D30)</f>
        <v>49220095</v>
      </c>
      <c r="E32" s="517">
        <f t="shared" si="1"/>
        <v>5218048</v>
      </c>
    </row>
    <row r="33" spans="1:5" s="506" customFormat="1" x14ac:dyDescent="0.2">
      <c r="A33" s="512"/>
      <c r="B33" s="516" t="s">
        <v>697</v>
      </c>
      <c r="C33" s="517">
        <f>SUM(C25+C32)</f>
        <v>87971061</v>
      </c>
      <c r="D33" s="517">
        <f>SUM(D25+D32)</f>
        <v>93948299</v>
      </c>
      <c r="E33" s="517">
        <f t="shared" si="1"/>
        <v>5977238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60244853</v>
      </c>
      <c r="D36" s="514">
        <f t="shared" si="2"/>
        <v>57080304</v>
      </c>
      <c r="E36" s="514">
        <f t="shared" ref="E36:E44" si="3">D36-C36</f>
        <v>-3164549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62322233</v>
      </c>
      <c r="D37" s="514">
        <f t="shared" si="2"/>
        <v>67375698</v>
      </c>
      <c r="E37" s="514">
        <f t="shared" si="3"/>
        <v>5053465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23896107</v>
      </c>
      <c r="D38" s="514">
        <f t="shared" si="2"/>
        <v>23118299</v>
      </c>
      <c r="E38" s="514">
        <f t="shared" si="3"/>
        <v>-777808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19590950</v>
      </c>
      <c r="D39" s="514">
        <f t="shared" si="2"/>
        <v>23118299</v>
      </c>
      <c r="E39" s="514">
        <f t="shared" si="3"/>
        <v>3527349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4305157</v>
      </c>
      <c r="D40" s="514">
        <f t="shared" si="2"/>
        <v>0</v>
      </c>
      <c r="E40" s="514">
        <f t="shared" si="3"/>
        <v>-4305157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670947</v>
      </c>
      <c r="D41" s="514">
        <f t="shared" si="2"/>
        <v>498321</v>
      </c>
      <c r="E41" s="514">
        <f t="shared" si="3"/>
        <v>-172626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5219611</v>
      </c>
      <c r="D42" s="514">
        <f t="shared" si="2"/>
        <v>3932814</v>
      </c>
      <c r="E42" s="514">
        <f t="shared" si="3"/>
        <v>-1286797</v>
      </c>
    </row>
    <row r="43" spans="1:5" s="506" customFormat="1" x14ac:dyDescent="0.2">
      <c r="A43" s="512"/>
      <c r="B43" s="516" t="s">
        <v>761</v>
      </c>
      <c r="C43" s="517">
        <f>SUM(C37+C38+C41)</f>
        <v>86889287</v>
      </c>
      <c r="D43" s="517">
        <f>SUM(D37+D38+D41)</f>
        <v>90992318</v>
      </c>
      <c r="E43" s="517">
        <f t="shared" si="3"/>
        <v>4103031</v>
      </c>
    </row>
    <row r="44" spans="1:5" s="506" customFormat="1" x14ac:dyDescent="0.2">
      <c r="A44" s="512"/>
      <c r="B44" s="516" t="s">
        <v>699</v>
      </c>
      <c r="C44" s="517">
        <f>SUM(C36+C43)</f>
        <v>147134140</v>
      </c>
      <c r="D44" s="517">
        <f>SUM(D36+D43)</f>
        <v>148072622</v>
      </c>
      <c r="E44" s="517">
        <f t="shared" si="3"/>
        <v>938482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319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8333599</v>
      </c>
      <c r="D47" s="513">
        <v>7212608</v>
      </c>
      <c r="E47" s="514">
        <f t="shared" ref="E47:E55" si="4">D47-C47</f>
        <v>-1120991</v>
      </c>
    </row>
    <row r="48" spans="1:5" s="506" customFormat="1" x14ac:dyDescent="0.2">
      <c r="A48" s="512">
        <v>2</v>
      </c>
      <c r="B48" s="511" t="s">
        <v>604</v>
      </c>
      <c r="C48" s="513">
        <v>14872476</v>
      </c>
      <c r="D48" s="515">
        <v>14956892</v>
      </c>
      <c r="E48" s="514">
        <f t="shared" si="4"/>
        <v>84416</v>
      </c>
    </row>
    <row r="49" spans="1:5" s="506" customFormat="1" x14ac:dyDescent="0.2">
      <c r="A49" s="512">
        <v>3</v>
      </c>
      <c r="B49" s="511" t="s">
        <v>750</v>
      </c>
      <c r="C49" s="513">
        <v>2531923</v>
      </c>
      <c r="D49" s="515">
        <v>1391859</v>
      </c>
      <c r="E49" s="514">
        <f t="shared" si="4"/>
        <v>-1140064</v>
      </c>
    </row>
    <row r="50" spans="1:5" s="506" customFormat="1" x14ac:dyDescent="0.2">
      <c r="A50" s="512">
        <v>4</v>
      </c>
      <c r="B50" s="511" t="s">
        <v>114</v>
      </c>
      <c r="C50" s="513">
        <v>2072762</v>
      </c>
      <c r="D50" s="515">
        <v>1391859</v>
      </c>
      <c r="E50" s="514">
        <f t="shared" si="4"/>
        <v>-680903</v>
      </c>
    </row>
    <row r="51" spans="1:5" s="506" customFormat="1" x14ac:dyDescent="0.2">
      <c r="A51" s="512">
        <v>5</v>
      </c>
      <c r="B51" s="511" t="s">
        <v>717</v>
      </c>
      <c r="C51" s="513">
        <v>459161</v>
      </c>
      <c r="D51" s="515">
        <v>0</v>
      </c>
      <c r="E51" s="514">
        <f t="shared" si="4"/>
        <v>-459161</v>
      </c>
    </row>
    <row r="52" spans="1:5" s="506" customFormat="1" x14ac:dyDescent="0.2">
      <c r="A52" s="512">
        <v>6</v>
      </c>
      <c r="B52" s="511" t="s">
        <v>416</v>
      </c>
      <c r="C52" s="513">
        <v>91096</v>
      </c>
      <c r="D52" s="515">
        <v>5231</v>
      </c>
      <c r="E52" s="514">
        <f t="shared" si="4"/>
        <v>-85865</v>
      </c>
    </row>
    <row r="53" spans="1:5" s="506" customFormat="1" x14ac:dyDescent="0.2">
      <c r="A53" s="512">
        <v>7</v>
      </c>
      <c r="B53" s="511" t="s">
        <v>732</v>
      </c>
      <c r="C53" s="513">
        <v>254043</v>
      </c>
      <c r="D53" s="515">
        <v>4157</v>
      </c>
      <c r="E53" s="514">
        <f t="shared" si="4"/>
        <v>-249886</v>
      </c>
    </row>
    <row r="54" spans="1:5" s="506" customFormat="1" x14ac:dyDescent="0.2">
      <c r="A54" s="512"/>
      <c r="B54" s="516" t="s">
        <v>763</v>
      </c>
      <c r="C54" s="517">
        <f>SUM(C48+C49+C52)</f>
        <v>17495495</v>
      </c>
      <c r="D54" s="517">
        <f>SUM(D48+D49+D52)</f>
        <v>16353982</v>
      </c>
      <c r="E54" s="517">
        <f t="shared" si="4"/>
        <v>-1141513</v>
      </c>
    </row>
    <row r="55" spans="1:5" s="506" customFormat="1" x14ac:dyDescent="0.2">
      <c r="A55" s="512"/>
      <c r="B55" s="516" t="s">
        <v>692</v>
      </c>
      <c r="C55" s="517">
        <f>SUM(C47+C54)</f>
        <v>25829094</v>
      </c>
      <c r="D55" s="517">
        <f>SUM(D47+D54)</f>
        <v>23566590</v>
      </c>
      <c r="E55" s="517">
        <f t="shared" si="4"/>
        <v>-2262504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340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21676096</v>
      </c>
      <c r="D58" s="513">
        <v>23939105</v>
      </c>
      <c r="E58" s="514">
        <f t="shared" ref="E58:E66" si="5">D58-C58</f>
        <v>2263009</v>
      </c>
    </row>
    <row r="59" spans="1:5" s="506" customFormat="1" x14ac:dyDescent="0.2">
      <c r="A59" s="512">
        <v>2</v>
      </c>
      <c r="B59" s="511" t="s">
        <v>604</v>
      </c>
      <c r="C59" s="513">
        <v>8379884</v>
      </c>
      <c r="D59" s="515">
        <v>7879322</v>
      </c>
      <c r="E59" s="514">
        <f t="shared" si="5"/>
        <v>-500562</v>
      </c>
    </row>
    <row r="60" spans="1:5" s="506" customFormat="1" x14ac:dyDescent="0.2">
      <c r="A60" s="512">
        <v>3</v>
      </c>
      <c r="B60" s="511" t="s">
        <v>750</v>
      </c>
      <c r="C60" s="513">
        <f>C61+C62</f>
        <v>4104554</v>
      </c>
      <c r="D60" s="515">
        <f>D61+D62</f>
        <v>4333204</v>
      </c>
      <c r="E60" s="514">
        <f t="shared" si="5"/>
        <v>228650</v>
      </c>
    </row>
    <row r="61" spans="1:5" s="506" customFormat="1" x14ac:dyDescent="0.2">
      <c r="A61" s="512">
        <v>4</v>
      </c>
      <c r="B61" s="511" t="s">
        <v>114</v>
      </c>
      <c r="C61" s="513">
        <v>3860821</v>
      </c>
      <c r="D61" s="515">
        <v>4333204</v>
      </c>
      <c r="E61" s="514">
        <f t="shared" si="5"/>
        <v>472383</v>
      </c>
    </row>
    <row r="62" spans="1:5" s="506" customFormat="1" x14ac:dyDescent="0.2">
      <c r="A62" s="512">
        <v>5</v>
      </c>
      <c r="B62" s="511" t="s">
        <v>717</v>
      </c>
      <c r="C62" s="513">
        <v>243733</v>
      </c>
      <c r="D62" s="515">
        <v>0</v>
      </c>
      <c r="E62" s="514">
        <f t="shared" si="5"/>
        <v>-243733</v>
      </c>
    </row>
    <row r="63" spans="1:5" s="506" customFormat="1" x14ac:dyDescent="0.2">
      <c r="A63" s="512">
        <v>6</v>
      </c>
      <c r="B63" s="511" t="s">
        <v>416</v>
      </c>
      <c r="C63" s="513">
        <v>255010</v>
      </c>
      <c r="D63" s="515">
        <v>310999</v>
      </c>
      <c r="E63" s="514">
        <f t="shared" si="5"/>
        <v>55989</v>
      </c>
    </row>
    <row r="64" spans="1:5" s="506" customFormat="1" x14ac:dyDescent="0.2">
      <c r="A64" s="512">
        <v>7</v>
      </c>
      <c r="B64" s="511" t="s">
        <v>732</v>
      </c>
      <c r="C64" s="513">
        <v>671338</v>
      </c>
      <c r="D64" s="515">
        <v>183945</v>
      </c>
      <c r="E64" s="514">
        <f t="shared" si="5"/>
        <v>-487393</v>
      </c>
    </row>
    <row r="65" spans="1:5" s="506" customFormat="1" x14ac:dyDescent="0.2">
      <c r="A65" s="512"/>
      <c r="B65" s="516" t="s">
        <v>765</v>
      </c>
      <c r="C65" s="517">
        <f>SUM(C59+C60+C63)</f>
        <v>12739448</v>
      </c>
      <c r="D65" s="517">
        <f>SUM(D59+D60+D63)</f>
        <v>12523525</v>
      </c>
      <c r="E65" s="517">
        <f t="shared" si="5"/>
        <v>-215923</v>
      </c>
    </row>
    <row r="66" spans="1:5" s="506" customFormat="1" x14ac:dyDescent="0.2">
      <c r="A66" s="512"/>
      <c r="B66" s="516" t="s">
        <v>698</v>
      </c>
      <c r="C66" s="517">
        <f>SUM(C58+C65)</f>
        <v>34415544</v>
      </c>
      <c r="D66" s="517">
        <f>SUM(D58+D65)</f>
        <v>36462630</v>
      </c>
      <c r="E66" s="517">
        <f t="shared" si="5"/>
        <v>2047086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352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30009695</v>
      </c>
      <c r="D69" s="514">
        <f t="shared" si="6"/>
        <v>31151713</v>
      </c>
      <c r="E69" s="514">
        <f t="shared" ref="E69:E77" si="7">D69-C69</f>
        <v>1142018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23252360</v>
      </c>
      <c r="D70" s="514">
        <f t="shared" si="6"/>
        <v>22836214</v>
      </c>
      <c r="E70" s="514">
        <f t="shared" si="7"/>
        <v>-416146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6636477</v>
      </c>
      <c r="D71" s="514">
        <f t="shared" si="6"/>
        <v>5725063</v>
      </c>
      <c r="E71" s="514">
        <f t="shared" si="7"/>
        <v>-911414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5933583</v>
      </c>
      <c r="D72" s="514">
        <f t="shared" si="6"/>
        <v>5725063</v>
      </c>
      <c r="E72" s="514">
        <f t="shared" si="7"/>
        <v>-208520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702894</v>
      </c>
      <c r="D73" s="514">
        <f t="shared" si="6"/>
        <v>0</v>
      </c>
      <c r="E73" s="514">
        <f t="shared" si="7"/>
        <v>-702894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346106</v>
      </c>
      <c r="D74" s="514">
        <f t="shared" si="6"/>
        <v>316230</v>
      </c>
      <c r="E74" s="514">
        <f t="shared" si="7"/>
        <v>-29876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925381</v>
      </c>
      <c r="D75" s="514">
        <f t="shared" si="6"/>
        <v>188102</v>
      </c>
      <c r="E75" s="514">
        <f t="shared" si="7"/>
        <v>-737279</v>
      </c>
    </row>
    <row r="76" spans="1:5" s="506" customFormat="1" x14ac:dyDescent="0.2">
      <c r="A76" s="512"/>
      <c r="B76" s="516" t="s">
        <v>766</v>
      </c>
      <c r="C76" s="517">
        <f>SUM(C70+C71+C74)</f>
        <v>30234943</v>
      </c>
      <c r="D76" s="517">
        <f>SUM(D70+D71+D74)</f>
        <v>28877507</v>
      </c>
      <c r="E76" s="517">
        <f t="shared" si="7"/>
        <v>-1357436</v>
      </c>
    </row>
    <row r="77" spans="1:5" s="506" customFormat="1" x14ac:dyDescent="0.2">
      <c r="A77" s="512"/>
      <c r="B77" s="516" t="s">
        <v>700</v>
      </c>
      <c r="C77" s="517">
        <f>SUM(C69+C76)</f>
        <v>60244638</v>
      </c>
      <c r="D77" s="517">
        <f>SUM(D69+D76)</f>
        <v>60029220</v>
      </c>
      <c r="E77" s="517">
        <f t="shared" si="7"/>
        <v>-215418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0.11061905143157122</v>
      </c>
      <c r="D83" s="523">
        <f t="shared" si="8"/>
        <v>8.3419202234427919E-2</v>
      </c>
      <c r="E83" s="523">
        <f t="shared" ref="E83:E91" si="9">D83-C83</f>
        <v>-2.71998491971433E-2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0.23935236240888758</v>
      </c>
      <c r="D84" s="523">
        <f t="shared" si="8"/>
        <v>0.24927319785017382</v>
      </c>
      <c r="E84" s="523">
        <f t="shared" si="9"/>
        <v>9.9208354412862465E-3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5.0290945391735731E-2</v>
      </c>
      <c r="D85" s="523">
        <f t="shared" si="8"/>
        <v>3.2725300157108041E-2</v>
      </c>
      <c r="E85" s="523">
        <f t="shared" si="9"/>
        <v>-1.756564523462769E-2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3.9221284740577546E-2</v>
      </c>
      <c r="D86" s="523">
        <f t="shared" si="8"/>
        <v>3.2725300157108041E-2</v>
      </c>
      <c r="E86" s="523">
        <f t="shared" si="9"/>
        <v>-6.4959845834695051E-3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1.1069660651158188E-2</v>
      </c>
      <c r="D87" s="523">
        <f t="shared" si="8"/>
        <v>0</v>
      </c>
      <c r="E87" s="523">
        <f t="shared" si="9"/>
        <v>-1.1069660651158188E-2</v>
      </c>
    </row>
    <row r="88" spans="1:5" s="506" customFormat="1" x14ac:dyDescent="0.2">
      <c r="A88" s="512">
        <v>6</v>
      </c>
      <c r="B88" s="511" t="s">
        <v>416</v>
      </c>
      <c r="C88" s="523">
        <f t="shared" si="8"/>
        <v>1.8406401124851106E-3</v>
      </c>
      <c r="D88" s="523">
        <f t="shared" si="8"/>
        <v>1.0782546958613322E-4</v>
      </c>
      <c r="E88" s="523">
        <f t="shared" si="9"/>
        <v>-1.7328146428989774E-3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7.3249417164500371E-3</v>
      </c>
      <c r="D89" s="523">
        <f t="shared" si="8"/>
        <v>5.310461781381841E-3</v>
      </c>
      <c r="E89" s="523">
        <f t="shared" si="9"/>
        <v>-2.0144799350681961E-3</v>
      </c>
    </row>
    <row r="90" spans="1:5" s="506" customFormat="1" x14ac:dyDescent="0.2">
      <c r="A90" s="512"/>
      <c r="B90" s="516" t="s">
        <v>769</v>
      </c>
      <c r="C90" s="524">
        <f>SUM(C84+C85+C88)</f>
        <v>0.29148394791310844</v>
      </c>
      <c r="D90" s="524">
        <f>SUM(D84+D85+D88)</f>
        <v>0.28210632347686804</v>
      </c>
      <c r="E90" s="525">
        <f t="shared" si="9"/>
        <v>-9.377624436240406E-3</v>
      </c>
    </row>
    <row r="91" spans="1:5" s="506" customFormat="1" x14ac:dyDescent="0.2">
      <c r="A91" s="512"/>
      <c r="B91" s="516" t="s">
        <v>770</v>
      </c>
      <c r="C91" s="524">
        <f>SUM(C83+C90)</f>
        <v>0.40210299934467963</v>
      </c>
      <c r="D91" s="524">
        <f>SUM(D83+D90)</f>
        <v>0.36552552571129593</v>
      </c>
      <c r="E91" s="525">
        <f t="shared" si="9"/>
        <v>-3.6577473633383706E-2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0.29883624561913369</v>
      </c>
      <c r="D95" s="523">
        <f t="shared" si="10"/>
        <v>0.30206937241916337</v>
      </c>
      <c r="E95" s="523">
        <f t="shared" ref="E95:E103" si="11">D95-C95</f>
        <v>3.2331268000296842E-3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0.18422188759182606</v>
      </c>
      <c r="D96" s="523">
        <f t="shared" si="10"/>
        <v>0.20574473247323194</v>
      </c>
      <c r="E96" s="523">
        <f t="shared" si="11"/>
        <v>2.1522844881405878E-2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0.11211940342329794</v>
      </c>
      <c r="D97" s="523">
        <f t="shared" si="10"/>
        <v>0.12340281243888557</v>
      </c>
      <c r="E97" s="523">
        <f t="shared" si="11"/>
        <v>1.1283409015587623E-2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9.392898208396773E-2</v>
      </c>
      <c r="D98" s="523">
        <f t="shared" si="10"/>
        <v>0.12340281243888557</v>
      </c>
      <c r="E98" s="523">
        <f t="shared" si="11"/>
        <v>2.9473830354917838E-2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1.8190421339330218E-2</v>
      </c>
      <c r="D99" s="523">
        <f t="shared" si="10"/>
        <v>0</v>
      </c>
      <c r="E99" s="523">
        <f t="shared" si="11"/>
        <v>-1.8190421339330218E-2</v>
      </c>
    </row>
    <row r="100" spans="1:5" s="506" customFormat="1" x14ac:dyDescent="0.2">
      <c r="A100" s="512">
        <v>6</v>
      </c>
      <c r="B100" s="511" t="s">
        <v>416</v>
      </c>
      <c r="C100" s="523">
        <f t="shared" si="10"/>
        <v>2.7194640210626846E-3</v>
      </c>
      <c r="D100" s="523">
        <f t="shared" si="10"/>
        <v>3.2575569574232297E-3</v>
      </c>
      <c r="E100" s="523">
        <f t="shared" si="11"/>
        <v>5.3809293636054509E-4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2.8150244396032083E-2</v>
      </c>
      <c r="D101" s="523">
        <f t="shared" si="10"/>
        <v>2.12495730642225E-2</v>
      </c>
      <c r="E101" s="523">
        <f t="shared" si="11"/>
        <v>-6.9006713318095839E-3</v>
      </c>
    </row>
    <row r="102" spans="1:5" s="506" customFormat="1" x14ac:dyDescent="0.2">
      <c r="A102" s="512"/>
      <c r="B102" s="516" t="s">
        <v>772</v>
      </c>
      <c r="C102" s="524">
        <f>SUM(C96+C97+C100)</f>
        <v>0.29906075503618673</v>
      </c>
      <c r="D102" s="524">
        <f>SUM(D96+D97+D100)</f>
        <v>0.33240510186954075</v>
      </c>
      <c r="E102" s="525">
        <f t="shared" si="11"/>
        <v>3.3344346833354022E-2</v>
      </c>
    </row>
    <row r="103" spans="1:5" s="506" customFormat="1" x14ac:dyDescent="0.2">
      <c r="A103" s="512"/>
      <c r="B103" s="516" t="s">
        <v>773</v>
      </c>
      <c r="C103" s="524">
        <f>SUM(C95+C102)</f>
        <v>0.59789700065532037</v>
      </c>
      <c r="D103" s="524">
        <f>SUM(D95+D102)</f>
        <v>0.63447447428870407</v>
      </c>
      <c r="E103" s="525">
        <f t="shared" si="11"/>
        <v>3.6577473633383706E-2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0.13832930658492795</v>
      </c>
      <c r="D109" s="523">
        <f t="shared" si="12"/>
        <v>0.12015161949463944</v>
      </c>
      <c r="E109" s="523">
        <f t="shared" ref="E109:E117" si="13">D109-C109</f>
        <v>-1.8177687090288511E-2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0.24686804492044587</v>
      </c>
      <c r="D110" s="523">
        <f t="shared" si="12"/>
        <v>0.24916019231967365</v>
      </c>
      <c r="E110" s="523">
        <f t="shared" si="13"/>
        <v>2.2921473992277841E-3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4.2027358517782117E-2</v>
      </c>
      <c r="D111" s="523">
        <f t="shared" si="12"/>
        <v>2.3186358243535397E-2</v>
      </c>
      <c r="E111" s="523">
        <f t="shared" si="13"/>
        <v>-1.8841000274246719E-2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3.4405750765736196E-2</v>
      </c>
      <c r="D112" s="523">
        <f t="shared" si="12"/>
        <v>2.3186358243535397E-2</v>
      </c>
      <c r="E112" s="523">
        <f t="shared" si="13"/>
        <v>-1.1219392522200798E-2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7.6216077520459167E-3</v>
      </c>
      <c r="D113" s="523">
        <f t="shared" si="12"/>
        <v>0</v>
      </c>
      <c r="E113" s="523">
        <f t="shared" si="13"/>
        <v>-7.6216077520459167E-3</v>
      </c>
    </row>
    <row r="114" spans="1:5" s="506" customFormat="1" x14ac:dyDescent="0.2">
      <c r="A114" s="512">
        <v>6</v>
      </c>
      <c r="B114" s="511" t="s">
        <v>416</v>
      </c>
      <c r="C114" s="523">
        <f t="shared" si="12"/>
        <v>1.5121013757274132E-3</v>
      </c>
      <c r="D114" s="523">
        <f t="shared" si="12"/>
        <v>8.7140895717119097E-5</v>
      </c>
      <c r="E114" s="523">
        <f t="shared" si="13"/>
        <v>-1.4249604800102942E-3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4.2168566105418382E-3</v>
      </c>
      <c r="D115" s="523">
        <f t="shared" si="12"/>
        <v>6.9249608773860465E-5</v>
      </c>
      <c r="E115" s="523">
        <f t="shared" si="13"/>
        <v>-4.1476070017679775E-3</v>
      </c>
    </row>
    <row r="116" spans="1:5" s="506" customFormat="1" x14ac:dyDescent="0.2">
      <c r="A116" s="512"/>
      <c r="B116" s="516" t="s">
        <v>769</v>
      </c>
      <c r="C116" s="524">
        <f>SUM(C110+C111+C114)</f>
        <v>0.29040750481395544</v>
      </c>
      <c r="D116" s="524">
        <f>SUM(D110+D111+D114)</f>
        <v>0.27243369145892615</v>
      </c>
      <c r="E116" s="525">
        <f t="shared" si="13"/>
        <v>-1.7973813355029289E-2</v>
      </c>
    </row>
    <row r="117" spans="1:5" s="506" customFormat="1" x14ac:dyDescent="0.2">
      <c r="A117" s="512"/>
      <c r="B117" s="516" t="s">
        <v>770</v>
      </c>
      <c r="C117" s="524">
        <f>SUM(C109+C116)</f>
        <v>0.42873681139888342</v>
      </c>
      <c r="D117" s="524">
        <f>SUM(D109+D116)</f>
        <v>0.39258531095356558</v>
      </c>
      <c r="E117" s="525">
        <f t="shared" si="13"/>
        <v>-3.6151500445317841E-2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319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0.35980124903398042</v>
      </c>
      <c r="D121" s="523">
        <f t="shared" si="14"/>
        <v>0.39879087217858239</v>
      </c>
      <c r="E121" s="523">
        <f t="shared" ref="E121:E129" si="15">D121-C121</f>
        <v>3.898962314460197E-2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0.1390975907266635</v>
      </c>
      <c r="D122" s="523">
        <f t="shared" si="14"/>
        <v>0.13125811063345483</v>
      </c>
      <c r="E122" s="523">
        <f t="shared" si="15"/>
        <v>-7.8394800932086728E-3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6.8131441008907709E-2</v>
      </c>
      <c r="D123" s="523">
        <f t="shared" si="14"/>
        <v>7.2184912614223537E-2</v>
      </c>
      <c r="E123" s="523">
        <f t="shared" si="15"/>
        <v>4.0534716053158282E-3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6.4085719960671028E-2</v>
      </c>
      <c r="D124" s="523">
        <f t="shared" si="14"/>
        <v>7.2184912614223537E-2</v>
      </c>
      <c r="E124" s="523">
        <f t="shared" si="15"/>
        <v>8.0991926535525088E-3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4.0457210482366911E-3</v>
      </c>
      <c r="D125" s="523">
        <f t="shared" si="14"/>
        <v>0</v>
      </c>
      <c r="E125" s="523">
        <f t="shared" si="15"/>
        <v>-4.0457210482366911E-3</v>
      </c>
    </row>
    <row r="126" spans="1:5" s="506" customFormat="1" x14ac:dyDescent="0.2">
      <c r="A126" s="512">
        <v>6</v>
      </c>
      <c r="B126" s="511" t="s">
        <v>416</v>
      </c>
      <c r="C126" s="523">
        <f t="shared" si="14"/>
        <v>4.2329078315650262E-3</v>
      </c>
      <c r="D126" s="523">
        <f t="shared" si="14"/>
        <v>5.180793620173642E-3</v>
      </c>
      <c r="E126" s="523">
        <f t="shared" si="15"/>
        <v>9.4788578860861578E-4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1.1143531147120512E-2</v>
      </c>
      <c r="D127" s="523">
        <f t="shared" si="14"/>
        <v>3.064257706496936E-3</v>
      </c>
      <c r="E127" s="523">
        <f t="shared" si="15"/>
        <v>-8.0792734406235755E-3</v>
      </c>
    </row>
    <row r="128" spans="1:5" s="506" customFormat="1" x14ac:dyDescent="0.2">
      <c r="A128" s="512"/>
      <c r="B128" s="516" t="s">
        <v>772</v>
      </c>
      <c r="C128" s="524">
        <f>SUM(C122+C123+C126)</f>
        <v>0.21146193956713624</v>
      </c>
      <c r="D128" s="524">
        <f>SUM(D122+D123+D126)</f>
        <v>0.20862381686785203</v>
      </c>
      <c r="E128" s="525">
        <f t="shared" si="15"/>
        <v>-2.8381226992842123E-3</v>
      </c>
    </row>
    <row r="129" spans="1:5" s="506" customFormat="1" x14ac:dyDescent="0.2">
      <c r="A129" s="512"/>
      <c r="B129" s="516" t="s">
        <v>773</v>
      </c>
      <c r="C129" s="524">
        <f>SUM(C121+C128)</f>
        <v>0.57126318860111669</v>
      </c>
      <c r="D129" s="524">
        <f>SUM(D121+D128)</f>
        <v>0.60741468904643448</v>
      </c>
      <c r="E129" s="525">
        <f t="shared" si="15"/>
        <v>3.6151500445317786E-2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1129</v>
      </c>
      <c r="D137" s="530">
        <v>663</v>
      </c>
      <c r="E137" s="531">
        <f t="shared" ref="E137:E145" si="16">D137-C137</f>
        <v>-466</v>
      </c>
    </row>
    <row r="138" spans="1:5" s="506" customFormat="1" x14ac:dyDescent="0.2">
      <c r="A138" s="512">
        <v>2</v>
      </c>
      <c r="B138" s="511" t="s">
        <v>604</v>
      </c>
      <c r="C138" s="530">
        <v>1595</v>
      </c>
      <c r="D138" s="530">
        <v>1581</v>
      </c>
      <c r="E138" s="531">
        <f t="shared" si="16"/>
        <v>-14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645</v>
      </c>
      <c r="D139" s="530">
        <f>D140+D141</f>
        <v>268</v>
      </c>
      <c r="E139" s="531">
        <f t="shared" si="16"/>
        <v>-377</v>
      </c>
    </row>
    <row r="140" spans="1:5" s="506" customFormat="1" x14ac:dyDescent="0.2">
      <c r="A140" s="512">
        <v>4</v>
      </c>
      <c r="B140" s="511" t="s">
        <v>114</v>
      </c>
      <c r="C140" s="530">
        <v>548</v>
      </c>
      <c r="D140" s="530">
        <v>268</v>
      </c>
      <c r="E140" s="531">
        <f t="shared" si="16"/>
        <v>-280</v>
      </c>
    </row>
    <row r="141" spans="1:5" s="506" customFormat="1" x14ac:dyDescent="0.2">
      <c r="A141" s="512">
        <v>5</v>
      </c>
      <c r="B141" s="511" t="s">
        <v>717</v>
      </c>
      <c r="C141" s="530">
        <v>97</v>
      </c>
      <c r="D141" s="530">
        <v>0</v>
      </c>
      <c r="E141" s="531">
        <f t="shared" si="16"/>
        <v>-97</v>
      </c>
    </row>
    <row r="142" spans="1:5" s="506" customFormat="1" x14ac:dyDescent="0.2">
      <c r="A142" s="512">
        <v>6</v>
      </c>
      <c r="B142" s="511" t="s">
        <v>416</v>
      </c>
      <c r="C142" s="530">
        <v>17</v>
      </c>
      <c r="D142" s="530">
        <v>3</v>
      </c>
      <c r="E142" s="531">
        <f t="shared" si="16"/>
        <v>-14</v>
      </c>
    </row>
    <row r="143" spans="1:5" s="506" customFormat="1" x14ac:dyDescent="0.2">
      <c r="A143" s="512">
        <v>7</v>
      </c>
      <c r="B143" s="511" t="s">
        <v>732</v>
      </c>
      <c r="C143" s="530">
        <v>65</v>
      </c>
      <c r="D143" s="530">
        <v>63</v>
      </c>
      <c r="E143" s="531">
        <f t="shared" si="16"/>
        <v>-2</v>
      </c>
    </row>
    <row r="144" spans="1:5" s="506" customFormat="1" x14ac:dyDescent="0.2">
      <c r="A144" s="512"/>
      <c r="B144" s="516" t="s">
        <v>780</v>
      </c>
      <c r="C144" s="532">
        <f>SUM(C138+C139+C142)</f>
        <v>2257</v>
      </c>
      <c r="D144" s="532">
        <f>SUM(D138+D139+D142)</f>
        <v>1852</v>
      </c>
      <c r="E144" s="533">
        <f t="shared" si="16"/>
        <v>-405</v>
      </c>
    </row>
    <row r="145" spans="1:5" s="506" customFormat="1" x14ac:dyDescent="0.2">
      <c r="A145" s="512"/>
      <c r="B145" s="516" t="s">
        <v>694</v>
      </c>
      <c r="C145" s="532">
        <f>SUM(C137+C144)</f>
        <v>3386</v>
      </c>
      <c r="D145" s="532">
        <f>SUM(D137+D144)</f>
        <v>2515</v>
      </c>
      <c r="E145" s="533">
        <f t="shared" si="16"/>
        <v>-871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3729</v>
      </c>
      <c r="D149" s="534">
        <v>2633</v>
      </c>
      <c r="E149" s="531">
        <f t="shared" ref="E149:E157" si="17">D149-C149</f>
        <v>-1096</v>
      </c>
    </row>
    <row r="150" spans="1:5" s="506" customFormat="1" x14ac:dyDescent="0.2">
      <c r="A150" s="512">
        <v>2</v>
      </c>
      <c r="B150" s="511" t="s">
        <v>604</v>
      </c>
      <c r="C150" s="534">
        <v>8291</v>
      </c>
      <c r="D150" s="534">
        <v>8640</v>
      </c>
      <c r="E150" s="531">
        <f t="shared" si="17"/>
        <v>349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2112</v>
      </c>
      <c r="D151" s="534">
        <f>D152+D153</f>
        <v>1087</v>
      </c>
      <c r="E151" s="531">
        <f t="shared" si="17"/>
        <v>-1025</v>
      </c>
    </row>
    <row r="152" spans="1:5" s="506" customFormat="1" x14ac:dyDescent="0.2">
      <c r="A152" s="512">
        <v>4</v>
      </c>
      <c r="B152" s="511" t="s">
        <v>114</v>
      </c>
      <c r="C152" s="534">
        <v>1644</v>
      </c>
      <c r="D152" s="534">
        <v>1087</v>
      </c>
      <c r="E152" s="531">
        <f t="shared" si="17"/>
        <v>-557</v>
      </c>
    </row>
    <row r="153" spans="1:5" s="506" customFormat="1" x14ac:dyDescent="0.2">
      <c r="A153" s="512">
        <v>5</v>
      </c>
      <c r="B153" s="511" t="s">
        <v>717</v>
      </c>
      <c r="C153" s="535">
        <v>468</v>
      </c>
      <c r="D153" s="534">
        <v>0</v>
      </c>
      <c r="E153" s="531">
        <f t="shared" si="17"/>
        <v>-468</v>
      </c>
    </row>
    <row r="154" spans="1:5" s="506" customFormat="1" x14ac:dyDescent="0.2">
      <c r="A154" s="512">
        <v>6</v>
      </c>
      <c r="B154" s="511" t="s">
        <v>416</v>
      </c>
      <c r="C154" s="534">
        <v>48</v>
      </c>
      <c r="D154" s="534">
        <v>10</v>
      </c>
      <c r="E154" s="531">
        <f t="shared" si="17"/>
        <v>-38</v>
      </c>
    </row>
    <row r="155" spans="1:5" s="506" customFormat="1" x14ac:dyDescent="0.2">
      <c r="A155" s="512">
        <v>7</v>
      </c>
      <c r="B155" s="511" t="s">
        <v>732</v>
      </c>
      <c r="C155" s="534">
        <v>266</v>
      </c>
      <c r="D155" s="534">
        <v>314</v>
      </c>
      <c r="E155" s="531">
        <f t="shared" si="17"/>
        <v>48</v>
      </c>
    </row>
    <row r="156" spans="1:5" s="506" customFormat="1" x14ac:dyDescent="0.2">
      <c r="A156" s="512"/>
      <c r="B156" s="516" t="s">
        <v>781</v>
      </c>
      <c r="C156" s="532">
        <f>SUM(C150+C151+C154)</f>
        <v>10451</v>
      </c>
      <c r="D156" s="532">
        <f>SUM(D150+D151+D154)</f>
        <v>9737</v>
      </c>
      <c r="E156" s="533">
        <f t="shared" si="17"/>
        <v>-714</v>
      </c>
    </row>
    <row r="157" spans="1:5" s="506" customFormat="1" x14ac:dyDescent="0.2">
      <c r="A157" s="512"/>
      <c r="B157" s="516" t="s">
        <v>782</v>
      </c>
      <c r="C157" s="532">
        <f>SUM(C149+C156)</f>
        <v>14180</v>
      </c>
      <c r="D157" s="532">
        <f>SUM(D149+D156)</f>
        <v>12370</v>
      </c>
      <c r="E157" s="533">
        <f t="shared" si="17"/>
        <v>-1810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3.3029229406554474</v>
      </c>
      <c r="D161" s="536">
        <f t="shared" si="18"/>
        <v>3.9713423831070891</v>
      </c>
      <c r="E161" s="537">
        <f t="shared" ref="E161:E169" si="19">D161-C161</f>
        <v>0.66841944245164164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5.1981191222570535</v>
      </c>
      <c r="D162" s="536">
        <f t="shared" si="18"/>
        <v>5.4648956356736242</v>
      </c>
      <c r="E162" s="537">
        <f t="shared" si="19"/>
        <v>0.26677651341657072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3.2744186046511627</v>
      </c>
      <c r="D163" s="536">
        <f t="shared" si="18"/>
        <v>4.0559701492537314</v>
      </c>
      <c r="E163" s="537">
        <f t="shared" si="19"/>
        <v>0.7815515446025687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</v>
      </c>
      <c r="D164" s="536">
        <f t="shared" si="18"/>
        <v>4.0559701492537314</v>
      </c>
      <c r="E164" s="537">
        <f t="shared" si="19"/>
        <v>1.0559701492537314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4.8247422680412368</v>
      </c>
      <c r="D165" s="536">
        <f t="shared" si="18"/>
        <v>0</v>
      </c>
      <c r="E165" s="537">
        <f t="shared" si="19"/>
        <v>-4.8247422680412368</v>
      </c>
    </row>
    <row r="166" spans="1:5" s="506" customFormat="1" x14ac:dyDescent="0.2">
      <c r="A166" s="512">
        <v>6</v>
      </c>
      <c r="B166" s="511" t="s">
        <v>416</v>
      </c>
      <c r="C166" s="536">
        <f t="shared" si="18"/>
        <v>2.8235294117647061</v>
      </c>
      <c r="D166" s="536">
        <f t="shared" si="18"/>
        <v>3.3333333333333335</v>
      </c>
      <c r="E166" s="537">
        <f t="shared" si="19"/>
        <v>0.50980392156862742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4.092307692307692</v>
      </c>
      <c r="D167" s="536">
        <f t="shared" si="18"/>
        <v>4.9841269841269842</v>
      </c>
      <c r="E167" s="537">
        <f t="shared" si="19"/>
        <v>0.8918192918192922</v>
      </c>
    </row>
    <row r="168" spans="1:5" s="506" customFormat="1" x14ac:dyDescent="0.2">
      <c r="A168" s="512"/>
      <c r="B168" s="516" t="s">
        <v>784</v>
      </c>
      <c r="C168" s="538">
        <f t="shared" si="18"/>
        <v>4.630482941958352</v>
      </c>
      <c r="D168" s="538">
        <f t="shared" si="18"/>
        <v>5.2575593952483803</v>
      </c>
      <c r="E168" s="539">
        <f t="shared" si="19"/>
        <v>0.62707645329002837</v>
      </c>
    </row>
    <row r="169" spans="1:5" s="506" customFormat="1" x14ac:dyDescent="0.2">
      <c r="A169" s="512"/>
      <c r="B169" s="516" t="s">
        <v>718</v>
      </c>
      <c r="C169" s="538">
        <f t="shared" si="18"/>
        <v>4.1878322504430008</v>
      </c>
      <c r="D169" s="538">
        <f t="shared" si="18"/>
        <v>4.9184890656063622</v>
      </c>
      <c r="E169" s="539">
        <f t="shared" si="19"/>
        <v>0.73065681516336145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319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1.0759000000000001</v>
      </c>
      <c r="D173" s="541">
        <f t="shared" si="20"/>
        <v>1.3484</v>
      </c>
      <c r="E173" s="542">
        <f t="shared" ref="E173:E181" si="21">D173-C173</f>
        <v>0.27249999999999996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1.4282999999999999</v>
      </c>
      <c r="D174" s="541">
        <f t="shared" si="20"/>
        <v>1.4683999999999999</v>
      </c>
      <c r="E174" s="542">
        <f t="shared" si="21"/>
        <v>4.0100000000000025E-2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0.87245072868217055</v>
      </c>
      <c r="D175" s="541">
        <f t="shared" si="20"/>
        <v>1.103</v>
      </c>
      <c r="E175" s="542">
        <f t="shared" si="21"/>
        <v>0.23054927131782943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</v>
      </c>
      <c r="D176" s="541">
        <f t="shared" si="20"/>
        <v>1.103</v>
      </c>
      <c r="E176" s="542">
        <f t="shared" si="21"/>
        <v>0.30299999999999994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1.28176</v>
      </c>
      <c r="D177" s="541">
        <f t="shared" si="20"/>
        <v>0</v>
      </c>
      <c r="E177" s="542">
        <f t="shared" si="21"/>
        <v>-1.28176</v>
      </c>
    </row>
    <row r="178" spans="1:5" s="506" customFormat="1" x14ac:dyDescent="0.2">
      <c r="A178" s="512">
        <v>6</v>
      </c>
      <c r="B178" s="511" t="s">
        <v>416</v>
      </c>
      <c r="C178" s="541">
        <f t="shared" si="20"/>
        <v>1.0069999999999999</v>
      </c>
      <c r="D178" s="541">
        <f t="shared" si="20"/>
        <v>0.78386999999999996</v>
      </c>
      <c r="E178" s="542">
        <f t="shared" si="21"/>
        <v>-0.22312999999999994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1.0134799999999999</v>
      </c>
      <c r="D179" s="541">
        <f t="shared" si="20"/>
        <v>1.2078</v>
      </c>
      <c r="E179" s="542">
        <f t="shared" si="21"/>
        <v>0.19432000000000005</v>
      </c>
    </row>
    <row r="180" spans="1:5" s="506" customFormat="1" x14ac:dyDescent="0.2">
      <c r="A180" s="512"/>
      <c r="B180" s="516" t="s">
        <v>786</v>
      </c>
      <c r="C180" s="543">
        <f t="shared" si="20"/>
        <v>1.2662774568010635</v>
      </c>
      <c r="D180" s="543">
        <f t="shared" si="20"/>
        <v>1.4144146922246219</v>
      </c>
      <c r="E180" s="544">
        <f t="shared" si="21"/>
        <v>0.14813723542355839</v>
      </c>
    </row>
    <row r="181" spans="1:5" s="506" customFormat="1" x14ac:dyDescent="0.2">
      <c r="A181" s="512"/>
      <c r="B181" s="516" t="s">
        <v>695</v>
      </c>
      <c r="C181" s="543">
        <f t="shared" si="20"/>
        <v>1.2027995629060839</v>
      </c>
      <c r="D181" s="543">
        <f t="shared" si="20"/>
        <v>1.3970120119284293</v>
      </c>
      <c r="E181" s="544">
        <f t="shared" si="21"/>
        <v>0.19421244902234536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340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788</v>
      </c>
      <c r="C185" s="513">
        <v>60244853</v>
      </c>
      <c r="D185" s="513">
        <v>57080304</v>
      </c>
      <c r="E185" s="514">
        <f>D185-C185</f>
        <v>-3164549</v>
      </c>
    </row>
    <row r="186" spans="1:5" s="506" customFormat="1" ht="25.5" x14ac:dyDescent="0.2">
      <c r="A186" s="512">
        <v>2</v>
      </c>
      <c r="B186" s="511" t="s">
        <v>789</v>
      </c>
      <c r="C186" s="513">
        <v>30009695</v>
      </c>
      <c r="D186" s="513">
        <v>31183459</v>
      </c>
      <c r="E186" s="514">
        <f>D186-C186</f>
        <v>1173764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30235158</v>
      </c>
      <c r="D188" s="546">
        <f>+D185-D186</f>
        <v>25896845</v>
      </c>
      <c r="E188" s="514">
        <f t="shared" ref="E188:E197" si="22">D188-C188</f>
        <v>-4338313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0.50187122209427582</v>
      </c>
      <c r="D189" s="547">
        <f>IF(D185=0,0,+D188/D185)</f>
        <v>0.4536914344394522</v>
      </c>
      <c r="E189" s="523">
        <f t="shared" si="22"/>
        <v>-4.8179787654823614E-2</v>
      </c>
    </row>
    <row r="190" spans="1:5" s="506" customFormat="1" x14ac:dyDescent="0.2">
      <c r="A190" s="512">
        <v>5</v>
      </c>
      <c r="B190" s="511" t="s">
        <v>736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722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790</v>
      </c>
      <c r="C192" s="513">
        <v>327558</v>
      </c>
      <c r="D192" s="513">
        <v>0</v>
      </c>
      <c r="E192" s="546">
        <f t="shared" si="22"/>
        <v>-327558</v>
      </c>
    </row>
    <row r="193" spans="1:5" s="506" customFormat="1" x14ac:dyDescent="0.2">
      <c r="A193" s="512">
        <v>8</v>
      </c>
      <c r="B193" s="511" t="s">
        <v>791</v>
      </c>
      <c r="C193" s="513">
        <v>772244</v>
      </c>
      <c r="D193" s="513">
        <v>821721</v>
      </c>
      <c r="E193" s="546">
        <f t="shared" si="22"/>
        <v>49477</v>
      </c>
    </row>
    <row r="194" spans="1:5" s="506" customFormat="1" x14ac:dyDescent="0.2">
      <c r="A194" s="512">
        <v>9</v>
      </c>
      <c r="B194" s="511" t="s">
        <v>792</v>
      </c>
      <c r="C194" s="513">
        <v>3601814</v>
      </c>
      <c r="D194" s="513">
        <v>2925278</v>
      </c>
      <c r="E194" s="546">
        <f t="shared" si="22"/>
        <v>-676536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4374058</v>
      </c>
      <c r="D195" s="513">
        <f>+D193+D194</f>
        <v>3746999</v>
      </c>
      <c r="E195" s="549">
        <f t="shared" si="22"/>
        <v>-627059</v>
      </c>
    </row>
    <row r="196" spans="1:5" s="506" customFormat="1" x14ac:dyDescent="0.2">
      <c r="A196" s="512">
        <v>11</v>
      </c>
      <c r="B196" s="511" t="s">
        <v>794</v>
      </c>
      <c r="C196" s="513">
        <v>60244853</v>
      </c>
      <c r="D196" s="513">
        <v>57080304</v>
      </c>
      <c r="E196" s="546">
        <f t="shared" si="22"/>
        <v>-3164549</v>
      </c>
    </row>
    <row r="197" spans="1:5" s="506" customFormat="1" x14ac:dyDescent="0.2">
      <c r="A197" s="512">
        <v>12</v>
      </c>
      <c r="B197" s="511" t="s">
        <v>679</v>
      </c>
      <c r="C197" s="513">
        <v>65883977</v>
      </c>
      <c r="D197" s="513">
        <v>68017199</v>
      </c>
      <c r="E197" s="546">
        <f t="shared" si="22"/>
        <v>2133222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1214.6911</v>
      </c>
      <c r="D203" s="553">
        <v>893.98919999999998</v>
      </c>
      <c r="E203" s="554">
        <f t="shared" ref="E203:E211" si="23">D203-C203</f>
        <v>-320.70190000000002</v>
      </c>
    </row>
    <row r="204" spans="1:5" s="506" customFormat="1" x14ac:dyDescent="0.2">
      <c r="A204" s="512">
        <v>2</v>
      </c>
      <c r="B204" s="511" t="s">
        <v>604</v>
      </c>
      <c r="C204" s="553">
        <v>2278.1385</v>
      </c>
      <c r="D204" s="553">
        <v>2321.5403999999999</v>
      </c>
      <c r="E204" s="554">
        <f t="shared" si="23"/>
        <v>43.401899999999841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562.73072000000002</v>
      </c>
      <c r="D205" s="553">
        <f>D206+D207</f>
        <v>295.60399999999998</v>
      </c>
      <c r="E205" s="554">
        <f t="shared" si="23"/>
        <v>-267.12672000000003</v>
      </c>
    </row>
    <row r="206" spans="1:5" s="506" customFormat="1" x14ac:dyDescent="0.2">
      <c r="A206" s="512">
        <v>4</v>
      </c>
      <c r="B206" s="511" t="s">
        <v>114</v>
      </c>
      <c r="C206" s="553">
        <v>438.40000000000003</v>
      </c>
      <c r="D206" s="553">
        <v>295.60399999999998</v>
      </c>
      <c r="E206" s="554">
        <f t="shared" si="23"/>
        <v>-142.79600000000005</v>
      </c>
    </row>
    <row r="207" spans="1:5" s="506" customFormat="1" x14ac:dyDescent="0.2">
      <c r="A207" s="512">
        <v>5</v>
      </c>
      <c r="B207" s="511" t="s">
        <v>717</v>
      </c>
      <c r="C207" s="553">
        <v>124.33072</v>
      </c>
      <c r="D207" s="553">
        <v>0</v>
      </c>
      <c r="E207" s="554">
        <f t="shared" si="23"/>
        <v>-124.33072</v>
      </c>
    </row>
    <row r="208" spans="1:5" s="506" customFormat="1" x14ac:dyDescent="0.2">
      <c r="A208" s="512">
        <v>6</v>
      </c>
      <c r="B208" s="511" t="s">
        <v>416</v>
      </c>
      <c r="C208" s="553">
        <v>17.119</v>
      </c>
      <c r="D208" s="553">
        <v>2.35161</v>
      </c>
      <c r="E208" s="554">
        <f t="shared" si="23"/>
        <v>-14.767389999999999</v>
      </c>
    </row>
    <row r="209" spans="1:5" s="506" customFormat="1" x14ac:dyDescent="0.2">
      <c r="A209" s="512">
        <v>7</v>
      </c>
      <c r="B209" s="511" t="s">
        <v>732</v>
      </c>
      <c r="C209" s="553">
        <v>65.876199999999997</v>
      </c>
      <c r="D209" s="553">
        <v>76.091399999999993</v>
      </c>
      <c r="E209" s="554">
        <f t="shared" si="23"/>
        <v>10.215199999999996</v>
      </c>
    </row>
    <row r="210" spans="1:5" s="506" customFormat="1" x14ac:dyDescent="0.2">
      <c r="A210" s="512"/>
      <c r="B210" s="516" t="s">
        <v>797</v>
      </c>
      <c r="C210" s="555">
        <f>C204+C205+C208</f>
        <v>2857.9882200000002</v>
      </c>
      <c r="D210" s="555">
        <f>D204+D205+D208</f>
        <v>2619.4960099999998</v>
      </c>
      <c r="E210" s="556">
        <f t="shared" si="23"/>
        <v>-238.49221000000034</v>
      </c>
    </row>
    <row r="211" spans="1:5" s="506" customFormat="1" x14ac:dyDescent="0.2">
      <c r="A211" s="512"/>
      <c r="B211" s="516" t="s">
        <v>696</v>
      </c>
      <c r="C211" s="555">
        <f>C210+C203</f>
        <v>4072.6793200000002</v>
      </c>
      <c r="D211" s="555">
        <f>D210+D203</f>
        <v>3513.4852099999998</v>
      </c>
      <c r="E211" s="556">
        <f t="shared" si="23"/>
        <v>-559.19411000000036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3049.9820504491349</v>
      </c>
      <c r="D215" s="557">
        <f>IF(D14*D137=0,0,D25/D14*D137)</f>
        <v>2400.7900884869778</v>
      </c>
      <c r="E215" s="557">
        <f t="shared" ref="E215:E223" si="24">D215-C215</f>
        <v>-649.19196196215717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1227.6206833797771</v>
      </c>
      <c r="D216" s="557">
        <f>IF(D15*D138=0,0,D26/D15*D138)</f>
        <v>1304.9233726110072</v>
      </c>
      <c r="E216" s="557">
        <f t="shared" si="24"/>
        <v>77.302689231230033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1471.7732551051736</v>
      </c>
      <c r="D217" s="557">
        <f>D218+D219</f>
        <v>1010.5928310771503</v>
      </c>
      <c r="E217" s="557">
        <f t="shared" si="24"/>
        <v>-461.18042402802325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1312.3762396482978</v>
      </c>
      <c r="D218" s="557">
        <f t="shared" si="25"/>
        <v>1010.5928310771503</v>
      </c>
      <c r="E218" s="557">
        <f t="shared" si="24"/>
        <v>-301.78340857114745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159.39701545687578</v>
      </c>
      <c r="D219" s="557">
        <f t="shared" si="25"/>
        <v>0</v>
      </c>
      <c r="E219" s="557">
        <f t="shared" si="24"/>
        <v>-159.39701545687578</v>
      </c>
    </row>
    <row r="220" spans="1:5" s="506" customFormat="1" x14ac:dyDescent="0.2">
      <c r="A220" s="512">
        <v>6</v>
      </c>
      <c r="B220" s="511" t="s">
        <v>416</v>
      </c>
      <c r="C220" s="557">
        <f t="shared" si="25"/>
        <v>25.11674500869578</v>
      </c>
      <c r="D220" s="557">
        <f t="shared" si="25"/>
        <v>90.634160090191656</v>
      </c>
      <c r="E220" s="557">
        <f t="shared" si="24"/>
        <v>65.517415081495869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249.79937814834437</v>
      </c>
      <c r="D221" s="557">
        <f t="shared" si="25"/>
        <v>252.09165570864289</v>
      </c>
      <c r="E221" s="557">
        <f t="shared" si="24"/>
        <v>2.2922775602985155</v>
      </c>
    </row>
    <row r="222" spans="1:5" s="506" customFormat="1" x14ac:dyDescent="0.2">
      <c r="A222" s="512"/>
      <c r="B222" s="516" t="s">
        <v>799</v>
      </c>
      <c r="C222" s="558">
        <f>C216+C218+C219+C220</f>
        <v>2724.5106834936464</v>
      </c>
      <c r="D222" s="558">
        <f>D216+D218+D219+D220</f>
        <v>2406.1503637783489</v>
      </c>
      <c r="E222" s="558">
        <f t="shared" si="24"/>
        <v>-318.36031971529746</v>
      </c>
    </row>
    <row r="223" spans="1:5" s="506" customFormat="1" x14ac:dyDescent="0.2">
      <c r="A223" s="512"/>
      <c r="B223" s="516" t="s">
        <v>800</v>
      </c>
      <c r="C223" s="558">
        <f>C215+C222</f>
        <v>5774.4927339427813</v>
      </c>
      <c r="D223" s="558">
        <f>D215+D222</f>
        <v>4806.9404522653267</v>
      </c>
      <c r="E223" s="558">
        <f t="shared" si="24"/>
        <v>-967.55228167745463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6860.6734666945367</v>
      </c>
      <c r="D227" s="560">
        <f t="shared" si="26"/>
        <v>8067.8916479080508</v>
      </c>
      <c r="E227" s="560">
        <f t="shared" ref="E227:E235" si="27">D227-C227</f>
        <v>1207.2181812135141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6528.3458402551032</v>
      </c>
      <c r="D228" s="560">
        <f t="shared" si="26"/>
        <v>6442.6585038106596</v>
      </c>
      <c r="E228" s="560">
        <f t="shared" si="27"/>
        <v>-85.687336444443645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4499.3509506642895</v>
      </c>
      <c r="D229" s="560">
        <f t="shared" si="26"/>
        <v>4708.5255950528408</v>
      </c>
      <c r="E229" s="560">
        <f t="shared" si="27"/>
        <v>209.17464438855131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4728.0155109489051</v>
      </c>
      <c r="D230" s="560">
        <f t="shared" si="26"/>
        <v>4708.5255950528408</v>
      </c>
      <c r="E230" s="560">
        <f t="shared" si="27"/>
        <v>-19.489915896064304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3693.0615378081943</v>
      </c>
      <c r="D231" s="560">
        <f t="shared" si="26"/>
        <v>0</v>
      </c>
      <c r="E231" s="560">
        <f t="shared" si="27"/>
        <v>-3693.0615378081943</v>
      </c>
    </row>
    <row r="232" spans="1:5" s="506" customFormat="1" x14ac:dyDescent="0.2">
      <c r="A232" s="512">
        <v>6</v>
      </c>
      <c r="B232" s="511" t="s">
        <v>416</v>
      </c>
      <c r="C232" s="560">
        <f t="shared" si="26"/>
        <v>5321.3388632513579</v>
      </c>
      <c r="D232" s="560">
        <f t="shared" si="26"/>
        <v>2224.4334732374841</v>
      </c>
      <c r="E232" s="560">
        <f t="shared" si="27"/>
        <v>-3096.9053900138738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3856.3699788390954</v>
      </c>
      <c r="D233" s="560">
        <f t="shared" si="26"/>
        <v>54.631666653524583</v>
      </c>
      <c r="E233" s="560">
        <f t="shared" si="27"/>
        <v>-3801.738312185571</v>
      </c>
    </row>
    <row r="234" spans="1:5" x14ac:dyDescent="0.2">
      <c r="A234" s="512"/>
      <c r="B234" s="516" t="s">
        <v>802</v>
      </c>
      <c r="C234" s="561">
        <f t="shared" si="26"/>
        <v>6121.6120058045581</v>
      </c>
      <c r="D234" s="561">
        <f t="shared" si="26"/>
        <v>6243.1788166762663</v>
      </c>
      <c r="E234" s="561">
        <f t="shared" si="27"/>
        <v>121.56681087170819</v>
      </c>
    </row>
    <row r="235" spans="1:5" s="506" customFormat="1" x14ac:dyDescent="0.2">
      <c r="A235" s="512"/>
      <c r="B235" s="516" t="s">
        <v>803</v>
      </c>
      <c r="C235" s="561">
        <f t="shared" si="26"/>
        <v>6342.0397164979831</v>
      </c>
      <c r="D235" s="561">
        <f t="shared" si="26"/>
        <v>6707.468109706374</v>
      </c>
      <c r="E235" s="561">
        <f t="shared" si="27"/>
        <v>365.42839320839084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319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7106.958546463582</v>
      </c>
      <c r="D239" s="560">
        <f t="shared" si="28"/>
        <v>9971.3444814689592</v>
      </c>
      <c r="E239" s="562">
        <f t="shared" ref="E239:E247" si="29">D239-C239</f>
        <v>2864.3859350053772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6826.1182899991891</v>
      </c>
      <c r="D240" s="560">
        <f t="shared" si="28"/>
        <v>6038.1491859053376</v>
      </c>
      <c r="E240" s="562">
        <f t="shared" si="29"/>
        <v>-787.96910409385146</v>
      </c>
    </row>
    <row r="241" spans="1:5" x14ac:dyDescent="0.2">
      <c r="A241" s="512">
        <v>3</v>
      </c>
      <c r="B241" s="511" t="s">
        <v>750</v>
      </c>
      <c r="C241" s="560">
        <f t="shared" si="28"/>
        <v>2788.8494275612356</v>
      </c>
      <c r="D241" s="560">
        <f t="shared" si="28"/>
        <v>4287.7842259987256</v>
      </c>
      <c r="E241" s="562">
        <f t="shared" si="29"/>
        <v>1498.9347984374899</v>
      </c>
    </row>
    <row r="242" spans="1:5" x14ac:dyDescent="0.2">
      <c r="A242" s="512">
        <v>4</v>
      </c>
      <c r="B242" s="511" t="s">
        <v>114</v>
      </c>
      <c r="C242" s="560">
        <f t="shared" si="28"/>
        <v>2941.8553028929091</v>
      </c>
      <c r="D242" s="560">
        <f t="shared" si="28"/>
        <v>4287.7842259987256</v>
      </c>
      <c r="E242" s="562">
        <f t="shared" si="29"/>
        <v>1345.9289231058165</v>
      </c>
    </row>
    <row r="243" spans="1:5" x14ac:dyDescent="0.2">
      <c r="A243" s="512">
        <v>5</v>
      </c>
      <c r="B243" s="511" t="s">
        <v>717</v>
      </c>
      <c r="C243" s="560">
        <f t="shared" si="28"/>
        <v>1529.0938748218971</v>
      </c>
      <c r="D243" s="560">
        <f t="shared" si="28"/>
        <v>0</v>
      </c>
      <c r="E243" s="562">
        <f t="shared" si="29"/>
        <v>-1529.0938748218971</v>
      </c>
    </row>
    <row r="244" spans="1:5" x14ac:dyDescent="0.2">
      <c r="A244" s="512">
        <v>6</v>
      </c>
      <c r="B244" s="511" t="s">
        <v>416</v>
      </c>
      <c r="C244" s="560">
        <f t="shared" si="28"/>
        <v>10152.987575090317</v>
      </c>
      <c r="D244" s="560">
        <f t="shared" si="28"/>
        <v>3431.3662717293282</v>
      </c>
      <c r="E244" s="562">
        <f t="shared" si="29"/>
        <v>-6721.6213033609893</v>
      </c>
    </row>
    <row r="245" spans="1:5" x14ac:dyDescent="0.2">
      <c r="A245" s="512">
        <v>7</v>
      </c>
      <c r="B245" s="511" t="s">
        <v>732</v>
      </c>
      <c r="C245" s="560">
        <f t="shared" si="28"/>
        <v>2687.5086918804227</v>
      </c>
      <c r="D245" s="560">
        <f t="shared" si="28"/>
        <v>729.67508378220987</v>
      </c>
      <c r="E245" s="562">
        <f t="shared" si="29"/>
        <v>-1957.8336080982128</v>
      </c>
    </row>
    <row r="246" spans="1:5" ht="25.5" x14ac:dyDescent="0.2">
      <c r="A246" s="512"/>
      <c r="B246" s="516" t="s">
        <v>805</v>
      </c>
      <c r="C246" s="561">
        <f t="shared" si="28"/>
        <v>4675.8664141717281</v>
      </c>
      <c r="D246" s="561">
        <f t="shared" si="28"/>
        <v>5204.7973345832215</v>
      </c>
      <c r="E246" s="563">
        <f t="shared" si="29"/>
        <v>528.93092041149339</v>
      </c>
    </row>
    <row r="247" spans="1:5" x14ac:dyDescent="0.2">
      <c r="A247" s="512"/>
      <c r="B247" s="516" t="s">
        <v>806</v>
      </c>
      <c r="C247" s="561">
        <f t="shared" si="28"/>
        <v>5959.9250679983661</v>
      </c>
      <c r="D247" s="561">
        <f t="shared" si="28"/>
        <v>7585.4132919030772</v>
      </c>
      <c r="E247" s="563">
        <f t="shared" si="29"/>
        <v>1625.488223904711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5097614.4528236045</v>
      </c>
      <c r="D251" s="546">
        <f>((IF((IF(D15=0,0,D26/D15)*D138)=0,0,D59/(IF(D15=0,0,D26/D15)*D138)))-(IF((IF(D17=0,0,D28/D17)*D140)=0,0,D61/(IF(D17=0,0,D28/D17)*D140))))*(IF(D17=0,0,D28/D17)*D140)</f>
        <v>1768906.2802502657</v>
      </c>
      <c r="E251" s="546">
        <f>D251-C251</f>
        <v>-3328708.1725733387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1196842.8213093851</v>
      </c>
      <c r="D252" s="546">
        <f>IF(D231=0,0,(D228-D231)*D207)+IF(D243=0,0,(D240-D243)*D219)</f>
        <v>0</v>
      </c>
      <c r="E252" s="546">
        <f>D252-C252</f>
        <v>-1196842.8213093851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1209841.7202506505</v>
      </c>
      <c r="D253" s="546">
        <f>IF(D233=0,0,(D228-D233)*D209+IF(D221=0,0,(D240-D245)*D221))</f>
        <v>1824295.9309675288</v>
      </c>
      <c r="E253" s="546">
        <f>D253-C253</f>
        <v>614454.2107168783</v>
      </c>
    </row>
    <row r="254" spans="1:5" ht="15" customHeight="1" x14ac:dyDescent="0.2">
      <c r="A254" s="512"/>
      <c r="B254" s="516" t="s">
        <v>733</v>
      </c>
      <c r="C254" s="564">
        <f>+C251+C252+C253</f>
        <v>7504298.9943836397</v>
      </c>
      <c r="D254" s="564">
        <f>+D251+D252+D253</f>
        <v>3593202.2112177946</v>
      </c>
      <c r="E254" s="564">
        <f>D254-C254</f>
        <v>-3911096.7831658451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147134140</v>
      </c>
      <c r="D258" s="549">
        <f>+D44</f>
        <v>148072622</v>
      </c>
      <c r="E258" s="546">
        <f t="shared" ref="E258:E271" si="30">D258-C258</f>
        <v>938482</v>
      </c>
    </row>
    <row r="259" spans="1:5" x14ac:dyDescent="0.2">
      <c r="A259" s="512">
        <v>2</v>
      </c>
      <c r="B259" s="511" t="s">
        <v>716</v>
      </c>
      <c r="C259" s="546">
        <f>+(C43-C76)</f>
        <v>56654344</v>
      </c>
      <c r="D259" s="549">
        <f>+(D43-D76)</f>
        <v>62114811</v>
      </c>
      <c r="E259" s="546">
        <f t="shared" si="30"/>
        <v>5460467</v>
      </c>
    </row>
    <row r="260" spans="1:5" x14ac:dyDescent="0.2">
      <c r="A260" s="512">
        <v>3</v>
      </c>
      <c r="B260" s="511" t="s">
        <v>720</v>
      </c>
      <c r="C260" s="546">
        <f>C195</f>
        <v>4374058</v>
      </c>
      <c r="D260" s="546">
        <f>D195</f>
        <v>3746999</v>
      </c>
      <c r="E260" s="546">
        <f t="shared" si="30"/>
        <v>-627059</v>
      </c>
    </row>
    <row r="261" spans="1:5" x14ac:dyDescent="0.2">
      <c r="A261" s="512">
        <v>4</v>
      </c>
      <c r="B261" s="511" t="s">
        <v>721</v>
      </c>
      <c r="C261" s="546">
        <f>C188</f>
        <v>30235158</v>
      </c>
      <c r="D261" s="546">
        <f>D188</f>
        <v>25896845</v>
      </c>
      <c r="E261" s="546">
        <f t="shared" si="30"/>
        <v>-4338313</v>
      </c>
    </row>
    <row r="262" spans="1:5" x14ac:dyDescent="0.2">
      <c r="A262" s="512">
        <v>5</v>
      </c>
      <c r="B262" s="511" t="s">
        <v>722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723</v>
      </c>
      <c r="C263" s="546">
        <f>+C259+C260+C261+C262</f>
        <v>91263560</v>
      </c>
      <c r="D263" s="546">
        <f>+D259+D260+D261+D262</f>
        <v>91758655</v>
      </c>
      <c r="E263" s="546">
        <f t="shared" si="30"/>
        <v>495095</v>
      </c>
    </row>
    <row r="264" spans="1:5" x14ac:dyDescent="0.2">
      <c r="A264" s="512">
        <v>7</v>
      </c>
      <c r="B264" s="511" t="s">
        <v>623</v>
      </c>
      <c r="C264" s="546">
        <f>+C258-C263</f>
        <v>55870580</v>
      </c>
      <c r="D264" s="546">
        <f>+D258-D263</f>
        <v>56313967</v>
      </c>
      <c r="E264" s="546">
        <f t="shared" si="30"/>
        <v>443387</v>
      </c>
    </row>
    <row r="265" spans="1:5" x14ac:dyDescent="0.2">
      <c r="A265" s="512">
        <v>8</v>
      </c>
      <c r="B265" s="511" t="s">
        <v>809</v>
      </c>
      <c r="C265" s="565">
        <f>C192</f>
        <v>327558</v>
      </c>
      <c r="D265" s="565">
        <f>D192</f>
        <v>0</v>
      </c>
      <c r="E265" s="546">
        <f t="shared" si="30"/>
        <v>-327558</v>
      </c>
    </row>
    <row r="266" spans="1:5" x14ac:dyDescent="0.2">
      <c r="A266" s="512">
        <v>9</v>
      </c>
      <c r="B266" s="511" t="s">
        <v>810</v>
      </c>
      <c r="C266" s="546">
        <f>+C264+C265</f>
        <v>56198138</v>
      </c>
      <c r="D266" s="546">
        <f>+D264+D265</f>
        <v>56313967</v>
      </c>
      <c r="E266" s="565">
        <f t="shared" si="30"/>
        <v>115829</v>
      </c>
    </row>
    <row r="267" spans="1:5" x14ac:dyDescent="0.2">
      <c r="A267" s="512">
        <v>10</v>
      </c>
      <c r="B267" s="511" t="s">
        <v>811</v>
      </c>
      <c r="C267" s="566">
        <f>IF(C258=0,0,C266/C258)</f>
        <v>0.38195172106215458</v>
      </c>
      <c r="D267" s="566">
        <f>IF(D258=0,0,D266/D258)</f>
        <v>0.38031316147018723</v>
      </c>
      <c r="E267" s="567">
        <f t="shared" si="30"/>
        <v>-1.6385595919673479E-3</v>
      </c>
    </row>
    <row r="268" spans="1:5" x14ac:dyDescent="0.2">
      <c r="A268" s="512">
        <v>11</v>
      </c>
      <c r="B268" s="511" t="s">
        <v>685</v>
      </c>
      <c r="C268" s="546">
        <f>+C260*C267</f>
        <v>1670678.9811256859</v>
      </c>
      <c r="D268" s="568">
        <f>+D260*D267</f>
        <v>1425033.03571563</v>
      </c>
      <c r="E268" s="546">
        <f t="shared" si="30"/>
        <v>-245645.94541005581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2490682.1953353994</v>
      </c>
      <c r="D269" s="568">
        <f>((D17+D18+D28+D29)*D267)-(D50+D51+D61+D62)</f>
        <v>3067130.3805030677</v>
      </c>
      <c r="E269" s="546">
        <f t="shared" si="30"/>
        <v>576448.18516766839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814</v>
      </c>
      <c r="C271" s="546">
        <f>+C268+C269+C270</f>
        <v>4161361.1764610852</v>
      </c>
      <c r="D271" s="546">
        <f>+D268+D269+D270</f>
        <v>4492163.416218698</v>
      </c>
      <c r="E271" s="549">
        <f t="shared" si="30"/>
        <v>330802.23975761281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0.51202269818471413</v>
      </c>
      <c r="D276" s="547">
        <f t="shared" si="31"/>
        <v>0.58391755248095467</v>
      </c>
      <c r="E276" s="574">
        <f t="shared" ref="E276:E284" si="32">D276-C276</f>
        <v>7.189485429624054E-2</v>
      </c>
    </row>
    <row r="277" spans="1:5" x14ac:dyDescent="0.2">
      <c r="A277" s="512">
        <v>2</v>
      </c>
      <c r="B277" s="511" t="s">
        <v>604</v>
      </c>
      <c r="C277" s="547">
        <f t="shared" si="31"/>
        <v>0.42231071760311467</v>
      </c>
      <c r="D277" s="547">
        <f t="shared" si="31"/>
        <v>0.4052201246820149</v>
      </c>
      <c r="E277" s="574">
        <f t="shared" si="32"/>
        <v>-1.7090592921099768E-2</v>
      </c>
    </row>
    <row r="278" spans="1:5" x14ac:dyDescent="0.2">
      <c r="A278" s="512">
        <v>3</v>
      </c>
      <c r="B278" s="511" t="s">
        <v>750</v>
      </c>
      <c r="C278" s="547">
        <f t="shared" si="31"/>
        <v>0.34217418303767205</v>
      </c>
      <c r="D278" s="547">
        <f t="shared" si="31"/>
        <v>0.28723465506990603</v>
      </c>
      <c r="E278" s="574">
        <f t="shared" si="32"/>
        <v>-5.4939527967766022E-2</v>
      </c>
    </row>
    <row r="279" spans="1:5" x14ac:dyDescent="0.2">
      <c r="A279" s="512">
        <v>4</v>
      </c>
      <c r="B279" s="511" t="s">
        <v>114</v>
      </c>
      <c r="C279" s="547">
        <f t="shared" si="31"/>
        <v>0.35918167183349248</v>
      </c>
      <c r="D279" s="547">
        <f t="shared" si="31"/>
        <v>0.28723465506990603</v>
      </c>
      <c r="E279" s="574">
        <f t="shared" si="32"/>
        <v>-7.1947016763586447E-2</v>
      </c>
    </row>
    <row r="280" spans="1:5" x14ac:dyDescent="0.2">
      <c r="A280" s="512">
        <v>5</v>
      </c>
      <c r="B280" s="511" t="s">
        <v>717</v>
      </c>
      <c r="C280" s="547">
        <f t="shared" si="31"/>
        <v>0.28191438088075027</v>
      </c>
      <c r="D280" s="547">
        <f t="shared" si="31"/>
        <v>0</v>
      </c>
      <c r="E280" s="574">
        <f t="shared" si="32"/>
        <v>-0.28191438088075027</v>
      </c>
    </row>
    <row r="281" spans="1:5" x14ac:dyDescent="0.2">
      <c r="A281" s="512">
        <v>6</v>
      </c>
      <c r="B281" s="511" t="s">
        <v>416</v>
      </c>
      <c r="C281" s="547">
        <f t="shared" si="31"/>
        <v>0.33636977930071893</v>
      </c>
      <c r="D281" s="547">
        <f t="shared" si="31"/>
        <v>0.32763372165852439</v>
      </c>
      <c r="E281" s="574">
        <f t="shared" si="32"/>
        <v>-8.7360576421945391E-3</v>
      </c>
    </row>
    <row r="282" spans="1:5" x14ac:dyDescent="0.2">
      <c r="A282" s="512">
        <v>7</v>
      </c>
      <c r="B282" s="511" t="s">
        <v>732</v>
      </c>
      <c r="C282" s="547">
        <f t="shared" si="31"/>
        <v>0.23571629386805276</v>
      </c>
      <c r="D282" s="547">
        <f t="shared" si="31"/>
        <v>5.2865576205530984E-3</v>
      </c>
      <c r="E282" s="574">
        <f t="shared" si="32"/>
        <v>-0.23042973624749966</v>
      </c>
    </row>
    <row r="283" spans="1:5" ht="29.25" customHeight="1" x14ac:dyDescent="0.2">
      <c r="A283" s="512"/>
      <c r="B283" s="516" t="s">
        <v>818</v>
      </c>
      <c r="C283" s="575">
        <f t="shared" si="31"/>
        <v>0.40794173278578899</v>
      </c>
      <c r="D283" s="575">
        <f t="shared" si="31"/>
        <v>0.39150375118891806</v>
      </c>
      <c r="E283" s="576">
        <f t="shared" si="32"/>
        <v>-1.6437981596870932E-2</v>
      </c>
    </row>
    <row r="284" spans="1:5" x14ac:dyDescent="0.2">
      <c r="A284" s="512"/>
      <c r="B284" s="516" t="s">
        <v>819</v>
      </c>
      <c r="C284" s="575">
        <f t="shared" si="31"/>
        <v>0.43657454000999507</v>
      </c>
      <c r="D284" s="575">
        <f t="shared" si="31"/>
        <v>0.43541588501716688</v>
      </c>
      <c r="E284" s="576">
        <f t="shared" si="32"/>
        <v>-1.1586549928281897E-3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0.49298571944324249</v>
      </c>
      <c r="D287" s="547">
        <f t="shared" si="33"/>
        <v>0.53521274853781298</v>
      </c>
      <c r="E287" s="574">
        <f t="shared" ref="E287:E295" si="34">D287-C287</f>
        <v>4.222702909457049E-2</v>
      </c>
    </row>
    <row r="288" spans="1:5" x14ac:dyDescent="0.2">
      <c r="A288" s="512">
        <v>2</v>
      </c>
      <c r="B288" s="511" t="s">
        <v>604</v>
      </c>
      <c r="C288" s="547">
        <f t="shared" si="33"/>
        <v>0.30916001794333503</v>
      </c>
      <c r="D288" s="547">
        <f t="shared" si="33"/>
        <v>0.25863384543958767</v>
      </c>
      <c r="E288" s="574">
        <f t="shared" si="34"/>
        <v>-5.0526172503747357E-2</v>
      </c>
    </row>
    <row r="289" spans="1:5" x14ac:dyDescent="0.2">
      <c r="A289" s="512">
        <v>3</v>
      </c>
      <c r="B289" s="511" t="s">
        <v>750</v>
      </c>
      <c r="C289" s="547">
        <f t="shared" si="33"/>
        <v>0.24881223952195702</v>
      </c>
      <c r="D289" s="547">
        <f t="shared" si="33"/>
        <v>0.23714245466622169</v>
      </c>
      <c r="E289" s="574">
        <f t="shared" si="34"/>
        <v>-1.1669784855735332E-2</v>
      </c>
    </row>
    <row r="290" spans="1:5" x14ac:dyDescent="0.2">
      <c r="A290" s="512">
        <v>4</v>
      </c>
      <c r="B290" s="511" t="s">
        <v>114</v>
      </c>
      <c r="C290" s="547">
        <f t="shared" si="33"/>
        <v>0.27936152692877653</v>
      </c>
      <c r="D290" s="547">
        <f t="shared" si="33"/>
        <v>0.23714245466622169</v>
      </c>
      <c r="E290" s="574">
        <f t="shared" si="34"/>
        <v>-4.2219072262554835E-2</v>
      </c>
    </row>
    <row r="291" spans="1:5" x14ac:dyDescent="0.2">
      <c r="A291" s="512">
        <v>5</v>
      </c>
      <c r="B291" s="511" t="s">
        <v>717</v>
      </c>
      <c r="C291" s="547">
        <f t="shared" si="33"/>
        <v>9.1066389880258489E-2</v>
      </c>
      <c r="D291" s="547">
        <f t="shared" si="33"/>
        <v>0</v>
      </c>
      <c r="E291" s="574">
        <f t="shared" si="34"/>
        <v>-9.1066389880258489E-2</v>
      </c>
    </row>
    <row r="292" spans="1:5" x14ac:dyDescent="0.2">
      <c r="A292" s="512">
        <v>6</v>
      </c>
      <c r="B292" s="511" t="s">
        <v>416</v>
      </c>
      <c r="C292" s="547">
        <f t="shared" si="33"/>
        <v>0.63732424286349798</v>
      </c>
      <c r="D292" s="547">
        <f t="shared" si="33"/>
        <v>0.64475127240310559</v>
      </c>
      <c r="E292" s="574">
        <f t="shared" si="34"/>
        <v>7.4270295396076103E-3</v>
      </c>
    </row>
    <row r="293" spans="1:5" x14ac:dyDescent="0.2">
      <c r="A293" s="512">
        <v>7</v>
      </c>
      <c r="B293" s="511" t="s">
        <v>732</v>
      </c>
      <c r="C293" s="547">
        <f t="shared" si="33"/>
        <v>0.16208603763234988</v>
      </c>
      <c r="D293" s="547">
        <f t="shared" si="33"/>
        <v>5.8460565457272892E-2</v>
      </c>
      <c r="E293" s="574">
        <f t="shared" si="34"/>
        <v>-0.10362547217507699</v>
      </c>
    </row>
    <row r="294" spans="1:5" ht="29.25" customHeight="1" x14ac:dyDescent="0.2">
      <c r="A294" s="512"/>
      <c r="B294" s="516" t="s">
        <v>821</v>
      </c>
      <c r="C294" s="575">
        <f t="shared" si="33"/>
        <v>0.28951943985696849</v>
      </c>
      <c r="D294" s="575">
        <f t="shared" si="33"/>
        <v>0.2544392691643525</v>
      </c>
      <c r="E294" s="576">
        <f t="shared" si="34"/>
        <v>-3.5080170692615986E-2</v>
      </c>
    </row>
    <row r="295" spans="1:5" x14ac:dyDescent="0.2">
      <c r="A295" s="512"/>
      <c r="B295" s="516" t="s">
        <v>822</v>
      </c>
      <c r="C295" s="575">
        <f t="shared" si="33"/>
        <v>0.39121437901038841</v>
      </c>
      <c r="D295" s="575">
        <f t="shared" si="33"/>
        <v>0.38811378586002926</v>
      </c>
      <c r="E295" s="576">
        <f t="shared" si="34"/>
        <v>-3.1005931503591544E-3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60244638</v>
      </c>
      <c r="D301" s="514">
        <f>+D48+D47+D50+D51+D52+D59+D58+D61+D62+D63</f>
        <v>60029220</v>
      </c>
      <c r="E301" s="514">
        <f>D301-C301</f>
        <v>-215418</v>
      </c>
    </row>
    <row r="302" spans="1:5" ht="25.5" x14ac:dyDescent="0.2">
      <c r="A302" s="512">
        <v>2</v>
      </c>
      <c r="B302" s="511" t="s">
        <v>826</v>
      </c>
      <c r="C302" s="546">
        <f>C265</f>
        <v>327558</v>
      </c>
      <c r="D302" s="546">
        <f>D265</f>
        <v>0</v>
      </c>
      <c r="E302" s="514">
        <f>D302-C302</f>
        <v>-327558</v>
      </c>
    </row>
    <row r="303" spans="1:5" x14ac:dyDescent="0.2">
      <c r="A303" s="512"/>
      <c r="B303" s="516" t="s">
        <v>827</v>
      </c>
      <c r="C303" s="517">
        <f>+C301+C302</f>
        <v>60572196</v>
      </c>
      <c r="D303" s="517">
        <f>+D301+D302</f>
        <v>60029220</v>
      </c>
      <c r="E303" s="517">
        <f>D303-C303</f>
        <v>-542976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3601814</v>
      </c>
      <c r="D305" s="578">
        <v>3357906</v>
      </c>
      <c r="E305" s="579">
        <f>D305-C305</f>
        <v>-243908</v>
      </c>
    </row>
    <row r="306" spans="1:5" x14ac:dyDescent="0.2">
      <c r="A306" s="512">
        <v>4</v>
      </c>
      <c r="B306" s="516" t="s">
        <v>829</v>
      </c>
      <c r="C306" s="580">
        <f>+C303+C305</f>
        <v>64174010</v>
      </c>
      <c r="D306" s="580">
        <f>+D303+D305</f>
        <v>63387126</v>
      </c>
      <c r="E306" s="580">
        <f>D306-C306</f>
        <v>-786884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64174022</v>
      </c>
      <c r="D308" s="513">
        <v>63387116</v>
      </c>
      <c r="E308" s="514">
        <f>D308-C308</f>
        <v>-786906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-12</v>
      </c>
      <c r="D310" s="582">
        <f>D306-D308</f>
        <v>10</v>
      </c>
      <c r="E310" s="580">
        <f>D310-C310</f>
        <v>22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147134140</v>
      </c>
      <c r="D314" s="514">
        <f>+D14+D15+D16+D19+D25+D26+D27+D30</f>
        <v>148072622</v>
      </c>
      <c r="E314" s="514">
        <f>D314-C314</f>
        <v>938482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147134140</v>
      </c>
      <c r="D316" s="581">
        <f>D314+D315</f>
        <v>148072622</v>
      </c>
      <c r="E316" s="517">
        <f>D316-C316</f>
        <v>938482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147134138</v>
      </c>
      <c r="D318" s="513">
        <v>148072623</v>
      </c>
      <c r="E318" s="514">
        <f>D318-C318</f>
        <v>938485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2</v>
      </c>
      <c r="D320" s="581">
        <f>D316-D318</f>
        <v>-1</v>
      </c>
      <c r="E320" s="517">
        <f>D320-C320</f>
        <v>-3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4374058</v>
      </c>
      <c r="D324" s="513">
        <f>+D193+D194</f>
        <v>3746999</v>
      </c>
      <c r="E324" s="514">
        <f>D324-C324</f>
        <v>-627059</v>
      </c>
    </row>
    <row r="325" spans="1:5" x14ac:dyDescent="0.2">
      <c r="A325" s="512">
        <v>2</v>
      </c>
      <c r="B325" s="511" t="s">
        <v>839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840</v>
      </c>
      <c r="C326" s="581">
        <f>C324+C325</f>
        <v>4374058</v>
      </c>
      <c r="D326" s="581">
        <f>D324+D325</f>
        <v>3746999</v>
      </c>
      <c r="E326" s="517">
        <f>D326-C326</f>
        <v>-627059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4374058</v>
      </c>
      <c r="D328" s="513">
        <v>3746999</v>
      </c>
      <c r="E328" s="514">
        <f>D328-C328</f>
        <v>-627059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FILING&amp;RROCKVILLE GENERAL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3" t="s">
        <v>0</v>
      </c>
      <c r="B2" s="703"/>
      <c r="C2" s="703"/>
      <c r="D2" s="585"/>
    </row>
    <row r="3" spans="1:58" s="338" customFormat="1" ht="15.75" customHeight="1" x14ac:dyDescent="0.25">
      <c r="A3" s="696" t="s">
        <v>595</v>
      </c>
      <c r="B3" s="697"/>
      <c r="C3" s="698"/>
      <c r="D3" s="585"/>
    </row>
    <row r="4" spans="1:58" s="338" customFormat="1" ht="15.75" customHeight="1" x14ac:dyDescent="0.25">
      <c r="A4" s="696" t="s">
        <v>2</v>
      </c>
      <c r="B4" s="697"/>
      <c r="C4" s="698"/>
      <c r="D4" s="585"/>
    </row>
    <row r="5" spans="1:58" s="338" customFormat="1" ht="15.75" customHeight="1" x14ac:dyDescent="0.25">
      <c r="A5" s="696" t="s">
        <v>843</v>
      </c>
      <c r="B5" s="697"/>
      <c r="C5" s="698"/>
      <c r="D5" s="585"/>
    </row>
    <row r="6" spans="1:58" s="338" customFormat="1" ht="15.75" customHeight="1" x14ac:dyDescent="0.25">
      <c r="A6" s="696" t="s">
        <v>844</v>
      </c>
      <c r="B6" s="697"/>
      <c r="C6" s="698"/>
      <c r="D6" s="585"/>
    </row>
    <row r="7" spans="1:58" s="338" customFormat="1" ht="15.75" customHeight="1" x14ac:dyDescent="0.25">
      <c r="A7" s="711"/>
      <c r="B7" s="711"/>
      <c r="C7" s="711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12352100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36910536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4845721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4845721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416</v>
      </c>
      <c r="C19" s="515">
        <v>15966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786334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41772223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54124323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44728204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30465162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18272578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18272578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416</v>
      </c>
      <c r="C30" s="515">
        <v>482355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3146480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49220095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93948299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57080304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90992318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148072622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319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7212608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14956892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1391859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1391859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416</v>
      </c>
      <c r="C46" s="515">
        <v>5231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4157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16353982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23566590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340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23939105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7879322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4333204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4333204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416</v>
      </c>
      <c r="C57" s="515">
        <v>310999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183945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12523525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36462630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352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31151713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28877507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60029220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663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1581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268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268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416</v>
      </c>
      <c r="C75" s="545">
        <v>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63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1852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2515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1.3484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1.4683999999999999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1.103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1.103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416</v>
      </c>
      <c r="C86" s="541">
        <v>0.78386999999999996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1.2078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1.4144146922246219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1.3970120119284293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57080304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31183459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25896845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0.4536914344394522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821721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2925278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3746999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4793055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68017199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60029220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60029220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3357906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63387126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63387116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10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148072622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148072622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148072623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-1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3746999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3746999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3746999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FILING&amp;RROCKVILLE GENERAL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595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596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856</v>
      </c>
      <c r="B5" s="713"/>
      <c r="C5" s="713"/>
      <c r="D5" s="713"/>
      <c r="E5" s="713"/>
      <c r="F5" s="714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398</v>
      </c>
      <c r="D12" s="49">
        <v>352</v>
      </c>
      <c r="E12" s="49">
        <f>+D12-C12</f>
        <v>-46</v>
      </c>
      <c r="F12" s="70">
        <f>IF(C12=0,0,+E12/C12)</f>
        <v>-0.11557788944723618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330</v>
      </c>
      <c r="D13" s="49">
        <v>303</v>
      </c>
      <c r="E13" s="49">
        <f>+D13-C13</f>
        <v>-27</v>
      </c>
      <c r="F13" s="70">
        <f>IF(C13=0,0,+E13/C13)</f>
        <v>-8.1818181818181818E-2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772244</v>
      </c>
      <c r="D15" s="51">
        <v>821721</v>
      </c>
      <c r="E15" s="51">
        <f>+D15-C15</f>
        <v>49477</v>
      </c>
      <c r="F15" s="70">
        <f>IF(C15=0,0,+E15/C15)</f>
        <v>6.4069128410191592E-2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2340.1333333333332</v>
      </c>
      <c r="D16" s="27">
        <f>IF(D13=0,0,+D15/+D13)</f>
        <v>2711.9504950495048</v>
      </c>
      <c r="E16" s="27">
        <f>+D16-C16</f>
        <v>371.81716171617154</v>
      </c>
      <c r="F16" s="28">
        <f>IF(C16=0,0,+E16/C16)</f>
        <v>0.15888716955565418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0.45379399999999998</v>
      </c>
      <c r="D18" s="210">
        <v>0.43230800000000003</v>
      </c>
      <c r="E18" s="210">
        <f>+D18-C18</f>
        <v>-2.148599999999995E-2</v>
      </c>
      <c r="F18" s="70">
        <f>IF(C18=0,0,+E18/C18)</f>
        <v>-4.7347474845414329E-2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350439.69373599999</v>
      </c>
      <c r="D19" s="27">
        <f>+D15*D18</f>
        <v>355236.56206800003</v>
      </c>
      <c r="E19" s="27">
        <f>+D19-C19</f>
        <v>4796.8683320000418</v>
      </c>
      <c r="F19" s="28">
        <f>IF(C19=0,0,+E19/C19)</f>
        <v>1.3688142119008104E-2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1061.9384658666665</v>
      </c>
      <c r="D20" s="27">
        <f>IF(D13=0,0,+D19/D13)</f>
        <v>1172.3978946138616</v>
      </c>
      <c r="E20" s="27">
        <f>+D20-C20</f>
        <v>110.45942874719503</v>
      </c>
      <c r="F20" s="28">
        <f>IF(C20=0,0,+E20/C20)</f>
        <v>0.10401678844644464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305289</v>
      </c>
      <c r="D22" s="51">
        <v>318391</v>
      </c>
      <c r="E22" s="51">
        <f>+D22-C22</f>
        <v>13102</v>
      </c>
      <c r="F22" s="70">
        <f>IF(C22=0,0,+E22/C22)</f>
        <v>4.2916711705957303E-2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243052</v>
      </c>
      <c r="D23" s="49">
        <v>246805</v>
      </c>
      <c r="E23" s="49">
        <f>+D23-C23</f>
        <v>3753</v>
      </c>
      <c r="F23" s="70">
        <f>IF(C23=0,0,+E23/C23)</f>
        <v>1.5441140167536165E-2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223903</v>
      </c>
      <c r="D24" s="49">
        <v>256525</v>
      </c>
      <c r="E24" s="49">
        <f>+D24-C24</f>
        <v>32622</v>
      </c>
      <c r="F24" s="70">
        <f>IF(C24=0,0,+E24/C24)</f>
        <v>0.14569702058480682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772244</v>
      </c>
      <c r="D25" s="27">
        <f>+D22+D23+D24</f>
        <v>821721</v>
      </c>
      <c r="E25" s="27">
        <f>+E22+E23+E24</f>
        <v>49477</v>
      </c>
      <c r="F25" s="28">
        <f>IF(C25=0,0,+E25/C25)</f>
        <v>6.4069128410191592E-2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299</v>
      </c>
      <c r="D27" s="49">
        <v>356</v>
      </c>
      <c r="E27" s="49">
        <f>+D27-C27</f>
        <v>57</v>
      </c>
      <c r="F27" s="70">
        <f>IF(C27=0,0,+E27/C27)</f>
        <v>0.19063545150501673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75</v>
      </c>
      <c r="D28" s="49">
        <v>57</v>
      </c>
      <c r="E28" s="49">
        <f>+D28-C28</f>
        <v>-18</v>
      </c>
      <c r="F28" s="70">
        <f>IF(C28=0,0,+E28/C28)</f>
        <v>-0.24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364</v>
      </c>
      <c r="D29" s="49">
        <v>330</v>
      </c>
      <c r="E29" s="49">
        <f>+D29-C29</f>
        <v>-34</v>
      </c>
      <c r="F29" s="70">
        <f>IF(C29=0,0,+E29/C29)</f>
        <v>-9.3406593406593408E-2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196</v>
      </c>
      <c r="D30" s="49">
        <v>205</v>
      </c>
      <c r="E30" s="49">
        <f>+D30-C30</f>
        <v>9</v>
      </c>
      <c r="F30" s="70">
        <f>IF(C30=0,0,+E30/C30)</f>
        <v>4.5918367346938778E-2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953220</v>
      </c>
      <c r="D33" s="51">
        <v>647342</v>
      </c>
      <c r="E33" s="51">
        <f>+D33-C33</f>
        <v>-305878</v>
      </c>
      <c r="F33" s="70">
        <f>IF(C33=0,0,+E33/C33)</f>
        <v>-0.32088919661777976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1269991</v>
      </c>
      <c r="D34" s="49">
        <v>1116974</v>
      </c>
      <c r="E34" s="49">
        <f>+D34-C34</f>
        <v>-153017</v>
      </c>
      <c r="F34" s="70">
        <f>IF(C34=0,0,+E34/C34)</f>
        <v>-0.12048668061427208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1378603</v>
      </c>
      <c r="D35" s="49">
        <v>1160962</v>
      </c>
      <c r="E35" s="49">
        <f>+D35-C35</f>
        <v>-217641</v>
      </c>
      <c r="F35" s="70">
        <f>IF(C35=0,0,+E35/C35)</f>
        <v>-0.15787068503405258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3601814</v>
      </c>
      <c r="D36" s="27">
        <f>+D33+D34+D35</f>
        <v>2925278</v>
      </c>
      <c r="E36" s="27">
        <f>+E33+E34+E35</f>
        <v>-676536</v>
      </c>
      <c r="F36" s="28">
        <f>IF(C36=0,0,+E36/C36)</f>
        <v>-0.18783202019871098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772244</v>
      </c>
      <c r="D39" s="51">
        <f>+D25</f>
        <v>821721</v>
      </c>
      <c r="E39" s="51">
        <f>+D39-C39</f>
        <v>49477</v>
      </c>
      <c r="F39" s="70">
        <f>IF(C39=0,0,+E39/C39)</f>
        <v>6.4069128410191592E-2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3601814</v>
      </c>
      <c r="D40" s="49">
        <f>+D36</f>
        <v>2925278</v>
      </c>
      <c r="E40" s="49">
        <f>+D40-C40</f>
        <v>-676536</v>
      </c>
      <c r="F40" s="70">
        <f>IF(C40=0,0,+E40/C40)</f>
        <v>-0.18783202019871098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4374058</v>
      </c>
      <c r="D41" s="27">
        <f>+D39+D40</f>
        <v>3746999</v>
      </c>
      <c r="E41" s="27">
        <f>+E39+E40</f>
        <v>-627059</v>
      </c>
      <c r="F41" s="28">
        <f>IF(C41=0,0,+E41/C41)</f>
        <v>-0.14335863859144071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1258509</v>
      </c>
      <c r="D43" s="51">
        <f t="shared" si="0"/>
        <v>965733</v>
      </c>
      <c r="E43" s="51">
        <f>+D43-C43</f>
        <v>-292776</v>
      </c>
      <c r="F43" s="70">
        <f>IF(C43=0,0,+E43/C43)</f>
        <v>-0.23263719210589673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1513043</v>
      </c>
      <c r="D44" s="49">
        <f t="shared" si="0"/>
        <v>1363779</v>
      </c>
      <c r="E44" s="49">
        <f>+D44-C44</f>
        <v>-149264</v>
      </c>
      <c r="F44" s="70">
        <f>IF(C44=0,0,+E44/C44)</f>
        <v>-9.8651525435827003E-2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1602506</v>
      </c>
      <c r="D45" s="49">
        <f t="shared" si="0"/>
        <v>1417487</v>
      </c>
      <c r="E45" s="49">
        <f>+D45-C45</f>
        <v>-185019</v>
      </c>
      <c r="F45" s="70">
        <f>IF(C45=0,0,+E45/C45)</f>
        <v>-0.11545604197425782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4374058</v>
      </c>
      <c r="D46" s="27">
        <f>+D43+D44+D45</f>
        <v>3746999</v>
      </c>
      <c r="E46" s="27">
        <f>+E43+E44+E45</f>
        <v>-627059</v>
      </c>
      <c r="F46" s="28">
        <f>IF(C46=0,0,+E46/C46)</f>
        <v>-0.14335863859144071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5" t="s">
        <v>884</v>
      </c>
      <c r="B48" s="716"/>
      <c r="C48" s="716"/>
      <c r="D48" s="716"/>
      <c r="E48" s="716"/>
      <c r="F48" s="717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FILING&amp;RROCKVILLE GENERAL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2" t="s">
        <v>0</v>
      </c>
      <c r="B2" s="713"/>
      <c r="C2" s="713"/>
      <c r="D2" s="713"/>
      <c r="E2" s="713"/>
      <c r="F2" s="714"/>
    </row>
    <row r="3" spans="1:14" ht="15.75" customHeight="1" x14ac:dyDescent="0.25">
      <c r="A3" s="712" t="s">
        <v>595</v>
      </c>
      <c r="B3" s="713"/>
      <c r="C3" s="713"/>
      <c r="D3" s="713"/>
      <c r="E3" s="713"/>
      <c r="F3" s="714"/>
    </row>
    <row r="4" spans="1:14" ht="15.75" customHeight="1" x14ac:dyDescent="0.25">
      <c r="A4" s="712" t="s">
        <v>596</v>
      </c>
      <c r="B4" s="713"/>
      <c r="C4" s="713"/>
      <c r="D4" s="713"/>
      <c r="E4" s="713"/>
      <c r="F4" s="714"/>
    </row>
    <row r="5" spans="1:14" ht="15.75" customHeight="1" x14ac:dyDescent="0.25">
      <c r="A5" s="712" t="s">
        <v>885</v>
      </c>
      <c r="B5" s="713"/>
      <c r="C5" s="713"/>
      <c r="D5" s="713"/>
      <c r="E5" s="713"/>
      <c r="F5" s="714"/>
    </row>
    <row r="6" spans="1:14" ht="15.75" customHeight="1" x14ac:dyDescent="0.25">
      <c r="A6" s="712" t="s">
        <v>886</v>
      </c>
      <c r="B6" s="713"/>
      <c r="C6" s="713"/>
      <c r="D6" s="713"/>
      <c r="E6" s="713"/>
      <c r="F6" s="714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323</v>
      </c>
      <c r="C15" s="51">
        <v>60244853</v>
      </c>
      <c r="D15" s="51">
        <v>57080304</v>
      </c>
      <c r="E15" s="51">
        <f>+D15-C15</f>
        <v>-3164549</v>
      </c>
      <c r="F15" s="70">
        <f>+E15/C15</f>
        <v>-5.2528122194936716E-2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505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30235158</v>
      </c>
      <c r="D17" s="51">
        <v>25896845</v>
      </c>
      <c r="E17" s="51">
        <f>+D17-C17</f>
        <v>-4338313</v>
      </c>
      <c r="F17" s="70">
        <f>+E17/C17</f>
        <v>-0.14348570627611737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30009695</v>
      </c>
      <c r="D19" s="27">
        <f>+D15-D17</f>
        <v>31183459</v>
      </c>
      <c r="E19" s="27">
        <f>+D19-C19</f>
        <v>1173764</v>
      </c>
      <c r="F19" s="28">
        <f>+E19/C19</f>
        <v>3.9112826704836554E-2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0.50187122209427582</v>
      </c>
      <c r="D21" s="628">
        <f>+D17/D15</f>
        <v>0.4536914344394522</v>
      </c>
      <c r="E21" s="628">
        <f>+D21-C21</f>
        <v>-4.8179787654823614E-2</v>
      </c>
      <c r="F21" s="28">
        <f>+E21/C21</f>
        <v>-9.6000299546510182E-2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505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505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505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505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5" t="s">
        <v>893</v>
      </c>
      <c r="B26" s="716"/>
      <c r="C26" s="716"/>
      <c r="D26" s="716"/>
      <c r="E26" s="716"/>
      <c r="F26" s="717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FILING&amp;R&amp;12ROCKVILLE GENERAL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8" t="s">
        <v>0</v>
      </c>
      <c r="B1" s="718"/>
      <c r="C1" s="718"/>
      <c r="D1" s="718"/>
      <c r="E1" s="718"/>
      <c r="F1" s="630"/>
    </row>
    <row r="2" spans="1:6" ht="26.1" customHeight="1" x14ac:dyDescent="0.25">
      <c r="A2" s="718" t="s">
        <v>1</v>
      </c>
      <c r="B2" s="718"/>
      <c r="C2" s="718"/>
      <c r="D2" s="718"/>
      <c r="E2" s="718"/>
      <c r="F2" s="630"/>
    </row>
    <row r="3" spans="1:6" ht="26.1" customHeight="1" x14ac:dyDescent="0.25">
      <c r="A3" s="718" t="s">
        <v>2</v>
      </c>
      <c r="B3" s="718"/>
      <c r="C3" s="718"/>
      <c r="D3" s="718"/>
      <c r="E3" s="718"/>
      <c r="F3" s="630"/>
    </row>
    <row r="4" spans="1:6" ht="26.1" customHeight="1" x14ac:dyDescent="0.25">
      <c r="A4" s="718" t="s">
        <v>894</v>
      </c>
      <c r="B4" s="718"/>
      <c r="C4" s="718"/>
      <c r="D4" s="718"/>
      <c r="E4" s="718"/>
      <c r="F4" s="630"/>
    </row>
    <row r="5" spans="1:6" ht="26.1" customHeight="1" x14ac:dyDescent="0.2">
      <c r="A5" s="719"/>
      <c r="B5" s="719"/>
      <c r="C5" s="719"/>
      <c r="D5" s="719"/>
      <c r="E5" s="719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59356993</v>
      </c>
      <c r="D10" s="641">
        <v>59163079</v>
      </c>
      <c r="E10" s="641">
        <v>54124323</v>
      </c>
    </row>
    <row r="11" spans="1:6" ht="26.1" customHeight="1" x14ac:dyDescent="0.25">
      <c r="A11" s="639">
        <v>2</v>
      </c>
      <c r="B11" s="640" t="s">
        <v>906</v>
      </c>
      <c r="C11" s="641">
        <v>81569619</v>
      </c>
      <c r="D11" s="641">
        <v>87971061</v>
      </c>
      <c r="E11" s="641">
        <v>93948299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140926612</v>
      </c>
      <c r="D12" s="641">
        <f>+D11+D10</f>
        <v>147134140</v>
      </c>
      <c r="E12" s="641">
        <f>+E11+E10</f>
        <v>148072622</v>
      </c>
    </row>
    <row r="13" spans="1:6" ht="26.1" customHeight="1" x14ac:dyDescent="0.25">
      <c r="A13" s="639">
        <v>4</v>
      </c>
      <c r="B13" s="640" t="s">
        <v>482</v>
      </c>
      <c r="C13" s="641">
        <v>64940252</v>
      </c>
      <c r="D13" s="641">
        <v>64174022</v>
      </c>
      <c r="E13" s="641">
        <v>63387116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322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66239259</v>
      </c>
      <c r="D16" s="641">
        <v>65883977</v>
      </c>
      <c r="E16" s="641">
        <v>68017199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370</v>
      </c>
      <c r="C19" s="644">
        <v>15355</v>
      </c>
      <c r="D19" s="644">
        <v>14180</v>
      </c>
      <c r="E19" s="644">
        <v>12370</v>
      </c>
    </row>
    <row r="20" spans="1:5" ht="26.1" customHeight="1" x14ac:dyDescent="0.25">
      <c r="A20" s="639">
        <v>2</v>
      </c>
      <c r="B20" s="640" t="s">
        <v>371</v>
      </c>
      <c r="C20" s="645">
        <v>3510</v>
      </c>
      <c r="D20" s="645">
        <v>3386</v>
      </c>
      <c r="E20" s="645">
        <v>2515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4.3746438746438745</v>
      </c>
      <c r="D21" s="646">
        <f>IF(D20=0,0,+D19/D20)</f>
        <v>4.1878322504430008</v>
      </c>
      <c r="E21" s="646">
        <f>IF(E20=0,0,+E19/E20)</f>
        <v>4.9184890656063622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36456.1615724031</v>
      </c>
      <c r="D22" s="645">
        <f>IF(D10=0,0,D19*(D12/D10))</f>
        <v>35264.596441980313</v>
      </c>
      <c r="E22" s="645">
        <f>IF(E10=0,0,E19*(E12/E10))</f>
        <v>33841.685819146413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8333.5152796571074</v>
      </c>
      <c r="D23" s="645">
        <f>IF(D10=0,0,D20*(D12/D10))</f>
        <v>8420.7280361456505</v>
      </c>
      <c r="E23" s="645">
        <f>IF(E10=0,0,E20*(E12/E10))</f>
        <v>6880.5044329145694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319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420</v>
      </c>
      <c r="C26" s="647">
        <v>1.2246078404558403</v>
      </c>
      <c r="D26" s="647">
        <v>1.2027995629060839</v>
      </c>
      <c r="E26" s="647">
        <v>1.3970120119284293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18803.853390199427</v>
      </c>
      <c r="D27" s="645">
        <f>D19*D26</f>
        <v>17055.697802008272</v>
      </c>
      <c r="E27" s="645">
        <f>E19*E26</f>
        <v>17281.038587554671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4298.3735199999992</v>
      </c>
      <c r="D28" s="645">
        <f>D20*D26</f>
        <v>4072.6793200000002</v>
      </c>
      <c r="E28" s="645">
        <f>E20*E26</f>
        <v>3513.4852099999998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44644.501294489746</v>
      </c>
      <c r="D29" s="645">
        <f>D22*D26</f>
        <v>42416.241186473366</v>
      </c>
      <c r="E29" s="645">
        <f>E22*E26</f>
        <v>47277.241593255523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10205.288150026638</v>
      </c>
      <c r="D30" s="645">
        <f>D23*D26</f>
        <v>10128.448001226994</v>
      </c>
      <c r="E30" s="645">
        <f>E23*E26</f>
        <v>9612.1473409084592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340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9177.8972321719302</v>
      </c>
      <c r="D33" s="641">
        <f>IF(D19=0,0,D12/D19)</f>
        <v>10376.173483779972</v>
      </c>
      <c r="E33" s="641">
        <f>IF(E19=0,0,E12/E19)</f>
        <v>11970.300889248181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40150.031908831908</v>
      </c>
      <c r="D34" s="641">
        <f>IF(D20=0,0,D12/D20)</f>
        <v>43453.673951565266</v>
      </c>
      <c r="E34" s="641">
        <f>IF(E20=0,0,E12/E20)</f>
        <v>58875.794035785286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3865.6459133832632</v>
      </c>
      <c r="D35" s="641">
        <f>IF(D22=0,0,D12/D22)</f>
        <v>4172.2904795486593</v>
      </c>
      <c r="E35" s="641">
        <f>IF(E22=0,0,E12/E22)</f>
        <v>4375.4505254648338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16910.824216524219</v>
      </c>
      <c r="D36" s="641">
        <f>IF(D23=0,0,D12/D23)</f>
        <v>17472.852628470173</v>
      </c>
      <c r="E36" s="641">
        <f>IF(E23=0,0,E12/E23)</f>
        <v>21520.605566600399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3156.6398529216831</v>
      </c>
      <c r="D37" s="641">
        <f>IF(D29=0,0,D12/D29)</f>
        <v>3468.8160922406628</v>
      </c>
      <c r="E37" s="641">
        <f>IF(E29=0,0,E12/E29)</f>
        <v>3132.0063736781917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13809.17519704058</v>
      </c>
      <c r="D38" s="641">
        <f>IF(D30=0,0,D12/D30)</f>
        <v>14526.819901941115</v>
      </c>
      <c r="E38" s="641">
        <f>IF(E30=0,0,E12/E30)</f>
        <v>15404.739102345618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1628.1745098730462</v>
      </c>
      <c r="D39" s="641">
        <f>IF(D22=0,0,D10/D22)</f>
        <v>1677.6905159637677</v>
      </c>
      <c r="E39" s="641">
        <f>IF(E22=0,0,E10/E22)</f>
        <v>1599.3388535442994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7122.6836464674143</v>
      </c>
      <c r="D40" s="641">
        <f>IF(D23=0,0,D10/D23)</f>
        <v>7025.8864490154256</v>
      </c>
      <c r="E40" s="641">
        <f>IF(E23=0,0,E10/E23)</f>
        <v>7866.3306633570519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352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4229.2577010745681</v>
      </c>
      <c r="D43" s="641">
        <f>IF(D19=0,0,D13/D19)</f>
        <v>4525.6715091678416</v>
      </c>
      <c r="E43" s="641">
        <f>IF(E19=0,0,E13/E19)</f>
        <v>5124.261600646726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18501.496296296296</v>
      </c>
      <c r="D44" s="641">
        <f>IF(D20=0,0,D13/D20)</f>
        <v>18952.753101004135</v>
      </c>
      <c r="E44" s="641">
        <f>IF(E20=0,0,E13/E20)</f>
        <v>25203.624652087474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1781.3244510403704</v>
      </c>
      <c r="D45" s="641">
        <f>IF(D22=0,0,D13/D22)</f>
        <v>1819.7860878851518</v>
      </c>
      <c r="E45" s="641">
        <f>IF(E22=0,0,E13/E22)</f>
        <v>1873.0484154586011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7792.6600984971192</v>
      </c>
      <c r="D46" s="641">
        <f>IF(D23=0,0,D13/D23)</f>
        <v>7620.9588677529409</v>
      </c>
      <c r="E46" s="641">
        <f>IF(E23=0,0,E13/E23)</f>
        <v>9212.5681507844529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1454.6080730442668</v>
      </c>
      <c r="D47" s="641">
        <f>IF(D29=0,0,D13/D29)</f>
        <v>1512.9587206436679</v>
      </c>
      <c r="E47" s="641">
        <f>IF(E29=0,0,E13/E29)</f>
        <v>1340.7532644426251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6363.3922967506305</v>
      </c>
      <c r="D48" s="641">
        <f>IF(D30=0,0,D13/D30)</f>
        <v>6336.0173239005371</v>
      </c>
      <c r="E48" s="641">
        <f>IF(E30=0,0,E13/E30)</f>
        <v>6594.4802708370871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364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4313.856007815044</v>
      </c>
      <c r="D51" s="641">
        <f>IF(D19=0,0,D16/D19)</f>
        <v>4646.2607193229906</v>
      </c>
      <c r="E51" s="641">
        <f>IF(E19=0,0,E16/E19)</f>
        <v>5498.5609539207762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18871.583760683759</v>
      </c>
      <c r="D52" s="641">
        <f>IF(D20=0,0,D16/D20)</f>
        <v>19457.760484347313</v>
      </c>
      <c r="E52" s="641">
        <f>IF(E20=0,0,E16/E20)</f>
        <v>27044.611928429422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1816.9564798654603</v>
      </c>
      <c r="D53" s="641">
        <f>IF(D22=0,0,D16/D22)</f>
        <v>1868.2753709771428</v>
      </c>
      <c r="E53" s="641">
        <f>IF(E22=0,0,E16/E22)</f>
        <v>2009.8643833374963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7948.5375351379325</v>
      </c>
      <c r="D54" s="641">
        <f>IF(D23=0,0,D16/D23)</f>
        <v>7824.0238512864407</v>
      </c>
      <c r="E54" s="641">
        <f>IF(E23=0,0,E16/E23)</f>
        <v>9885.4959927971504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1483.7047582425473</v>
      </c>
      <c r="D55" s="641">
        <f>IF(D29=0,0,D16/D29)</f>
        <v>1553.2724059719499</v>
      </c>
      <c r="E55" s="641">
        <f>IF(E29=0,0,E16/E29)</f>
        <v>1438.6879756052265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6490.6799324257299</v>
      </c>
      <c r="D56" s="641">
        <f>IF(D30=0,0,D16/D30)</f>
        <v>6504.8442754525267</v>
      </c>
      <c r="E56" s="641">
        <f>IF(E30=0,0,E16/E30)</f>
        <v>7076.1710768336588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368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10043170</v>
      </c>
      <c r="D59" s="649">
        <v>10046971</v>
      </c>
      <c r="E59" s="649">
        <v>9289670</v>
      </c>
    </row>
    <row r="60" spans="1:6" ht="26.1" customHeight="1" x14ac:dyDescent="0.25">
      <c r="A60" s="639">
        <v>2</v>
      </c>
      <c r="B60" s="640" t="s">
        <v>942</v>
      </c>
      <c r="C60" s="649">
        <v>2358076</v>
      </c>
      <c r="D60" s="649">
        <v>2722099</v>
      </c>
      <c r="E60" s="649">
        <v>3086106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12401246</v>
      </c>
      <c r="D61" s="652">
        <f>D59+D60</f>
        <v>12769070</v>
      </c>
      <c r="E61" s="652">
        <f>E59+E60</f>
        <v>12375776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2002782</v>
      </c>
      <c r="D64" s="641">
        <v>2105239</v>
      </c>
      <c r="E64" s="649">
        <v>2400624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470241</v>
      </c>
      <c r="D65" s="649">
        <v>539520</v>
      </c>
      <c r="E65" s="649">
        <v>751111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2473023</v>
      </c>
      <c r="D66" s="654">
        <f>D64+D65</f>
        <v>2644759</v>
      </c>
      <c r="E66" s="654">
        <f>E64+E65</f>
        <v>3151735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394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18051444</v>
      </c>
      <c r="D69" s="649">
        <v>17525356</v>
      </c>
      <c r="E69" s="649">
        <v>17845484</v>
      </c>
    </row>
    <row r="70" spans="1:6" ht="26.1" customHeight="1" x14ac:dyDescent="0.25">
      <c r="A70" s="639">
        <v>2</v>
      </c>
      <c r="B70" s="640" t="s">
        <v>950</v>
      </c>
      <c r="C70" s="649">
        <v>4225360</v>
      </c>
      <c r="D70" s="649">
        <v>4047519</v>
      </c>
      <c r="E70" s="649">
        <v>5001423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22276804</v>
      </c>
      <c r="D71" s="652">
        <f>D69+D70</f>
        <v>21572875</v>
      </c>
      <c r="E71" s="652">
        <f>E69+E70</f>
        <v>22846907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410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30097396</v>
      </c>
      <c r="D75" s="641">
        <f t="shared" si="0"/>
        <v>29677566</v>
      </c>
      <c r="E75" s="641">
        <f t="shared" si="0"/>
        <v>29535778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7053677</v>
      </c>
      <c r="D76" s="641">
        <f t="shared" si="0"/>
        <v>7309138</v>
      </c>
      <c r="E76" s="641">
        <f t="shared" si="0"/>
        <v>8838640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37151073</v>
      </c>
      <c r="D77" s="654">
        <f>D75+D76</f>
        <v>36986704</v>
      </c>
      <c r="E77" s="654">
        <f>E75+E76</f>
        <v>38374418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419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581</v>
      </c>
      <c r="C80" s="646">
        <v>135.80000000000001</v>
      </c>
      <c r="D80" s="646">
        <v>124.5</v>
      </c>
      <c r="E80" s="646">
        <v>115.1</v>
      </c>
    </row>
    <row r="81" spans="1:5" ht="26.1" customHeight="1" x14ac:dyDescent="0.25">
      <c r="A81" s="639">
        <v>2</v>
      </c>
      <c r="B81" s="640" t="s">
        <v>582</v>
      </c>
      <c r="C81" s="646">
        <v>6.9</v>
      </c>
      <c r="D81" s="646">
        <v>5.3</v>
      </c>
      <c r="E81" s="646">
        <v>6.6</v>
      </c>
    </row>
    <row r="82" spans="1:5" ht="26.1" customHeight="1" x14ac:dyDescent="0.25">
      <c r="A82" s="639">
        <v>3</v>
      </c>
      <c r="B82" s="640" t="s">
        <v>956</v>
      </c>
      <c r="C82" s="646">
        <v>301.3</v>
      </c>
      <c r="D82" s="646">
        <v>292.89999999999998</v>
      </c>
      <c r="E82" s="646">
        <v>283.39999999999998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444</v>
      </c>
      <c r="D83" s="656">
        <f>D80+D81+D82</f>
        <v>422.7</v>
      </c>
      <c r="E83" s="656">
        <f>E80+E81+E82</f>
        <v>405.09999999999997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422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73955.596465390277</v>
      </c>
      <c r="D86" s="649">
        <f>IF(D80=0,0,D59/D80)</f>
        <v>80698.562248995979</v>
      </c>
      <c r="E86" s="649">
        <f>IF(E80=0,0,E59/E80)</f>
        <v>80709.55690703736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17364.329896907217</v>
      </c>
      <c r="D87" s="649">
        <f>IF(D80=0,0,D60/D80)</f>
        <v>21864.248995983937</v>
      </c>
      <c r="E87" s="649">
        <f>IF(E80=0,0,E60/E80)</f>
        <v>26812.38922675934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91319.926362297498</v>
      </c>
      <c r="D88" s="652">
        <f>+D86+D87</f>
        <v>102562.81124497991</v>
      </c>
      <c r="E88" s="652">
        <f>+E86+E87</f>
        <v>107521.94613379671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579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290258.26086956519</v>
      </c>
      <c r="D91" s="641">
        <f>IF(D81=0,0,D64/D81)</f>
        <v>397214.90566037735</v>
      </c>
      <c r="E91" s="641">
        <f>IF(E81=0,0,E64/E81)</f>
        <v>363730.90909090912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68150.869565217392</v>
      </c>
      <c r="D92" s="641">
        <f>IF(D81=0,0,D65/D81)</f>
        <v>101796.22641509434</v>
      </c>
      <c r="E92" s="641">
        <f>IF(E81=0,0,E65/E81)</f>
        <v>113804.69696969698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358409.13043478259</v>
      </c>
      <c r="D93" s="654">
        <f>+D91+D92</f>
        <v>499011.13207547169</v>
      </c>
      <c r="E93" s="654">
        <f>+E91+E92</f>
        <v>477535.60606060608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59911.861931629603</v>
      </c>
      <c r="D96" s="649">
        <f>IF(D82=0,0,D69/D82)</f>
        <v>59833.922840559921</v>
      </c>
      <c r="E96" s="649">
        <f>IF(E82=0,0,E69/E82)</f>
        <v>62969.244883556814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14023.763690673746</v>
      </c>
      <c r="D97" s="649">
        <f>IF(D82=0,0,D70/D82)</f>
        <v>13818.774325708435</v>
      </c>
      <c r="E97" s="649">
        <f>IF(E82=0,0,E70/E82)</f>
        <v>17647.928722653494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73935.625622303342</v>
      </c>
      <c r="D98" s="654">
        <f>+D96+D97</f>
        <v>73652.69716626835</v>
      </c>
      <c r="E98" s="654">
        <f>+E96+E97</f>
        <v>80617.173606210301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67786.927927927929</v>
      </c>
      <c r="D101" s="641">
        <f>IF(D83=0,0,D75/D83)</f>
        <v>70209.524485450675</v>
      </c>
      <c r="E101" s="641">
        <f>IF(E83=0,0,E75/E83)</f>
        <v>72909.84448284375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15886.659909909909</v>
      </c>
      <c r="D102" s="658">
        <f>IF(D83=0,0,D76/D83)</f>
        <v>17291.549562337357</v>
      </c>
      <c r="E102" s="658">
        <f>IF(E83=0,0,E76/E83)</f>
        <v>21818.415206121947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83673.58783783784</v>
      </c>
      <c r="D103" s="654">
        <f>+D101+D102</f>
        <v>87501.074047788032</v>
      </c>
      <c r="E103" s="654">
        <f>+E101+E102</f>
        <v>94728.2596889657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2419.4772386844675</v>
      </c>
      <c r="D108" s="641">
        <f>IF(D19=0,0,D77/D19)</f>
        <v>2608.3712270803949</v>
      </c>
      <c r="E108" s="641">
        <f>IF(E19=0,0,E77/E19)</f>
        <v>3102.2164915117219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10584.351282051282</v>
      </c>
      <c r="D109" s="641">
        <f>IF(D20=0,0,D77/D20)</f>
        <v>10923.421145894861</v>
      </c>
      <c r="E109" s="641">
        <f>IF(E20=0,0,E77/E20)</f>
        <v>15258.217892644136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1019.0615631932831</v>
      </c>
      <c r="D110" s="641">
        <f>IF(D22=0,0,D77/D22)</f>
        <v>1048.8338938133891</v>
      </c>
      <c r="E110" s="641">
        <f>IF(E22=0,0,E77/E22)</f>
        <v>1133.9393139300741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4458.0314253085071</v>
      </c>
      <c r="D111" s="641">
        <f>IF(D23=0,0,D77/D23)</f>
        <v>4392.3404058694214</v>
      </c>
      <c r="E111" s="641">
        <f>IF(E23=0,0,E77/E23)</f>
        <v>5577.2681166262491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832.15338782573383</v>
      </c>
      <c r="D112" s="641">
        <f>IF(D29=0,0,D77/D29)</f>
        <v>871.99391000716821</v>
      </c>
      <c r="E112" s="641">
        <f>IF(E29=0,0,E77/E29)</f>
        <v>811.68902217582888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3640.3747208159948</v>
      </c>
      <c r="D113" s="641">
        <f>IF(D30=0,0,D77/D30)</f>
        <v>3651.764218517912</v>
      </c>
      <c r="E113" s="641">
        <f>IF(E30=0,0,E77/E30)</f>
        <v>3992.2835802445338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FILING&amp;R&amp;12ROCKVILLE GENERAL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147134138</v>
      </c>
      <c r="D12" s="51">
        <v>148072623</v>
      </c>
      <c r="E12" s="51">
        <f t="shared" ref="E12:E19" si="0">D12-C12</f>
        <v>938485</v>
      </c>
      <c r="F12" s="70">
        <f t="shared" ref="F12:F19" si="1">IF(C12=0,0,E12/C12)</f>
        <v>6.3784313603685912E-3</v>
      </c>
    </row>
    <row r="13" spans="1:8" ht="23.1" customHeight="1" x14ac:dyDescent="0.2">
      <c r="A13" s="25">
        <v>2</v>
      </c>
      <c r="B13" s="48" t="s">
        <v>72</v>
      </c>
      <c r="C13" s="51">
        <v>82187872</v>
      </c>
      <c r="D13" s="51">
        <v>83863786</v>
      </c>
      <c r="E13" s="51">
        <f t="shared" si="0"/>
        <v>1675914</v>
      </c>
      <c r="F13" s="70">
        <f t="shared" si="1"/>
        <v>2.0391256753794527E-2</v>
      </c>
    </row>
    <row r="14" spans="1:8" ht="23.1" customHeight="1" x14ac:dyDescent="0.2">
      <c r="A14" s="25">
        <v>3</v>
      </c>
      <c r="B14" s="48" t="s">
        <v>73</v>
      </c>
      <c r="C14" s="51">
        <v>772244</v>
      </c>
      <c r="D14" s="51">
        <v>821721</v>
      </c>
      <c r="E14" s="51">
        <f t="shared" si="0"/>
        <v>49477</v>
      </c>
      <c r="F14" s="70">
        <f t="shared" si="1"/>
        <v>6.4069128410191592E-2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64174022</v>
      </c>
      <c r="D16" s="27">
        <f>D12-D13-D14-D15</f>
        <v>63387116</v>
      </c>
      <c r="E16" s="27">
        <f t="shared" si="0"/>
        <v>-786906</v>
      </c>
      <c r="F16" s="28">
        <f t="shared" si="1"/>
        <v>-1.2262064546928351E-2</v>
      </c>
    </row>
    <row r="17" spans="1:7" ht="23.1" customHeight="1" x14ac:dyDescent="0.2">
      <c r="A17" s="25">
        <v>5</v>
      </c>
      <c r="B17" s="48" t="s">
        <v>76</v>
      </c>
      <c r="C17" s="51">
        <v>5242621</v>
      </c>
      <c r="D17" s="51">
        <v>4745011</v>
      </c>
      <c r="E17" s="51">
        <f t="shared" si="0"/>
        <v>-497610</v>
      </c>
      <c r="F17" s="70">
        <f t="shared" si="1"/>
        <v>-9.4916264212118323E-2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23672</v>
      </c>
      <c r="D18" s="51">
        <v>48044</v>
      </c>
      <c r="E18" s="51">
        <f t="shared" si="0"/>
        <v>24372</v>
      </c>
      <c r="F18" s="70">
        <f t="shared" si="1"/>
        <v>1.0295708009462656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69440315</v>
      </c>
      <c r="D19" s="27">
        <f>SUM(D16:D18)</f>
        <v>68180171</v>
      </c>
      <c r="E19" s="27">
        <f t="shared" si="0"/>
        <v>-1260144</v>
      </c>
      <c r="F19" s="28">
        <f t="shared" si="1"/>
        <v>-1.814715270228829E-2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29677566</v>
      </c>
      <c r="D22" s="51">
        <v>29535778</v>
      </c>
      <c r="E22" s="51">
        <f t="shared" ref="E22:E31" si="2">D22-C22</f>
        <v>-141788</v>
      </c>
      <c r="F22" s="70">
        <f t="shared" ref="F22:F31" si="3">IF(C22=0,0,E22/C22)</f>
        <v>-4.7776155227824274E-3</v>
      </c>
    </row>
    <row r="23" spans="1:7" ht="23.1" customHeight="1" x14ac:dyDescent="0.2">
      <c r="A23" s="25">
        <v>2</v>
      </c>
      <c r="B23" s="48" t="s">
        <v>81</v>
      </c>
      <c r="C23" s="51">
        <v>7309138</v>
      </c>
      <c r="D23" s="51">
        <v>8838640</v>
      </c>
      <c r="E23" s="51">
        <f t="shared" si="2"/>
        <v>1529502</v>
      </c>
      <c r="F23" s="70">
        <f t="shared" si="3"/>
        <v>0.20925887567042789</v>
      </c>
    </row>
    <row r="24" spans="1:7" ht="23.1" customHeight="1" x14ac:dyDescent="0.2">
      <c r="A24" s="25">
        <v>3</v>
      </c>
      <c r="B24" s="48" t="s">
        <v>82</v>
      </c>
      <c r="C24" s="51">
        <v>2844689</v>
      </c>
      <c r="D24" s="51">
        <v>3261820</v>
      </c>
      <c r="E24" s="51">
        <f t="shared" si="2"/>
        <v>417131</v>
      </c>
      <c r="F24" s="70">
        <f t="shared" si="3"/>
        <v>0.1466350100133969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8558231</v>
      </c>
      <c r="D25" s="51">
        <v>9145419</v>
      </c>
      <c r="E25" s="51">
        <f t="shared" si="2"/>
        <v>587188</v>
      </c>
      <c r="F25" s="70">
        <f t="shared" si="3"/>
        <v>6.86109080252683E-2</v>
      </c>
    </row>
    <row r="26" spans="1:7" ht="23.1" customHeight="1" x14ac:dyDescent="0.2">
      <c r="A26" s="25">
        <v>5</v>
      </c>
      <c r="B26" s="48" t="s">
        <v>84</v>
      </c>
      <c r="C26" s="51">
        <v>3824200</v>
      </c>
      <c r="D26" s="51">
        <v>3672297</v>
      </c>
      <c r="E26" s="51">
        <f t="shared" si="2"/>
        <v>-151903</v>
      </c>
      <c r="F26" s="70">
        <f t="shared" si="3"/>
        <v>-3.9721510381256209E-2</v>
      </c>
    </row>
    <row r="27" spans="1:7" ht="23.1" customHeight="1" x14ac:dyDescent="0.2">
      <c r="A27" s="25">
        <v>6</v>
      </c>
      <c r="B27" s="48" t="s">
        <v>85</v>
      </c>
      <c r="C27" s="51">
        <v>3601814</v>
      </c>
      <c r="D27" s="51">
        <v>2925278</v>
      </c>
      <c r="E27" s="51">
        <f t="shared" si="2"/>
        <v>-676536</v>
      </c>
      <c r="F27" s="70">
        <f t="shared" si="3"/>
        <v>-0.18783202019871098</v>
      </c>
    </row>
    <row r="28" spans="1:7" ht="23.1" customHeight="1" x14ac:dyDescent="0.2">
      <c r="A28" s="25">
        <v>7</v>
      </c>
      <c r="B28" s="48" t="s">
        <v>86</v>
      </c>
      <c r="C28" s="51">
        <v>1507868</v>
      </c>
      <c r="D28" s="51">
        <v>1115177</v>
      </c>
      <c r="E28" s="51">
        <f t="shared" si="2"/>
        <v>-392691</v>
      </c>
      <c r="F28" s="70">
        <f t="shared" si="3"/>
        <v>-0.2604279684959161</v>
      </c>
    </row>
    <row r="29" spans="1:7" ht="23.1" customHeight="1" x14ac:dyDescent="0.2">
      <c r="A29" s="25">
        <v>8</v>
      </c>
      <c r="B29" s="48" t="s">
        <v>87</v>
      </c>
      <c r="C29" s="51">
        <v>663700</v>
      </c>
      <c r="D29" s="51">
        <v>765578</v>
      </c>
      <c r="E29" s="51">
        <f t="shared" si="2"/>
        <v>101878</v>
      </c>
      <c r="F29" s="70">
        <f t="shared" si="3"/>
        <v>0.15350007533524182</v>
      </c>
    </row>
    <row r="30" spans="1:7" ht="23.1" customHeight="1" x14ac:dyDescent="0.2">
      <c r="A30" s="25">
        <v>9</v>
      </c>
      <c r="B30" s="48" t="s">
        <v>88</v>
      </c>
      <c r="C30" s="51">
        <v>7896771</v>
      </c>
      <c r="D30" s="51">
        <v>8757212</v>
      </c>
      <c r="E30" s="51">
        <f t="shared" si="2"/>
        <v>860441</v>
      </c>
      <c r="F30" s="70">
        <f t="shared" si="3"/>
        <v>0.1089611184115634</v>
      </c>
    </row>
    <row r="31" spans="1:7" ht="23.1" customHeight="1" x14ac:dyDescent="0.25">
      <c r="A31" s="29"/>
      <c r="B31" s="71" t="s">
        <v>89</v>
      </c>
      <c r="C31" s="27">
        <f>SUM(C22:C30)</f>
        <v>65883977</v>
      </c>
      <c r="D31" s="27">
        <f>SUM(D22:D30)</f>
        <v>68017199</v>
      </c>
      <c r="E31" s="27">
        <f t="shared" si="2"/>
        <v>2133222</v>
      </c>
      <c r="F31" s="28">
        <f t="shared" si="3"/>
        <v>3.2378464341944628E-2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3556338</v>
      </c>
      <c r="D33" s="27">
        <f>+D19-D31</f>
        <v>162972</v>
      </c>
      <c r="E33" s="27">
        <f>D33-C33</f>
        <v>-3393366</v>
      </c>
      <c r="F33" s="28">
        <f>IF(C33=0,0,E33/C33)</f>
        <v>-0.95417420953801357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362</v>
      </c>
      <c r="D36" s="51">
        <v>240</v>
      </c>
      <c r="E36" s="51">
        <f>D36-C36</f>
        <v>-122</v>
      </c>
      <c r="F36" s="70">
        <f>IF(C36=0,0,E36/C36)</f>
        <v>-0.33701657458563539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-468828</v>
      </c>
      <c r="D38" s="51">
        <v>-855496</v>
      </c>
      <c r="E38" s="51">
        <f>D38-C38</f>
        <v>-386668</v>
      </c>
      <c r="F38" s="70">
        <f>IF(C38=0,0,E38/C38)</f>
        <v>0.82475449418550084</v>
      </c>
    </row>
    <row r="39" spans="1:6" ht="23.1" customHeight="1" x14ac:dyDescent="0.25">
      <c r="A39" s="20"/>
      <c r="B39" s="71" t="s">
        <v>95</v>
      </c>
      <c r="C39" s="27">
        <f>SUM(C36:C38)</f>
        <v>-468466</v>
      </c>
      <c r="D39" s="27">
        <f>SUM(D36:D38)</f>
        <v>-855256</v>
      </c>
      <c r="E39" s="27">
        <f>D39-C39</f>
        <v>-386790</v>
      </c>
      <c r="F39" s="28">
        <f>IF(C39=0,0,E39/C39)</f>
        <v>0.82565223516754682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3087872</v>
      </c>
      <c r="D41" s="27">
        <f>D33+D39</f>
        <v>-692284</v>
      </c>
      <c r="E41" s="27">
        <f>D41-C41</f>
        <v>-3780156</v>
      </c>
      <c r="F41" s="28">
        <f>IF(C41=0,0,E41/C41)</f>
        <v>-1.2241945261979772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3087872</v>
      </c>
      <c r="D48" s="27">
        <f>D41+D46</f>
        <v>-692284</v>
      </c>
      <c r="E48" s="27">
        <f>D48-C48</f>
        <v>-3780156</v>
      </c>
      <c r="F48" s="28">
        <f>IF(C48=0,0,E48/C48)</f>
        <v>-1.2241945261979772</v>
      </c>
    </row>
    <row r="49" spans="1:6" ht="23.1" customHeight="1" x14ac:dyDescent="0.2">
      <c r="A49" s="44"/>
      <c r="B49" s="48" t="s">
        <v>102</v>
      </c>
      <c r="C49" s="51">
        <v>1346163</v>
      </c>
      <c r="D49" s="51">
        <v>16920114</v>
      </c>
      <c r="E49" s="51">
        <f>D49-C49</f>
        <v>15573951</v>
      </c>
      <c r="F49" s="70">
        <f>IF(C49=0,0,E49/C49)</f>
        <v>11.569142072691049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FILING&amp;RROCKVILLE GENERAL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21.4257812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1" t="s">
        <v>0</v>
      </c>
      <c r="B2" s="671"/>
      <c r="C2" s="671"/>
      <c r="D2" s="671"/>
      <c r="E2" s="671"/>
      <c r="F2" s="671"/>
    </row>
    <row r="3" spans="1:6" ht="18" customHeight="1" x14ac:dyDescent="0.25">
      <c r="A3" s="671" t="s">
        <v>1</v>
      </c>
      <c r="B3" s="671"/>
      <c r="C3" s="671"/>
      <c r="D3" s="671"/>
      <c r="E3" s="671"/>
      <c r="F3" s="671"/>
    </row>
    <row r="4" spans="1:6" ht="18" customHeight="1" x14ac:dyDescent="0.25">
      <c r="A4" s="671" t="s">
        <v>2</v>
      </c>
      <c r="B4" s="671"/>
      <c r="C4" s="671"/>
      <c r="D4" s="671"/>
      <c r="E4" s="671"/>
      <c r="F4" s="671"/>
    </row>
    <row r="5" spans="1:6" ht="18" customHeight="1" x14ac:dyDescent="0.25">
      <c r="A5" s="671" t="s">
        <v>103</v>
      </c>
      <c r="B5" s="671"/>
      <c r="C5" s="671"/>
      <c r="D5" s="671"/>
      <c r="E5" s="671"/>
      <c r="F5" s="671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2"/>
      <c r="D9" s="673"/>
      <c r="E9" s="673"/>
      <c r="F9" s="674"/>
    </row>
    <row r="10" spans="1:6" ht="18" customHeight="1" x14ac:dyDescent="0.25">
      <c r="A10" s="661" t="s">
        <v>12</v>
      </c>
      <c r="B10" s="663" t="s">
        <v>109</v>
      </c>
      <c r="C10" s="665"/>
      <c r="D10" s="666"/>
      <c r="E10" s="666"/>
      <c r="F10" s="667"/>
    </row>
    <row r="11" spans="1:6" ht="18" customHeight="1" x14ac:dyDescent="0.25">
      <c r="A11" s="662"/>
      <c r="B11" s="664"/>
      <c r="C11" s="668"/>
      <c r="D11" s="669"/>
      <c r="E11" s="669"/>
      <c r="F11" s="670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29062816</v>
      </c>
      <c r="D14" s="97">
        <v>30702348</v>
      </c>
      <c r="E14" s="97">
        <f t="shared" ref="E14:E25" si="0">D14-C14</f>
        <v>1639532</v>
      </c>
      <c r="F14" s="98">
        <f t="shared" ref="F14:F25" si="1">IF(C14=0,0,E14/C14)</f>
        <v>5.6413390911603335E-2</v>
      </c>
    </row>
    <row r="15" spans="1:6" ht="18" customHeight="1" x14ac:dyDescent="0.25">
      <c r="A15" s="99">
        <v>2</v>
      </c>
      <c r="B15" s="100" t="s">
        <v>113</v>
      </c>
      <c r="C15" s="97">
        <v>6154088</v>
      </c>
      <c r="D15" s="97">
        <v>6208188</v>
      </c>
      <c r="E15" s="97">
        <f t="shared" si="0"/>
        <v>54100</v>
      </c>
      <c r="F15" s="98">
        <f t="shared" si="1"/>
        <v>8.790904517452465E-3</v>
      </c>
    </row>
    <row r="16" spans="1:6" ht="18" customHeight="1" x14ac:dyDescent="0.25">
      <c r="A16" s="99">
        <v>3</v>
      </c>
      <c r="B16" s="100" t="s">
        <v>114</v>
      </c>
      <c r="C16" s="97">
        <v>2367210</v>
      </c>
      <c r="D16" s="97">
        <v>3560066</v>
      </c>
      <c r="E16" s="97">
        <f t="shared" si="0"/>
        <v>1192856</v>
      </c>
      <c r="F16" s="98">
        <f t="shared" si="1"/>
        <v>0.50390797605620119</v>
      </c>
    </row>
    <row r="17" spans="1:6" ht="18" customHeight="1" x14ac:dyDescent="0.25">
      <c r="A17" s="99">
        <v>4</v>
      </c>
      <c r="B17" s="100" t="s">
        <v>115</v>
      </c>
      <c r="C17" s="97">
        <v>3403580</v>
      </c>
      <c r="D17" s="97">
        <v>1285655</v>
      </c>
      <c r="E17" s="97">
        <f t="shared" si="0"/>
        <v>-2117925</v>
      </c>
      <c r="F17" s="98">
        <f t="shared" si="1"/>
        <v>-0.62226391035321627</v>
      </c>
    </row>
    <row r="18" spans="1:6" ht="18" customHeight="1" x14ac:dyDescent="0.25">
      <c r="A18" s="99">
        <v>5</v>
      </c>
      <c r="B18" s="100" t="s">
        <v>116</v>
      </c>
      <c r="C18" s="97">
        <v>270821</v>
      </c>
      <c r="D18" s="97">
        <v>15966</v>
      </c>
      <c r="E18" s="97">
        <f t="shared" si="0"/>
        <v>-254855</v>
      </c>
      <c r="F18" s="98">
        <f t="shared" si="1"/>
        <v>-0.94104593070699838</v>
      </c>
    </row>
    <row r="19" spans="1:6" ht="18" customHeight="1" x14ac:dyDescent="0.25">
      <c r="A19" s="99">
        <v>6</v>
      </c>
      <c r="B19" s="100" t="s">
        <v>117</v>
      </c>
      <c r="C19" s="97">
        <v>1040882</v>
      </c>
      <c r="D19" s="97">
        <v>799749</v>
      </c>
      <c r="E19" s="97">
        <f t="shared" si="0"/>
        <v>-241133</v>
      </c>
      <c r="F19" s="98">
        <f t="shared" si="1"/>
        <v>-0.23166218649184056</v>
      </c>
    </row>
    <row r="20" spans="1:6" ht="18" customHeight="1" x14ac:dyDescent="0.25">
      <c r="A20" s="99">
        <v>7</v>
      </c>
      <c r="B20" s="100" t="s">
        <v>118</v>
      </c>
      <c r="C20" s="97">
        <v>13746707</v>
      </c>
      <c r="D20" s="97">
        <v>10289938</v>
      </c>
      <c r="E20" s="97">
        <f t="shared" si="0"/>
        <v>-3456769</v>
      </c>
      <c r="F20" s="98">
        <f t="shared" si="1"/>
        <v>-0.25146160458646571</v>
      </c>
    </row>
    <row r="21" spans="1:6" ht="18" customHeight="1" x14ac:dyDescent="0.25">
      <c r="A21" s="99">
        <v>8</v>
      </c>
      <c r="B21" s="100" t="s">
        <v>119</v>
      </c>
      <c r="C21" s="97">
        <v>410501</v>
      </c>
      <c r="D21" s="97">
        <v>476079</v>
      </c>
      <c r="E21" s="97">
        <f t="shared" si="0"/>
        <v>65578</v>
      </c>
      <c r="F21" s="98">
        <f t="shared" si="1"/>
        <v>0.15975113337117328</v>
      </c>
    </row>
    <row r="22" spans="1:6" ht="18" customHeight="1" x14ac:dyDescent="0.25">
      <c r="A22" s="99">
        <v>9</v>
      </c>
      <c r="B22" s="100" t="s">
        <v>120</v>
      </c>
      <c r="C22" s="97">
        <v>1077749</v>
      </c>
      <c r="D22" s="97">
        <v>786334</v>
      </c>
      <c r="E22" s="97">
        <f t="shared" si="0"/>
        <v>-291415</v>
      </c>
      <c r="F22" s="98">
        <f t="shared" si="1"/>
        <v>-0.27039227129879034</v>
      </c>
    </row>
    <row r="23" spans="1:6" ht="18" customHeight="1" x14ac:dyDescent="0.25">
      <c r="A23" s="99">
        <v>10</v>
      </c>
      <c r="B23" s="100" t="s">
        <v>121</v>
      </c>
      <c r="C23" s="97">
        <v>1628725</v>
      </c>
      <c r="D23" s="97">
        <v>0</v>
      </c>
      <c r="E23" s="97">
        <f t="shared" si="0"/>
        <v>-1628725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59163079</v>
      </c>
      <c r="D25" s="103">
        <f>SUM(D14:D24)</f>
        <v>54124323</v>
      </c>
      <c r="E25" s="103">
        <f t="shared" si="0"/>
        <v>-5038756</v>
      </c>
      <c r="F25" s="104">
        <f t="shared" si="1"/>
        <v>-8.5167237492828937E-2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22204312</v>
      </c>
      <c r="D27" s="97">
        <v>24383789</v>
      </c>
      <c r="E27" s="97">
        <f t="shared" ref="E27:E38" si="2">D27-C27</f>
        <v>2179477</v>
      </c>
      <c r="F27" s="98">
        <f t="shared" ref="F27:F38" si="3">IF(C27=0,0,E27/C27)</f>
        <v>9.8155574466797263E-2</v>
      </c>
    </row>
    <row r="28" spans="1:6" ht="18" customHeight="1" x14ac:dyDescent="0.25">
      <c r="A28" s="99">
        <v>2</v>
      </c>
      <c r="B28" s="100" t="s">
        <v>113</v>
      </c>
      <c r="C28" s="97">
        <v>4901017</v>
      </c>
      <c r="D28" s="97">
        <v>6081373</v>
      </c>
      <c r="E28" s="97">
        <f t="shared" si="2"/>
        <v>1180356</v>
      </c>
      <c r="F28" s="98">
        <f t="shared" si="3"/>
        <v>0.24083899321304128</v>
      </c>
    </row>
    <row r="29" spans="1:6" ht="18" customHeight="1" x14ac:dyDescent="0.25">
      <c r="A29" s="99">
        <v>3</v>
      </c>
      <c r="B29" s="100" t="s">
        <v>114</v>
      </c>
      <c r="C29" s="97">
        <v>3833348</v>
      </c>
      <c r="D29" s="97">
        <v>7739418</v>
      </c>
      <c r="E29" s="97">
        <f t="shared" si="2"/>
        <v>3906070</v>
      </c>
      <c r="F29" s="98">
        <f t="shared" si="3"/>
        <v>1.0189708839374876</v>
      </c>
    </row>
    <row r="30" spans="1:6" ht="18" customHeight="1" x14ac:dyDescent="0.25">
      <c r="A30" s="99">
        <v>4</v>
      </c>
      <c r="B30" s="100" t="s">
        <v>115</v>
      </c>
      <c r="C30" s="97">
        <v>9986812</v>
      </c>
      <c r="D30" s="97">
        <v>10533160</v>
      </c>
      <c r="E30" s="97">
        <f t="shared" si="2"/>
        <v>546348</v>
      </c>
      <c r="F30" s="98">
        <f t="shared" si="3"/>
        <v>5.4706947522392531E-2</v>
      </c>
    </row>
    <row r="31" spans="1:6" ht="18" customHeight="1" x14ac:dyDescent="0.25">
      <c r="A31" s="99">
        <v>5</v>
      </c>
      <c r="B31" s="100" t="s">
        <v>116</v>
      </c>
      <c r="C31" s="97">
        <v>400126</v>
      </c>
      <c r="D31" s="97">
        <v>482355</v>
      </c>
      <c r="E31" s="97">
        <f t="shared" si="2"/>
        <v>82229</v>
      </c>
      <c r="F31" s="98">
        <f t="shared" si="3"/>
        <v>0.20550776505400797</v>
      </c>
    </row>
    <row r="32" spans="1:6" ht="18" customHeight="1" x14ac:dyDescent="0.25">
      <c r="A32" s="99">
        <v>6</v>
      </c>
      <c r="B32" s="100" t="s">
        <v>117</v>
      </c>
      <c r="C32" s="97">
        <v>2467472</v>
      </c>
      <c r="D32" s="97">
        <v>2608679</v>
      </c>
      <c r="E32" s="97">
        <f t="shared" si="2"/>
        <v>141207</v>
      </c>
      <c r="F32" s="98">
        <f t="shared" si="3"/>
        <v>5.7227397109268108E-2</v>
      </c>
    </row>
    <row r="33" spans="1:6" ht="18" customHeight="1" x14ac:dyDescent="0.25">
      <c r="A33" s="99">
        <v>7</v>
      </c>
      <c r="B33" s="100" t="s">
        <v>118</v>
      </c>
      <c r="C33" s="97">
        <v>36069861</v>
      </c>
      <c r="D33" s="97">
        <v>37567569</v>
      </c>
      <c r="E33" s="97">
        <f t="shared" si="2"/>
        <v>1497708</v>
      </c>
      <c r="F33" s="98">
        <f t="shared" si="3"/>
        <v>4.1522422279365034E-2</v>
      </c>
    </row>
    <row r="34" spans="1:6" ht="18" customHeight="1" x14ac:dyDescent="0.25">
      <c r="A34" s="99">
        <v>8</v>
      </c>
      <c r="B34" s="100" t="s">
        <v>119</v>
      </c>
      <c r="C34" s="97">
        <v>1289819</v>
      </c>
      <c r="D34" s="97">
        <v>1405476</v>
      </c>
      <c r="E34" s="97">
        <f t="shared" si="2"/>
        <v>115657</v>
      </c>
      <c r="F34" s="98">
        <f t="shared" si="3"/>
        <v>8.9669170635569798E-2</v>
      </c>
    </row>
    <row r="35" spans="1:6" ht="18" customHeight="1" x14ac:dyDescent="0.25">
      <c r="A35" s="99">
        <v>9</v>
      </c>
      <c r="B35" s="100" t="s">
        <v>120</v>
      </c>
      <c r="C35" s="97">
        <v>4141862</v>
      </c>
      <c r="D35" s="97">
        <v>3146480</v>
      </c>
      <c r="E35" s="97">
        <f t="shared" si="2"/>
        <v>-995382</v>
      </c>
      <c r="F35" s="98">
        <f t="shared" si="3"/>
        <v>-0.24032234777498623</v>
      </c>
    </row>
    <row r="36" spans="1:6" ht="18" customHeight="1" x14ac:dyDescent="0.25">
      <c r="A36" s="99">
        <v>10</v>
      </c>
      <c r="B36" s="100" t="s">
        <v>121</v>
      </c>
      <c r="C36" s="97">
        <v>2676432</v>
      </c>
      <c r="D36" s="97">
        <v>0</v>
      </c>
      <c r="E36" s="97">
        <f t="shared" si="2"/>
        <v>-2676432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87971061</v>
      </c>
      <c r="D38" s="103">
        <f>SUM(D27:D37)</f>
        <v>93948299</v>
      </c>
      <c r="E38" s="103">
        <f t="shared" si="2"/>
        <v>5977238</v>
      </c>
      <c r="F38" s="104">
        <f t="shared" si="3"/>
        <v>6.7945503124033024E-2</v>
      </c>
    </row>
    <row r="39" spans="1:6" ht="18" customHeight="1" x14ac:dyDescent="0.25">
      <c r="A39" s="661" t="s">
        <v>127</v>
      </c>
      <c r="B39" s="663" t="s">
        <v>128</v>
      </c>
      <c r="C39" s="665"/>
      <c r="D39" s="666"/>
      <c r="E39" s="666"/>
      <c r="F39" s="667"/>
    </row>
    <row r="40" spans="1:6" ht="18" customHeight="1" x14ac:dyDescent="0.25">
      <c r="A40" s="662"/>
      <c r="B40" s="664"/>
      <c r="C40" s="668"/>
      <c r="D40" s="669"/>
      <c r="E40" s="669"/>
      <c r="F40" s="670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51267128</v>
      </c>
      <c r="D41" s="103">
        <f t="shared" si="4"/>
        <v>55086137</v>
      </c>
      <c r="E41" s="107">
        <f t="shared" ref="E41:E52" si="5">D41-C41</f>
        <v>3819009</v>
      </c>
      <c r="F41" s="108">
        <f t="shared" ref="F41:F52" si="6">IF(C41=0,0,E41/C41)</f>
        <v>7.4492353072713569E-2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11055105</v>
      </c>
      <c r="D42" s="103">
        <f t="shared" si="4"/>
        <v>12289561</v>
      </c>
      <c r="E42" s="107">
        <f t="shared" si="5"/>
        <v>1234456</v>
      </c>
      <c r="F42" s="108">
        <f t="shared" si="6"/>
        <v>0.11166388740767275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6200558</v>
      </c>
      <c r="D43" s="103">
        <f t="shared" si="4"/>
        <v>11299484</v>
      </c>
      <c r="E43" s="107">
        <f t="shared" si="5"/>
        <v>5098926</v>
      </c>
      <c r="F43" s="108">
        <f t="shared" si="6"/>
        <v>0.82233340934799737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13390392</v>
      </c>
      <c r="D44" s="103">
        <f t="shared" si="4"/>
        <v>11818815</v>
      </c>
      <c r="E44" s="107">
        <f t="shared" si="5"/>
        <v>-1571577</v>
      </c>
      <c r="F44" s="108">
        <f t="shared" si="6"/>
        <v>-0.11736601885889525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670947</v>
      </c>
      <c r="D45" s="103">
        <f t="shared" si="4"/>
        <v>498321</v>
      </c>
      <c r="E45" s="107">
        <f t="shared" si="5"/>
        <v>-172626</v>
      </c>
      <c r="F45" s="108">
        <f t="shared" si="6"/>
        <v>-0.25728708824989155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3508354</v>
      </c>
      <c r="D46" s="103">
        <f t="shared" si="4"/>
        <v>3408428</v>
      </c>
      <c r="E46" s="107">
        <f t="shared" si="5"/>
        <v>-99926</v>
      </c>
      <c r="F46" s="108">
        <f t="shared" si="6"/>
        <v>-2.8482302527053999E-2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49816568</v>
      </c>
      <c r="D47" s="103">
        <f t="shared" si="4"/>
        <v>47857507</v>
      </c>
      <c r="E47" s="107">
        <f t="shared" si="5"/>
        <v>-1959061</v>
      </c>
      <c r="F47" s="108">
        <f t="shared" si="6"/>
        <v>-3.9325491069557419E-2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1700320</v>
      </c>
      <c r="D48" s="103">
        <f t="shared" si="4"/>
        <v>1881555</v>
      </c>
      <c r="E48" s="107">
        <f t="shared" si="5"/>
        <v>181235</v>
      </c>
      <c r="F48" s="108">
        <f t="shared" si="6"/>
        <v>0.10658875976286816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5219611</v>
      </c>
      <c r="D49" s="103">
        <f t="shared" si="4"/>
        <v>3932814</v>
      </c>
      <c r="E49" s="107">
        <f t="shared" si="5"/>
        <v>-1286797</v>
      </c>
      <c r="F49" s="108">
        <f t="shared" si="6"/>
        <v>-0.24653120701906714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4305157</v>
      </c>
      <c r="D50" s="103">
        <f t="shared" si="4"/>
        <v>0</v>
      </c>
      <c r="E50" s="107">
        <f t="shared" si="5"/>
        <v>-4305157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147134140</v>
      </c>
      <c r="D52" s="112">
        <f>SUM(D41:D51)</f>
        <v>148072622</v>
      </c>
      <c r="E52" s="111">
        <f t="shared" si="5"/>
        <v>938482</v>
      </c>
      <c r="F52" s="113">
        <f t="shared" si="6"/>
        <v>6.3784108841088817E-3</v>
      </c>
    </row>
    <row r="53" spans="1:6" ht="18" customHeight="1" x14ac:dyDescent="0.25">
      <c r="A53" s="661" t="s">
        <v>44</v>
      </c>
      <c r="B53" s="663" t="s">
        <v>129</v>
      </c>
      <c r="C53" s="665"/>
      <c r="D53" s="666"/>
      <c r="E53" s="666"/>
      <c r="F53" s="667"/>
    </row>
    <row r="54" spans="1:6" ht="18" customHeight="1" x14ac:dyDescent="0.25">
      <c r="A54" s="662"/>
      <c r="B54" s="664"/>
      <c r="C54" s="668"/>
      <c r="D54" s="669"/>
      <c r="E54" s="669"/>
      <c r="F54" s="670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12216617</v>
      </c>
      <c r="D57" s="97">
        <v>12550501</v>
      </c>
      <c r="E57" s="97">
        <f t="shared" ref="E57:E68" si="7">D57-C57</f>
        <v>333884</v>
      </c>
      <c r="F57" s="98">
        <f t="shared" ref="F57:F68" si="8">IF(C57=0,0,E57/C57)</f>
        <v>2.733031574944193E-2</v>
      </c>
    </row>
    <row r="58" spans="1:6" ht="18" customHeight="1" x14ac:dyDescent="0.25">
      <c r="A58" s="99">
        <v>2</v>
      </c>
      <c r="B58" s="100" t="s">
        <v>113</v>
      </c>
      <c r="C58" s="97">
        <v>2655859</v>
      </c>
      <c r="D58" s="97">
        <v>2406391</v>
      </c>
      <c r="E58" s="97">
        <f t="shared" si="7"/>
        <v>-249468</v>
      </c>
      <c r="F58" s="98">
        <f t="shared" si="8"/>
        <v>-9.3931191377253087E-2</v>
      </c>
    </row>
    <row r="59" spans="1:6" ht="18" customHeight="1" x14ac:dyDescent="0.25">
      <c r="A59" s="99">
        <v>3</v>
      </c>
      <c r="B59" s="100" t="s">
        <v>114</v>
      </c>
      <c r="C59" s="97">
        <v>806958</v>
      </c>
      <c r="D59" s="97">
        <v>1011150</v>
      </c>
      <c r="E59" s="97">
        <f t="shared" si="7"/>
        <v>204192</v>
      </c>
      <c r="F59" s="98">
        <f t="shared" si="8"/>
        <v>0.25303919163079119</v>
      </c>
    </row>
    <row r="60" spans="1:6" ht="18" customHeight="1" x14ac:dyDescent="0.25">
      <c r="A60" s="99">
        <v>4</v>
      </c>
      <c r="B60" s="100" t="s">
        <v>115</v>
      </c>
      <c r="C60" s="97">
        <v>1265804</v>
      </c>
      <c r="D60" s="97">
        <v>380709</v>
      </c>
      <c r="E60" s="97">
        <f t="shared" si="7"/>
        <v>-885095</v>
      </c>
      <c r="F60" s="98">
        <f t="shared" si="8"/>
        <v>-0.69923542665373151</v>
      </c>
    </row>
    <row r="61" spans="1:6" ht="18" customHeight="1" x14ac:dyDescent="0.25">
      <c r="A61" s="99">
        <v>5</v>
      </c>
      <c r="B61" s="100" t="s">
        <v>116</v>
      </c>
      <c r="C61" s="97">
        <v>91096</v>
      </c>
      <c r="D61" s="97">
        <v>5231</v>
      </c>
      <c r="E61" s="97">
        <f t="shared" si="7"/>
        <v>-85865</v>
      </c>
      <c r="F61" s="98">
        <f t="shared" si="8"/>
        <v>-0.94257706156142973</v>
      </c>
    </row>
    <row r="62" spans="1:6" ht="18" customHeight="1" x14ac:dyDescent="0.25">
      <c r="A62" s="99">
        <v>6</v>
      </c>
      <c r="B62" s="100" t="s">
        <v>117</v>
      </c>
      <c r="C62" s="97">
        <v>826141</v>
      </c>
      <c r="D62" s="97">
        <v>701772</v>
      </c>
      <c r="E62" s="97">
        <f t="shared" si="7"/>
        <v>-124369</v>
      </c>
      <c r="F62" s="98">
        <f t="shared" si="8"/>
        <v>-0.15054209874585572</v>
      </c>
    </row>
    <row r="63" spans="1:6" ht="18" customHeight="1" x14ac:dyDescent="0.25">
      <c r="A63" s="99">
        <v>7</v>
      </c>
      <c r="B63" s="100" t="s">
        <v>118</v>
      </c>
      <c r="C63" s="97">
        <v>7062198</v>
      </c>
      <c r="D63" s="97">
        <v>6179597</v>
      </c>
      <c r="E63" s="97">
        <f t="shared" si="7"/>
        <v>-882601</v>
      </c>
      <c r="F63" s="98">
        <f t="shared" si="8"/>
        <v>-0.12497539717804571</v>
      </c>
    </row>
    <row r="64" spans="1:6" ht="18" customHeight="1" x14ac:dyDescent="0.25">
      <c r="A64" s="99">
        <v>8</v>
      </c>
      <c r="B64" s="100" t="s">
        <v>119</v>
      </c>
      <c r="C64" s="97">
        <v>191217</v>
      </c>
      <c r="D64" s="97">
        <v>327082</v>
      </c>
      <c r="E64" s="97">
        <f t="shared" si="7"/>
        <v>135865</v>
      </c>
      <c r="F64" s="98">
        <f t="shared" si="8"/>
        <v>0.71052782963857819</v>
      </c>
    </row>
    <row r="65" spans="1:6" ht="18" customHeight="1" x14ac:dyDescent="0.25">
      <c r="A65" s="99">
        <v>9</v>
      </c>
      <c r="B65" s="100" t="s">
        <v>120</v>
      </c>
      <c r="C65" s="97">
        <v>254043</v>
      </c>
      <c r="D65" s="97">
        <v>4157</v>
      </c>
      <c r="E65" s="97">
        <f t="shared" si="7"/>
        <v>-249886</v>
      </c>
      <c r="F65" s="98">
        <f t="shared" si="8"/>
        <v>-0.98363662844479083</v>
      </c>
    </row>
    <row r="66" spans="1:6" ht="18" customHeight="1" x14ac:dyDescent="0.25">
      <c r="A66" s="99">
        <v>10</v>
      </c>
      <c r="B66" s="100" t="s">
        <v>121</v>
      </c>
      <c r="C66" s="97">
        <v>459161</v>
      </c>
      <c r="D66" s="97">
        <v>0</v>
      </c>
      <c r="E66" s="97">
        <f t="shared" si="7"/>
        <v>-459161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25829094</v>
      </c>
      <c r="D68" s="103">
        <f>SUM(D57:D67)</f>
        <v>23566590</v>
      </c>
      <c r="E68" s="103">
        <f t="shared" si="7"/>
        <v>-2262504</v>
      </c>
      <c r="F68" s="104">
        <f t="shared" si="8"/>
        <v>-8.7595174650725263E-2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7004386</v>
      </c>
      <c r="D70" s="97">
        <v>6547300</v>
      </c>
      <c r="E70" s="97">
        <f t="shared" ref="E70:E81" si="9">D70-C70</f>
        <v>-457086</v>
      </c>
      <c r="F70" s="98">
        <f t="shared" ref="F70:F81" si="10">IF(C70=0,0,E70/C70)</f>
        <v>-6.5257111758261183E-2</v>
      </c>
    </row>
    <row r="71" spans="1:6" ht="18" customHeight="1" x14ac:dyDescent="0.25">
      <c r="A71" s="99">
        <v>2</v>
      </c>
      <c r="B71" s="100" t="s">
        <v>113</v>
      </c>
      <c r="C71" s="97">
        <v>1375498</v>
      </c>
      <c r="D71" s="97">
        <v>1332022</v>
      </c>
      <c r="E71" s="97">
        <f t="shared" si="9"/>
        <v>-43476</v>
      </c>
      <c r="F71" s="98">
        <f t="shared" si="10"/>
        <v>-3.1607461443055533E-2</v>
      </c>
    </row>
    <row r="72" spans="1:6" ht="18" customHeight="1" x14ac:dyDescent="0.25">
      <c r="A72" s="99">
        <v>3</v>
      </c>
      <c r="B72" s="100" t="s">
        <v>114</v>
      </c>
      <c r="C72" s="97">
        <v>1343806</v>
      </c>
      <c r="D72" s="97">
        <v>1328463</v>
      </c>
      <c r="E72" s="97">
        <f t="shared" si="9"/>
        <v>-15343</v>
      </c>
      <c r="F72" s="98">
        <f t="shared" si="10"/>
        <v>-1.1417570691007482E-2</v>
      </c>
    </row>
    <row r="73" spans="1:6" ht="18" customHeight="1" x14ac:dyDescent="0.25">
      <c r="A73" s="99">
        <v>4</v>
      </c>
      <c r="B73" s="100" t="s">
        <v>115</v>
      </c>
      <c r="C73" s="97">
        <v>2517015</v>
      </c>
      <c r="D73" s="97">
        <v>3004741</v>
      </c>
      <c r="E73" s="97">
        <f t="shared" si="9"/>
        <v>487726</v>
      </c>
      <c r="F73" s="98">
        <f t="shared" si="10"/>
        <v>0.19377159055468482</v>
      </c>
    </row>
    <row r="74" spans="1:6" ht="18" customHeight="1" x14ac:dyDescent="0.25">
      <c r="A74" s="99">
        <v>5</v>
      </c>
      <c r="B74" s="100" t="s">
        <v>116</v>
      </c>
      <c r="C74" s="97">
        <v>255010</v>
      </c>
      <c r="D74" s="97">
        <v>310999</v>
      </c>
      <c r="E74" s="97">
        <f t="shared" si="9"/>
        <v>55989</v>
      </c>
      <c r="F74" s="98">
        <f t="shared" si="10"/>
        <v>0.21955609583937885</v>
      </c>
    </row>
    <row r="75" spans="1:6" ht="18" customHeight="1" x14ac:dyDescent="0.25">
      <c r="A75" s="99">
        <v>6</v>
      </c>
      <c r="B75" s="100" t="s">
        <v>117</v>
      </c>
      <c r="C75" s="97">
        <v>1942422</v>
      </c>
      <c r="D75" s="97">
        <v>2201004</v>
      </c>
      <c r="E75" s="97">
        <f t="shared" si="9"/>
        <v>258582</v>
      </c>
      <c r="F75" s="98">
        <f t="shared" si="10"/>
        <v>0.13312349221744812</v>
      </c>
    </row>
    <row r="76" spans="1:6" ht="18" customHeight="1" x14ac:dyDescent="0.25">
      <c r="A76" s="99">
        <v>7</v>
      </c>
      <c r="B76" s="100" t="s">
        <v>118</v>
      </c>
      <c r="C76" s="97">
        <v>18586063</v>
      </c>
      <c r="D76" s="97">
        <v>21090780</v>
      </c>
      <c r="E76" s="97">
        <f t="shared" si="9"/>
        <v>2504717</v>
      </c>
      <c r="F76" s="98">
        <f t="shared" si="10"/>
        <v>0.13476318249862815</v>
      </c>
    </row>
    <row r="77" spans="1:6" ht="18" customHeight="1" x14ac:dyDescent="0.25">
      <c r="A77" s="99">
        <v>8</v>
      </c>
      <c r="B77" s="100" t="s">
        <v>119</v>
      </c>
      <c r="C77" s="97">
        <v>476273</v>
      </c>
      <c r="D77" s="97">
        <v>463376</v>
      </c>
      <c r="E77" s="97">
        <f t="shared" si="9"/>
        <v>-12897</v>
      </c>
      <c r="F77" s="98">
        <f t="shared" si="10"/>
        <v>-2.7079007208050846E-2</v>
      </c>
    </row>
    <row r="78" spans="1:6" ht="18" customHeight="1" x14ac:dyDescent="0.25">
      <c r="A78" s="99">
        <v>9</v>
      </c>
      <c r="B78" s="100" t="s">
        <v>120</v>
      </c>
      <c r="C78" s="97">
        <v>671338</v>
      </c>
      <c r="D78" s="97">
        <v>183945</v>
      </c>
      <c r="E78" s="97">
        <f t="shared" si="9"/>
        <v>-487393</v>
      </c>
      <c r="F78" s="98">
        <f t="shared" si="10"/>
        <v>-0.72600240117496706</v>
      </c>
    </row>
    <row r="79" spans="1:6" ht="18" customHeight="1" x14ac:dyDescent="0.25">
      <c r="A79" s="99">
        <v>10</v>
      </c>
      <c r="B79" s="100" t="s">
        <v>121</v>
      </c>
      <c r="C79" s="97">
        <v>243733</v>
      </c>
      <c r="D79" s="97">
        <v>0</v>
      </c>
      <c r="E79" s="97">
        <f t="shared" si="9"/>
        <v>-243733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34415544</v>
      </c>
      <c r="D81" s="103">
        <f>SUM(D70:D80)</f>
        <v>36462630</v>
      </c>
      <c r="E81" s="103">
        <f t="shared" si="9"/>
        <v>2047086</v>
      </c>
      <c r="F81" s="104">
        <f t="shared" si="10"/>
        <v>5.9481436643860693E-2</v>
      </c>
    </row>
    <row r="82" spans="1:6" ht="18" customHeight="1" x14ac:dyDescent="0.25">
      <c r="A82" s="661" t="s">
        <v>127</v>
      </c>
      <c r="B82" s="663" t="s">
        <v>134</v>
      </c>
      <c r="C82" s="665"/>
      <c r="D82" s="666"/>
      <c r="E82" s="666"/>
      <c r="F82" s="667"/>
    </row>
    <row r="83" spans="1:6" ht="18" customHeight="1" x14ac:dyDescent="0.25">
      <c r="A83" s="662"/>
      <c r="B83" s="664"/>
      <c r="C83" s="668"/>
      <c r="D83" s="669"/>
      <c r="E83" s="669"/>
      <c r="F83" s="670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19221003</v>
      </c>
      <c r="D84" s="103">
        <f t="shared" si="11"/>
        <v>19097801</v>
      </c>
      <c r="E84" s="103">
        <f t="shared" ref="E84:E95" si="12">D84-C84</f>
        <v>-123202</v>
      </c>
      <c r="F84" s="104">
        <f t="shared" ref="F84:F95" si="13">IF(C84=0,0,E84/C84)</f>
        <v>-6.4097591577296983E-3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4031357</v>
      </c>
      <c r="D85" s="103">
        <f t="shared" si="11"/>
        <v>3738413</v>
      </c>
      <c r="E85" s="103">
        <f t="shared" si="12"/>
        <v>-292944</v>
      </c>
      <c r="F85" s="104">
        <f t="shared" si="13"/>
        <v>-7.2666350313306413E-2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2150764</v>
      </c>
      <c r="D86" s="103">
        <f t="shared" si="11"/>
        <v>2339613</v>
      </c>
      <c r="E86" s="103">
        <f t="shared" si="12"/>
        <v>188849</v>
      </c>
      <c r="F86" s="104">
        <f t="shared" si="13"/>
        <v>8.7805542588587124E-2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3782819</v>
      </c>
      <c r="D87" s="103">
        <f t="shared" si="11"/>
        <v>3385450</v>
      </c>
      <c r="E87" s="103">
        <f t="shared" si="12"/>
        <v>-397369</v>
      </c>
      <c r="F87" s="104">
        <f t="shared" si="13"/>
        <v>-0.10504573441129486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346106</v>
      </c>
      <c r="D88" s="103">
        <f t="shared" si="11"/>
        <v>316230</v>
      </c>
      <c r="E88" s="103">
        <f t="shared" si="12"/>
        <v>-29876</v>
      </c>
      <c r="F88" s="104">
        <f t="shared" si="13"/>
        <v>-8.6320375838615918E-2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2768563</v>
      </c>
      <c r="D89" s="103">
        <f t="shared" si="11"/>
        <v>2902776</v>
      </c>
      <c r="E89" s="103">
        <f t="shared" si="12"/>
        <v>134213</v>
      </c>
      <c r="F89" s="104">
        <f t="shared" si="13"/>
        <v>4.8477495364923968E-2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25648261</v>
      </c>
      <c r="D90" s="103">
        <f t="shared" si="11"/>
        <v>27270377</v>
      </c>
      <c r="E90" s="103">
        <f t="shared" si="12"/>
        <v>1622116</v>
      </c>
      <c r="F90" s="104">
        <f t="shared" si="13"/>
        <v>6.3244677680096908E-2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667490</v>
      </c>
      <c r="D91" s="103">
        <f t="shared" si="11"/>
        <v>790458</v>
      </c>
      <c r="E91" s="103">
        <f t="shared" si="12"/>
        <v>122968</v>
      </c>
      <c r="F91" s="104">
        <f t="shared" si="13"/>
        <v>0.18422448276378672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925381</v>
      </c>
      <c r="D92" s="103">
        <f t="shared" si="11"/>
        <v>188102</v>
      </c>
      <c r="E92" s="103">
        <f t="shared" si="12"/>
        <v>-737279</v>
      </c>
      <c r="F92" s="104">
        <f t="shared" si="13"/>
        <v>-0.79673021166416857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702894</v>
      </c>
      <c r="D93" s="103">
        <f t="shared" si="11"/>
        <v>0</v>
      </c>
      <c r="E93" s="103">
        <f t="shared" si="12"/>
        <v>-702894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60244638</v>
      </c>
      <c r="D95" s="112">
        <f>SUM(D84:D94)</f>
        <v>60029220</v>
      </c>
      <c r="E95" s="112">
        <f t="shared" si="12"/>
        <v>-215418</v>
      </c>
      <c r="F95" s="113">
        <f t="shared" si="13"/>
        <v>-3.5757207139330807E-3</v>
      </c>
    </row>
    <row r="96" spans="1:6" ht="18" customHeight="1" x14ac:dyDescent="0.25">
      <c r="A96" s="661" t="s">
        <v>135</v>
      </c>
      <c r="B96" s="663" t="s">
        <v>136</v>
      </c>
      <c r="C96" s="665"/>
      <c r="D96" s="666"/>
      <c r="E96" s="666"/>
      <c r="F96" s="667"/>
    </row>
    <row r="97" spans="1:6" ht="18" customHeight="1" x14ac:dyDescent="0.25">
      <c r="A97" s="662"/>
      <c r="B97" s="664"/>
      <c r="C97" s="668"/>
      <c r="D97" s="669"/>
      <c r="E97" s="669"/>
      <c r="F97" s="670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1329</v>
      </c>
      <c r="D100" s="117">
        <v>1317</v>
      </c>
      <c r="E100" s="117">
        <f t="shared" ref="E100:E111" si="14">D100-C100</f>
        <v>-12</v>
      </c>
      <c r="F100" s="98">
        <f t="shared" ref="F100:F111" si="15">IF(C100=0,0,E100/C100)</f>
        <v>-9.0293453724604959E-3</v>
      </c>
    </row>
    <row r="101" spans="1:6" ht="18" customHeight="1" x14ac:dyDescent="0.25">
      <c r="A101" s="99">
        <v>2</v>
      </c>
      <c r="B101" s="100" t="s">
        <v>113</v>
      </c>
      <c r="C101" s="117">
        <v>266</v>
      </c>
      <c r="D101" s="117">
        <v>264</v>
      </c>
      <c r="E101" s="117">
        <f t="shared" si="14"/>
        <v>-2</v>
      </c>
      <c r="F101" s="98">
        <f t="shared" si="15"/>
        <v>-7.5187969924812026E-3</v>
      </c>
    </row>
    <row r="102" spans="1:6" ht="18" customHeight="1" x14ac:dyDescent="0.25">
      <c r="A102" s="99">
        <v>3</v>
      </c>
      <c r="B102" s="100" t="s">
        <v>114</v>
      </c>
      <c r="C102" s="117">
        <v>127</v>
      </c>
      <c r="D102" s="117">
        <v>148</v>
      </c>
      <c r="E102" s="117">
        <f t="shared" si="14"/>
        <v>21</v>
      </c>
      <c r="F102" s="98">
        <f t="shared" si="15"/>
        <v>0.16535433070866143</v>
      </c>
    </row>
    <row r="103" spans="1:6" ht="18" customHeight="1" x14ac:dyDescent="0.25">
      <c r="A103" s="99">
        <v>4</v>
      </c>
      <c r="B103" s="100" t="s">
        <v>115</v>
      </c>
      <c r="C103" s="117">
        <v>421</v>
      </c>
      <c r="D103" s="117">
        <v>120</v>
      </c>
      <c r="E103" s="117">
        <f t="shared" si="14"/>
        <v>-301</v>
      </c>
      <c r="F103" s="98">
        <f t="shared" si="15"/>
        <v>-0.71496437054631834</v>
      </c>
    </row>
    <row r="104" spans="1:6" ht="18" customHeight="1" x14ac:dyDescent="0.25">
      <c r="A104" s="99">
        <v>5</v>
      </c>
      <c r="B104" s="100" t="s">
        <v>116</v>
      </c>
      <c r="C104" s="117">
        <v>17</v>
      </c>
      <c r="D104" s="117">
        <v>3</v>
      </c>
      <c r="E104" s="117">
        <f t="shared" si="14"/>
        <v>-14</v>
      </c>
      <c r="F104" s="98">
        <f t="shared" si="15"/>
        <v>-0.82352941176470584</v>
      </c>
    </row>
    <row r="105" spans="1:6" ht="18" customHeight="1" x14ac:dyDescent="0.25">
      <c r="A105" s="99">
        <v>6</v>
      </c>
      <c r="B105" s="100" t="s">
        <v>117</v>
      </c>
      <c r="C105" s="117">
        <v>106</v>
      </c>
      <c r="D105" s="117">
        <v>72</v>
      </c>
      <c r="E105" s="117">
        <f t="shared" si="14"/>
        <v>-34</v>
      </c>
      <c r="F105" s="98">
        <f t="shared" si="15"/>
        <v>-0.32075471698113206</v>
      </c>
    </row>
    <row r="106" spans="1:6" ht="18" customHeight="1" x14ac:dyDescent="0.25">
      <c r="A106" s="99">
        <v>7</v>
      </c>
      <c r="B106" s="100" t="s">
        <v>118</v>
      </c>
      <c r="C106" s="117">
        <v>941</v>
      </c>
      <c r="D106" s="117">
        <v>511</v>
      </c>
      <c r="E106" s="117">
        <f t="shared" si="14"/>
        <v>-430</v>
      </c>
      <c r="F106" s="98">
        <f t="shared" si="15"/>
        <v>-0.45696068012752389</v>
      </c>
    </row>
    <row r="107" spans="1:6" ht="18" customHeight="1" x14ac:dyDescent="0.25">
      <c r="A107" s="99">
        <v>8</v>
      </c>
      <c r="B107" s="100" t="s">
        <v>119</v>
      </c>
      <c r="C107" s="117">
        <v>17</v>
      </c>
      <c r="D107" s="117">
        <v>17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65</v>
      </c>
      <c r="D108" s="117">
        <v>63</v>
      </c>
      <c r="E108" s="117">
        <f t="shared" si="14"/>
        <v>-2</v>
      </c>
      <c r="F108" s="98">
        <f t="shared" si="15"/>
        <v>-3.0769230769230771E-2</v>
      </c>
    </row>
    <row r="109" spans="1:6" ht="18" customHeight="1" x14ac:dyDescent="0.25">
      <c r="A109" s="99">
        <v>10</v>
      </c>
      <c r="B109" s="100" t="s">
        <v>121</v>
      </c>
      <c r="C109" s="117">
        <v>97</v>
      </c>
      <c r="D109" s="117">
        <v>0</v>
      </c>
      <c r="E109" s="117">
        <f t="shared" si="14"/>
        <v>-97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3386</v>
      </c>
      <c r="D111" s="118">
        <f>SUM(D100:D110)</f>
        <v>2515</v>
      </c>
      <c r="E111" s="118">
        <f t="shared" si="14"/>
        <v>-871</v>
      </c>
      <c r="F111" s="104">
        <f t="shared" si="15"/>
        <v>-0.25723567631423511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6979</v>
      </c>
      <c r="D113" s="117">
        <v>7269</v>
      </c>
      <c r="E113" s="117">
        <f t="shared" ref="E113:E124" si="16">D113-C113</f>
        <v>290</v>
      </c>
      <c r="F113" s="98">
        <f t="shared" ref="F113:F124" si="17">IF(C113=0,0,E113/C113)</f>
        <v>4.1553231121937241E-2</v>
      </c>
    </row>
    <row r="114" spans="1:6" ht="18" customHeight="1" x14ac:dyDescent="0.25">
      <c r="A114" s="99">
        <v>2</v>
      </c>
      <c r="B114" s="100" t="s">
        <v>113</v>
      </c>
      <c r="C114" s="117">
        <v>1312</v>
      </c>
      <c r="D114" s="117">
        <v>1371</v>
      </c>
      <c r="E114" s="117">
        <f t="shared" si="16"/>
        <v>59</v>
      </c>
      <c r="F114" s="98">
        <f t="shared" si="17"/>
        <v>4.496951219512195E-2</v>
      </c>
    </row>
    <row r="115" spans="1:6" ht="18" customHeight="1" x14ac:dyDescent="0.25">
      <c r="A115" s="99">
        <v>3</v>
      </c>
      <c r="B115" s="100" t="s">
        <v>114</v>
      </c>
      <c r="C115" s="117">
        <v>516</v>
      </c>
      <c r="D115" s="117">
        <v>750</v>
      </c>
      <c r="E115" s="117">
        <f t="shared" si="16"/>
        <v>234</v>
      </c>
      <c r="F115" s="98">
        <f t="shared" si="17"/>
        <v>0.45348837209302323</v>
      </c>
    </row>
    <row r="116" spans="1:6" ht="18" customHeight="1" x14ac:dyDescent="0.25">
      <c r="A116" s="99">
        <v>4</v>
      </c>
      <c r="B116" s="100" t="s">
        <v>115</v>
      </c>
      <c r="C116" s="117">
        <v>1128</v>
      </c>
      <c r="D116" s="117">
        <v>337</v>
      </c>
      <c r="E116" s="117">
        <f t="shared" si="16"/>
        <v>-791</v>
      </c>
      <c r="F116" s="98">
        <f t="shared" si="17"/>
        <v>-0.70124113475177308</v>
      </c>
    </row>
    <row r="117" spans="1:6" ht="18" customHeight="1" x14ac:dyDescent="0.25">
      <c r="A117" s="99">
        <v>5</v>
      </c>
      <c r="B117" s="100" t="s">
        <v>116</v>
      </c>
      <c r="C117" s="117">
        <v>48</v>
      </c>
      <c r="D117" s="117">
        <v>10</v>
      </c>
      <c r="E117" s="117">
        <f t="shared" si="16"/>
        <v>-38</v>
      </c>
      <c r="F117" s="98">
        <f t="shared" si="17"/>
        <v>-0.79166666666666663</v>
      </c>
    </row>
    <row r="118" spans="1:6" ht="18" customHeight="1" x14ac:dyDescent="0.25">
      <c r="A118" s="99">
        <v>6</v>
      </c>
      <c r="B118" s="100" t="s">
        <v>117</v>
      </c>
      <c r="C118" s="117">
        <v>372</v>
      </c>
      <c r="D118" s="117">
        <v>335</v>
      </c>
      <c r="E118" s="117">
        <f t="shared" si="16"/>
        <v>-37</v>
      </c>
      <c r="F118" s="98">
        <f t="shared" si="17"/>
        <v>-9.9462365591397844E-2</v>
      </c>
    </row>
    <row r="119" spans="1:6" ht="18" customHeight="1" x14ac:dyDescent="0.25">
      <c r="A119" s="99">
        <v>7</v>
      </c>
      <c r="B119" s="100" t="s">
        <v>118</v>
      </c>
      <c r="C119" s="117">
        <v>3043</v>
      </c>
      <c r="D119" s="117">
        <v>1933</v>
      </c>
      <c r="E119" s="117">
        <f t="shared" si="16"/>
        <v>-1110</v>
      </c>
      <c r="F119" s="98">
        <f t="shared" si="17"/>
        <v>-0.36477160696680905</v>
      </c>
    </row>
    <row r="120" spans="1:6" ht="18" customHeight="1" x14ac:dyDescent="0.25">
      <c r="A120" s="99">
        <v>8</v>
      </c>
      <c r="B120" s="100" t="s">
        <v>119</v>
      </c>
      <c r="C120" s="117">
        <v>48</v>
      </c>
      <c r="D120" s="117">
        <v>51</v>
      </c>
      <c r="E120" s="117">
        <f t="shared" si="16"/>
        <v>3</v>
      </c>
      <c r="F120" s="98">
        <f t="shared" si="17"/>
        <v>6.25E-2</v>
      </c>
    </row>
    <row r="121" spans="1:6" ht="18" customHeight="1" x14ac:dyDescent="0.25">
      <c r="A121" s="99">
        <v>9</v>
      </c>
      <c r="B121" s="100" t="s">
        <v>120</v>
      </c>
      <c r="C121" s="117">
        <v>266</v>
      </c>
      <c r="D121" s="117">
        <v>314</v>
      </c>
      <c r="E121" s="117">
        <f t="shared" si="16"/>
        <v>48</v>
      </c>
      <c r="F121" s="98">
        <f t="shared" si="17"/>
        <v>0.18045112781954886</v>
      </c>
    </row>
    <row r="122" spans="1:6" ht="18" customHeight="1" x14ac:dyDescent="0.25">
      <c r="A122" s="99">
        <v>10</v>
      </c>
      <c r="B122" s="100" t="s">
        <v>121</v>
      </c>
      <c r="C122" s="117">
        <v>468</v>
      </c>
      <c r="D122" s="117">
        <v>0</v>
      </c>
      <c r="E122" s="117">
        <f t="shared" si="16"/>
        <v>-468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14180</v>
      </c>
      <c r="D124" s="118">
        <f>SUM(D113:D123)</f>
        <v>12370</v>
      </c>
      <c r="E124" s="118">
        <f t="shared" si="16"/>
        <v>-1810</v>
      </c>
      <c r="F124" s="104">
        <f t="shared" si="17"/>
        <v>-0.12764456981664316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14517</v>
      </c>
      <c r="D126" s="117">
        <v>14395</v>
      </c>
      <c r="E126" s="117">
        <f t="shared" ref="E126:E137" si="18">D126-C126</f>
        <v>-122</v>
      </c>
      <c r="F126" s="98">
        <f t="shared" ref="F126:F137" si="19">IF(C126=0,0,E126/C126)</f>
        <v>-8.4039402080319618E-3</v>
      </c>
    </row>
    <row r="127" spans="1:6" ht="18" customHeight="1" x14ac:dyDescent="0.25">
      <c r="A127" s="99">
        <v>2</v>
      </c>
      <c r="B127" s="100" t="s">
        <v>113</v>
      </c>
      <c r="C127" s="117">
        <v>3262</v>
      </c>
      <c r="D127" s="117">
        <v>3718</v>
      </c>
      <c r="E127" s="117">
        <f t="shared" si="18"/>
        <v>456</v>
      </c>
      <c r="F127" s="98">
        <f t="shared" si="19"/>
        <v>0.13979153893316984</v>
      </c>
    </row>
    <row r="128" spans="1:6" ht="18" customHeight="1" x14ac:dyDescent="0.25">
      <c r="A128" s="99">
        <v>3</v>
      </c>
      <c r="B128" s="100" t="s">
        <v>114</v>
      </c>
      <c r="C128" s="117">
        <v>3091</v>
      </c>
      <c r="D128" s="117">
        <v>5469</v>
      </c>
      <c r="E128" s="117">
        <f t="shared" si="18"/>
        <v>2378</v>
      </c>
      <c r="F128" s="98">
        <f t="shared" si="19"/>
        <v>0.76933031381429962</v>
      </c>
    </row>
    <row r="129" spans="1:6" ht="18" customHeight="1" x14ac:dyDescent="0.25">
      <c r="A129" s="99">
        <v>4</v>
      </c>
      <c r="B129" s="100" t="s">
        <v>115</v>
      </c>
      <c r="C129" s="117">
        <v>10536</v>
      </c>
      <c r="D129" s="117">
        <v>9475</v>
      </c>
      <c r="E129" s="117">
        <f t="shared" si="18"/>
        <v>-1061</v>
      </c>
      <c r="F129" s="98">
        <f t="shared" si="19"/>
        <v>-0.10070235383447229</v>
      </c>
    </row>
    <row r="130" spans="1:6" ht="18" customHeight="1" x14ac:dyDescent="0.25">
      <c r="A130" s="99">
        <v>5</v>
      </c>
      <c r="B130" s="100" t="s">
        <v>116</v>
      </c>
      <c r="C130" s="117">
        <v>395</v>
      </c>
      <c r="D130" s="117">
        <v>401</v>
      </c>
      <c r="E130" s="117">
        <f t="shared" si="18"/>
        <v>6</v>
      </c>
      <c r="F130" s="98">
        <f t="shared" si="19"/>
        <v>1.5189873417721518E-2</v>
      </c>
    </row>
    <row r="131" spans="1:6" ht="18" customHeight="1" x14ac:dyDescent="0.25">
      <c r="A131" s="99">
        <v>6</v>
      </c>
      <c r="B131" s="100" t="s">
        <v>117</v>
      </c>
      <c r="C131" s="117">
        <v>2700</v>
      </c>
      <c r="D131" s="117">
        <v>2607</v>
      </c>
      <c r="E131" s="117">
        <f t="shared" si="18"/>
        <v>-93</v>
      </c>
      <c r="F131" s="98">
        <f t="shared" si="19"/>
        <v>-3.4444444444444444E-2</v>
      </c>
    </row>
    <row r="132" spans="1:6" ht="18" customHeight="1" x14ac:dyDescent="0.25">
      <c r="A132" s="99">
        <v>7</v>
      </c>
      <c r="B132" s="100" t="s">
        <v>118</v>
      </c>
      <c r="C132" s="117">
        <v>38831</v>
      </c>
      <c r="D132" s="117">
        <v>35204</v>
      </c>
      <c r="E132" s="117">
        <f t="shared" si="18"/>
        <v>-3627</v>
      </c>
      <c r="F132" s="98">
        <f t="shared" si="19"/>
        <v>-9.3404753933712753E-2</v>
      </c>
    </row>
    <row r="133" spans="1:6" ht="18" customHeight="1" x14ac:dyDescent="0.25">
      <c r="A133" s="99">
        <v>8</v>
      </c>
      <c r="B133" s="100" t="s">
        <v>119</v>
      </c>
      <c r="C133" s="117">
        <v>974</v>
      </c>
      <c r="D133" s="117">
        <v>971</v>
      </c>
      <c r="E133" s="117">
        <f t="shared" si="18"/>
        <v>-3</v>
      </c>
      <c r="F133" s="98">
        <f t="shared" si="19"/>
        <v>-3.0800821355236141E-3</v>
      </c>
    </row>
    <row r="134" spans="1:6" ht="18" customHeight="1" x14ac:dyDescent="0.25">
      <c r="A134" s="99">
        <v>9</v>
      </c>
      <c r="B134" s="100" t="s">
        <v>120</v>
      </c>
      <c r="C134" s="117">
        <v>4327</v>
      </c>
      <c r="D134" s="117">
        <v>4590</v>
      </c>
      <c r="E134" s="117">
        <f t="shared" si="18"/>
        <v>263</v>
      </c>
      <c r="F134" s="98">
        <f t="shared" si="19"/>
        <v>6.078114166859256E-2</v>
      </c>
    </row>
    <row r="135" spans="1:6" ht="18" customHeight="1" x14ac:dyDescent="0.25">
      <c r="A135" s="99">
        <v>10</v>
      </c>
      <c r="B135" s="100" t="s">
        <v>121</v>
      </c>
      <c r="C135" s="117">
        <v>2083</v>
      </c>
      <c r="D135" s="117">
        <v>0</v>
      </c>
      <c r="E135" s="117">
        <f t="shared" si="18"/>
        <v>-2083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80716</v>
      </c>
      <c r="D137" s="118">
        <f>SUM(D126:D136)</f>
        <v>76830</v>
      </c>
      <c r="E137" s="118">
        <f t="shared" si="18"/>
        <v>-3886</v>
      </c>
      <c r="F137" s="104">
        <f t="shared" si="19"/>
        <v>-4.8144110213588387E-2</v>
      </c>
    </row>
    <row r="138" spans="1:6" ht="18" customHeight="1" x14ac:dyDescent="0.25">
      <c r="A138" s="661" t="s">
        <v>144</v>
      </c>
      <c r="B138" s="663" t="s">
        <v>145</v>
      </c>
      <c r="C138" s="665"/>
      <c r="D138" s="666"/>
      <c r="E138" s="666"/>
      <c r="F138" s="667"/>
    </row>
    <row r="139" spans="1:6" ht="18" customHeight="1" x14ac:dyDescent="0.25">
      <c r="A139" s="662"/>
      <c r="B139" s="664"/>
      <c r="C139" s="668"/>
      <c r="D139" s="669"/>
      <c r="E139" s="669"/>
      <c r="F139" s="670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9980527</v>
      </c>
      <c r="D142" s="97">
        <v>9747474</v>
      </c>
      <c r="E142" s="97">
        <f t="shared" ref="E142:E153" si="20">D142-C142</f>
        <v>-233053</v>
      </c>
      <c r="F142" s="98">
        <f t="shared" ref="F142:F153" si="21">IF(C142=0,0,E142/C142)</f>
        <v>-2.3350770956283171E-2</v>
      </c>
    </row>
    <row r="143" spans="1:6" ht="18" customHeight="1" x14ac:dyDescent="0.25">
      <c r="A143" s="99">
        <v>2</v>
      </c>
      <c r="B143" s="100" t="s">
        <v>113</v>
      </c>
      <c r="C143" s="97">
        <v>1929538</v>
      </c>
      <c r="D143" s="97">
        <v>2287029</v>
      </c>
      <c r="E143" s="97">
        <f t="shared" si="20"/>
        <v>357491</v>
      </c>
      <c r="F143" s="98">
        <f t="shared" si="21"/>
        <v>0.18527284769722077</v>
      </c>
    </row>
    <row r="144" spans="1:6" ht="18" customHeight="1" x14ac:dyDescent="0.25">
      <c r="A144" s="99">
        <v>3</v>
      </c>
      <c r="B144" s="100" t="s">
        <v>114</v>
      </c>
      <c r="C144" s="97">
        <v>2086838</v>
      </c>
      <c r="D144" s="97">
        <v>5811180</v>
      </c>
      <c r="E144" s="97">
        <f t="shared" si="20"/>
        <v>3724342</v>
      </c>
      <c r="F144" s="98">
        <f t="shared" si="21"/>
        <v>1.7846818967260516</v>
      </c>
    </row>
    <row r="145" spans="1:6" ht="18" customHeight="1" x14ac:dyDescent="0.25">
      <c r="A145" s="99">
        <v>4</v>
      </c>
      <c r="B145" s="100" t="s">
        <v>115</v>
      </c>
      <c r="C145" s="97">
        <v>6973321</v>
      </c>
      <c r="D145" s="97">
        <v>7502770</v>
      </c>
      <c r="E145" s="97">
        <f t="shared" si="20"/>
        <v>529449</v>
      </c>
      <c r="F145" s="98">
        <f t="shared" si="21"/>
        <v>7.5924943079488244E-2</v>
      </c>
    </row>
    <row r="146" spans="1:6" ht="18" customHeight="1" x14ac:dyDescent="0.25">
      <c r="A146" s="99">
        <v>5</v>
      </c>
      <c r="B146" s="100" t="s">
        <v>116</v>
      </c>
      <c r="C146" s="97">
        <v>211386</v>
      </c>
      <c r="D146" s="97">
        <v>270024</v>
      </c>
      <c r="E146" s="97">
        <f t="shared" si="20"/>
        <v>58638</v>
      </c>
      <c r="F146" s="98">
        <f t="shared" si="21"/>
        <v>0.27739774630297181</v>
      </c>
    </row>
    <row r="147" spans="1:6" ht="18" customHeight="1" x14ac:dyDescent="0.25">
      <c r="A147" s="99">
        <v>6</v>
      </c>
      <c r="B147" s="100" t="s">
        <v>117</v>
      </c>
      <c r="C147" s="97">
        <v>1613535</v>
      </c>
      <c r="D147" s="97">
        <v>1562690</v>
      </c>
      <c r="E147" s="97">
        <f t="shared" si="20"/>
        <v>-50845</v>
      </c>
      <c r="F147" s="98">
        <f t="shared" si="21"/>
        <v>-3.1511556923153203E-2</v>
      </c>
    </row>
    <row r="148" spans="1:6" ht="18" customHeight="1" x14ac:dyDescent="0.25">
      <c r="A148" s="99">
        <v>7</v>
      </c>
      <c r="B148" s="100" t="s">
        <v>118</v>
      </c>
      <c r="C148" s="97">
        <v>16016344</v>
      </c>
      <c r="D148" s="97">
        <v>17926064</v>
      </c>
      <c r="E148" s="97">
        <f t="shared" si="20"/>
        <v>1909720</v>
      </c>
      <c r="F148" s="98">
        <f t="shared" si="21"/>
        <v>0.11923570073170256</v>
      </c>
    </row>
    <row r="149" spans="1:6" ht="18" customHeight="1" x14ac:dyDescent="0.25">
      <c r="A149" s="99">
        <v>8</v>
      </c>
      <c r="B149" s="100" t="s">
        <v>119</v>
      </c>
      <c r="C149" s="97">
        <v>693357</v>
      </c>
      <c r="D149" s="97">
        <v>693779</v>
      </c>
      <c r="E149" s="97">
        <f t="shared" si="20"/>
        <v>422</v>
      </c>
      <c r="F149" s="98">
        <f t="shared" si="21"/>
        <v>6.0863307069806754E-4</v>
      </c>
    </row>
    <row r="150" spans="1:6" ht="18" customHeight="1" x14ac:dyDescent="0.25">
      <c r="A150" s="99">
        <v>9</v>
      </c>
      <c r="B150" s="100" t="s">
        <v>120</v>
      </c>
      <c r="C150" s="97">
        <v>3375658</v>
      </c>
      <c r="D150" s="97">
        <v>1953200</v>
      </c>
      <c r="E150" s="97">
        <f t="shared" si="20"/>
        <v>-1422458</v>
      </c>
      <c r="F150" s="98">
        <f t="shared" si="21"/>
        <v>-0.42138688220192921</v>
      </c>
    </row>
    <row r="151" spans="1:6" ht="18" customHeight="1" x14ac:dyDescent="0.25">
      <c r="A151" s="99">
        <v>10</v>
      </c>
      <c r="B151" s="100" t="s">
        <v>121</v>
      </c>
      <c r="C151" s="97">
        <v>2846869</v>
      </c>
      <c r="D151" s="97">
        <v>0</v>
      </c>
      <c r="E151" s="97">
        <f t="shared" si="20"/>
        <v>-2846869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71339</v>
      </c>
      <c r="D152" s="97">
        <v>63530</v>
      </c>
      <c r="E152" s="97">
        <f t="shared" si="20"/>
        <v>-7809</v>
      </c>
      <c r="F152" s="98">
        <f t="shared" si="21"/>
        <v>-0.10946326693673868</v>
      </c>
    </row>
    <row r="153" spans="1:6" ht="33.75" customHeight="1" x14ac:dyDescent="0.25">
      <c r="A153" s="101"/>
      <c r="B153" s="102" t="s">
        <v>147</v>
      </c>
      <c r="C153" s="103">
        <f>SUM(C142:C152)</f>
        <v>45798712</v>
      </c>
      <c r="D153" s="103">
        <f>SUM(D142:D152)</f>
        <v>47817740</v>
      </c>
      <c r="E153" s="103">
        <f t="shared" si="20"/>
        <v>2019028</v>
      </c>
      <c r="F153" s="104">
        <f t="shared" si="21"/>
        <v>4.4084820551285375E-2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2339695</v>
      </c>
      <c r="D155" s="97">
        <v>2177011</v>
      </c>
      <c r="E155" s="97">
        <f t="shared" ref="E155:E166" si="22">D155-C155</f>
        <v>-162684</v>
      </c>
      <c r="F155" s="98">
        <f t="shared" ref="F155:F166" si="23">IF(C155=0,0,E155/C155)</f>
        <v>-6.953213987293215E-2</v>
      </c>
    </row>
    <row r="156" spans="1:6" ht="18" customHeight="1" x14ac:dyDescent="0.25">
      <c r="A156" s="99">
        <v>2</v>
      </c>
      <c r="B156" s="100" t="s">
        <v>113</v>
      </c>
      <c r="C156" s="97">
        <v>449438</v>
      </c>
      <c r="D156" s="97">
        <v>546458</v>
      </c>
      <c r="E156" s="97">
        <f t="shared" si="22"/>
        <v>97020</v>
      </c>
      <c r="F156" s="98">
        <f t="shared" si="23"/>
        <v>0.2158695971413187</v>
      </c>
    </row>
    <row r="157" spans="1:6" ht="18" customHeight="1" x14ac:dyDescent="0.25">
      <c r="A157" s="99">
        <v>3</v>
      </c>
      <c r="B157" s="100" t="s">
        <v>114</v>
      </c>
      <c r="C157" s="97">
        <v>421348</v>
      </c>
      <c r="D157" s="97">
        <v>1115048</v>
      </c>
      <c r="E157" s="97">
        <f t="shared" si="22"/>
        <v>693700</v>
      </c>
      <c r="F157" s="98">
        <f t="shared" si="23"/>
        <v>1.6463825626323134</v>
      </c>
    </row>
    <row r="158" spans="1:6" ht="18" customHeight="1" x14ac:dyDescent="0.25">
      <c r="A158" s="99">
        <v>4</v>
      </c>
      <c r="B158" s="100" t="s">
        <v>115</v>
      </c>
      <c r="C158" s="97">
        <v>1951644</v>
      </c>
      <c r="D158" s="97">
        <v>1813200</v>
      </c>
      <c r="E158" s="97">
        <f t="shared" si="22"/>
        <v>-138444</v>
      </c>
      <c r="F158" s="98">
        <f t="shared" si="23"/>
        <v>-7.0937117630059582E-2</v>
      </c>
    </row>
    <row r="159" spans="1:6" ht="18" customHeight="1" x14ac:dyDescent="0.25">
      <c r="A159" s="99">
        <v>5</v>
      </c>
      <c r="B159" s="100" t="s">
        <v>116</v>
      </c>
      <c r="C159" s="97">
        <v>65852</v>
      </c>
      <c r="D159" s="97">
        <v>72686</v>
      </c>
      <c r="E159" s="97">
        <f t="shared" si="22"/>
        <v>6834</v>
      </c>
      <c r="F159" s="98">
        <f t="shared" si="23"/>
        <v>0.10377816922796575</v>
      </c>
    </row>
    <row r="160" spans="1:6" ht="18" customHeight="1" x14ac:dyDescent="0.25">
      <c r="A160" s="99">
        <v>6</v>
      </c>
      <c r="B160" s="100" t="s">
        <v>117</v>
      </c>
      <c r="C160" s="97">
        <v>1186863</v>
      </c>
      <c r="D160" s="97">
        <v>1103376</v>
      </c>
      <c r="E160" s="97">
        <f t="shared" si="22"/>
        <v>-83487</v>
      </c>
      <c r="F160" s="98">
        <f t="shared" si="23"/>
        <v>-7.0342575343573771E-2</v>
      </c>
    </row>
    <row r="161" spans="1:6" ht="18" customHeight="1" x14ac:dyDescent="0.25">
      <c r="A161" s="99">
        <v>7</v>
      </c>
      <c r="B161" s="100" t="s">
        <v>118</v>
      </c>
      <c r="C161" s="97">
        <v>9696353</v>
      </c>
      <c r="D161" s="97">
        <v>10960510</v>
      </c>
      <c r="E161" s="97">
        <f t="shared" si="22"/>
        <v>1264157</v>
      </c>
      <c r="F161" s="98">
        <f t="shared" si="23"/>
        <v>0.13037448203463714</v>
      </c>
    </row>
    <row r="162" spans="1:6" ht="18" customHeight="1" x14ac:dyDescent="0.25">
      <c r="A162" s="99">
        <v>8</v>
      </c>
      <c r="B162" s="100" t="s">
        <v>119</v>
      </c>
      <c r="C162" s="97">
        <v>489600</v>
      </c>
      <c r="D162" s="97">
        <v>480640</v>
      </c>
      <c r="E162" s="97">
        <f t="shared" si="22"/>
        <v>-8960</v>
      </c>
      <c r="F162" s="98">
        <f t="shared" si="23"/>
        <v>-1.8300653594771243E-2</v>
      </c>
    </row>
    <row r="163" spans="1:6" ht="18" customHeight="1" x14ac:dyDescent="0.25">
      <c r="A163" s="99">
        <v>9</v>
      </c>
      <c r="B163" s="100" t="s">
        <v>120</v>
      </c>
      <c r="C163" s="97">
        <v>1287856</v>
      </c>
      <c r="D163" s="97">
        <v>96136</v>
      </c>
      <c r="E163" s="97">
        <f t="shared" si="22"/>
        <v>-1191720</v>
      </c>
      <c r="F163" s="98">
        <f t="shared" si="23"/>
        <v>-0.92535190269719592</v>
      </c>
    </row>
    <row r="164" spans="1:6" ht="18" customHeight="1" x14ac:dyDescent="0.25">
      <c r="A164" s="99">
        <v>10</v>
      </c>
      <c r="B164" s="100" t="s">
        <v>121</v>
      </c>
      <c r="C164" s="97">
        <v>442129</v>
      </c>
      <c r="D164" s="97">
        <v>0</v>
      </c>
      <c r="E164" s="97">
        <f t="shared" si="22"/>
        <v>-442129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17522</v>
      </c>
      <c r="D165" s="97">
        <v>15986</v>
      </c>
      <c r="E165" s="97">
        <f t="shared" si="22"/>
        <v>-1536</v>
      </c>
      <c r="F165" s="98">
        <f t="shared" si="23"/>
        <v>-8.7661225887455771E-2</v>
      </c>
    </row>
    <row r="166" spans="1:6" ht="33.75" customHeight="1" x14ac:dyDescent="0.25">
      <c r="A166" s="101"/>
      <c r="B166" s="102" t="s">
        <v>149</v>
      </c>
      <c r="C166" s="103">
        <f>SUM(C155:C165)</f>
        <v>18348300</v>
      </c>
      <c r="D166" s="103">
        <f>SUM(D155:D165)</f>
        <v>18381051</v>
      </c>
      <c r="E166" s="103">
        <f t="shared" si="22"/>
        <v>32751</v>
      </c>
      <c r="F166" s="104">
        <f t="shared" si="23"/>
        <v>1.7849610045617306E-3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3802</v>
      </c>
      <c r="D168" s="117">
        <v>3863</v>
      </c>
      <c r="E168" s="117">
        <f t="shared" ref="E168:E179" si="24">D168-C168</f>
        <v>61</v>
      </c>
      <c r="F168" s="98">
        <f t="shared" ref="F168:F179" si="25">IF(C168=0,0,E168/C168)</f>
        <v>1.6044187269857971E-2</v>
      </c>
    </row>
    <row r="169" spans="1:6" ht="18" customHeight="1" x14ac:dyDescent="0.25">
      <c r="A169" s="99">
        <v>2</v>
      </c>
      <c r="B169" s="100" t="s">
        <v>113</v>
      </c>
      <c r="C169" s="117">
        <v>693</v>
      </c>
      <c r="D169" s="117">
        <v>826</v>
      </c>
      <c r="E169" s="117">
        <f t="shared" si="24"/>
        <v>133</v>
      </c>
      <c r="F169" s="98">
        <f t="shared" si="25"/>
        <v>0.19191919191919191</v>
      </c>
    </row>
    <row r="170" spans="1:6" ht="18" customHeight="1" x14ac:dyDescent="0.25">
      <c r="A170" s="99">
        <v>3</v>
      </c>
      <c r="B170" s="100" t="s">
        <v>114</v>
      </c>
      <c r="C170" s="117">
        <v>1165</v>
      </c>
      <c r="D170" s="117">
        <v>3236</v>
      </c>
      <c r="E170" s="117">
        <f t="shared" si="24"/>
        <v>2071</v>
      </c>
      <c r="F170" s="98">
        <f t="shared" si="25"/>
        <v>1.7776824034334764</v>
      </c>
    </row>
    <row r="171" spans="1:6" ht="18" customHeight="1" x14ac:dyDescent="0.25">
      <c r="A171" s="99">
        <v>4</v>
      </c>
      <c r="B171" s="100" t="s">
        <v>115</v>
      </c>
      <c r="C171" s="117">
        <v>4979</v>
      </c>
      <c r="D171" s="117">
        <v>4996</v>
      </c>
      <c r="E171" s="117">
        <f t="shared" si="24"/>
        <v>17</v>
      </c>
      <c r="F171" s="98">
        <f t="shared" si="25"/>
        <v>3.4143402289616388E-3</v>
      </c>
    </row>
    <row r="172" spans="1:6" ht="18" customHeight="1" x14ac:dyDescent="0.25">
      <c r="A172" s="99">
        <v>5</v>
      </c>
      <c r="B172" s="100" t="s">
        <v>116</v>
      </c>
      <c r="C172" s="117">
        <v>134</v>
      </c>
      <c r="D172" s="117">
        <v>145</v>
      </c>
      <c r="E172" s="117">
        <f t="shared" si="24"/>
        <v>11</v>
      </c>
      <c r="F172" s="98">
        <f t="shared" si="25"/>
        <v>8.2089552238805971E-2</v>
      </c>
    </row>
    <row r="173" spans="1:6" ht="18" customHeight="1" x14ac:dyDescent="0.25">
      <c r="A173" s="99">
        <v>6</v>
      </c>
      <c r="B173" s="100" t="s">
        <v>117</v>
      </c>
      <c r="C173" s="117">
        <v>797</v>
      </c>
      <c r="D173" s="117">
        <v>787</v>
      </c>
      <c r="E173" s="117">
        <f t="shared" si="24"/>
        <v>-10</v>
      </c>
      <c r="F173" s="98">
        <f t="shared" si="25"/>
        <v>-1.2547051442910916E-2</v>
      </c>
    </row>
    <row r="174" spans="1:6" ht="18" customHeight="1" x14ac:dyDescent="0.25">
      <c r="A174" s="99">
        <v>7</v>
      </c>
      <c r="B174" s="100" t="s">
        <v>118</v>
      </c>
      <c r="C174" s="117">
        <v>8175</v>
      </c>
      <c r="D174" s="117">
        <v>7797</v>
      </c>
      <c r="E174" s="117">
        <f t="shared" si="24"/>
        <v>-378</v>
      </c>
      <c r="F174" s="98">
        <f t="shared" si="25"/>
        <v>-4.623853211009174E-2</v>
      </c>
    </row>
    <row r="175" spans="1:6" ht="18" customHeight="1" x14ac:dyDescent="0.25">
      <c r="A175" s="99">
        <v>8</v>
      </c>
      <c r="B175" s="100" t="s">
        <v>119</v>
      </c>
      <c r="C175" s="117">
        <v>493</v>
      </c>
      <c r="D175" s="117">
        <v>525</v>
      </c>
      <c r="E175" s="117">
        <f t="shared" si="24"/>
        <v>32</v>
      </c>
      <c r="F175" s="98">
        <f t="shared" si="25"/>
        <v>6.4908722109533468E-2</v>
      </c>
    </row>
    <row r="176" spans="1:6" ht="18" customHeight="1" x14ac:dyDescent="0.25">
      <c r="A176" s="99">
        <v>9</v>
      </c>
      <c r="B176" s="100" t="s">
        <v>120</v>
      </c>
      <c r="C176" s="117">
        <v>2001</v>
      </c>
      <c r="D176" s="117">
        <v>2201</v>
      </c>
      <c r="E176" s="117">
        <f t="shared" si="24"/>
        <v>200</v>
      </c>
      <c r="F176" s="98">
        <f t="shared" si="25"/>
        <v>9.9950024987506242E-2</v>
      </c>
    </row>
    <row r="177" spans="1:6" ht="18" customHeight="1" x14ac:dyDescent="0.25">
      <c r="A177" s="99">
        <v>10</v>
      </c>
      <c r="B177" s="100" t="s">
        <v>121</v>
      </c>
      <c r="C177" s="117">
        <v>1604</v>
      </c>
      <c r="D177" s="117">
        <v>0</v>
      </c>
      <c r="E177" s="117">
        <f t="shared" si="24"/>
        <v>-1604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30</v>
      </c>
      <c r="D178" s="117">
        <v>21</v>
      </c>
      <c r="E178" s="117">
        <f t="shared" si="24"/>
        <v>-9</v>
      </c>
      <c r="F178" s="98">
        <f t="shared" si="25"/>
        <v>-0.3</v>
      </c>
    </row>
    <row r="179" spans="1:6" ht="33.75" customHeight="1" x14ac:dyDescent="0.25">
      <c r="A179" s="101"/>
      <c r="B179" s="102" t="s">
        <v>151</v>
      </c>
      <c r="C179" s="118">
        <f>SUM(C168:C178)</f>
        <v>23873</v>
      </c>
      <c r="D179" s="118">
        <f>SUM(D168:D178)</f>
        <v>24397</v>
      </c>
      <c r="E179" s="118">
        <f t="shared" si="24"/>
        <v>524</v>
      </c>
      <c r="F179" s="104">
        <f t="shared" si="25"/>
        <v>2.1949482679177314E-2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FILING&amp;RROCKVILLE GENERAL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21.710937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10046971</v>
      </c>
      <c r="D15" s="146">
        <v>9289670</v>
      </c>
      <c r="E15" s="146">
        <f>+D15-C15</f>
        <v>-757301</v>
      </c>
      <c r="F15" s="150">
        <f>IF(C15=0,0,E15/C15)</f>
        <v>-7.5376051150142662E-2</v>
      </c>
    </row>
    <row r="16" spans="1:7" ht="15" customHeight="1" x14ac:dyDescent="0.2">
      <c r="A16" s="141">
        <v>2</v>
      </c>
      <c r="B16" s="149" t="s">
        <v>158</v>
      </c>
      <c r="C16" s="146">
        <v>2105239</v>
      </c>
      <c r="D16" s="146">
        <v>2400624</v>
      </c>
      <c r="E16" s="146">
        <f>+D16-C16</f>
        <v>295385</v>
      </c>
      <c r="F16" s="150">
        <f>IF(C16=0,0,E16/C16)</f>
        <v>0.14030948505134097</v>
      </c>
    </row>
    <row r="17" spans="1:7" ht="15" customHeight="1" x14ac:dyDescent="0.2">
      <c r="A17" s="141">
        <v>3</v>
      </c>
      <c r="B17" s="149" t="s">
        <v>159</v>
      </c>
      <c r="C17" s="146">
        <v>17525356</v>
      </c>
      <c r="D17" s="146">
        <v>17845484</v>
      </c>
      <c r="E17" s="146">
        <f>+D17-C17</f>
        <v>320128</v>
      </c>
      <c r="F17" s="150">
        <f>IF(C17=0,0,E17/C17)</f>
        <v>1.8266561888956777E-2</v>
      </c>
    </row>
    <row r="18" spans="1:7" ht="15.75" customHeight="1" x14ac:dyDescent="0.25">
      <c r="A18" s="141"/>
      <c r="B18" s="151" t="s">
        <v>160</v>
      </c>
      <c r="C18" s="147">
        <f>SUM(C15:C17)</f>
        <v>29677566</v>
      </c>
      <c r="D18" s="147">
        <f>SUM(D15:D17)</f>
        <v>29535778</v>
      </c>
      <c r="E18" s="147">
        <f>+D18-C18</f>
        <v>-141788</v>
      </c>
      <c r="F18" s="148">
        <f>IF(C18=0,0,E18/C18)</f>
        <v>-4.7776155227824274E-3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2722099</v>
      </c>
      <c r="D21" s="146">
        <v>3086106</v>
      </c>
      <c r="E21" s="146">
        <f>+D21-C21</f>
        <v>364007</v>
      </c>
      <c r="F21" s="150">
        <f>IF(C21=0,0,E21/C21)</f>
        <v>0.13372291015132073</v>
      </c>
    </row>
    <row r="22" spans="1:7" ht="15" customHeight="1" x14ac:dyDescent="0.2">
      <c r="A22" s="141">
        <v>2</v>
      </c>
      <c r="B22" s="149" t="s">
        <v>163</v>
      </c>
      <c r="C22" s="146">
        <v>539520</v>
      </c>
      <c r="D22" s="146">
        <v>751111</v>
      </c>
      <c r="E22" s="146">
        <f>+D22-C22</f>
        <v>211591</v>
      </c>
      <c r="F22" s="150">
        <f>IF(C22=0,0,E22/C22)</f>
        <v>0.39218379300118622</v>
      </c>
    </row>
    <row r="23" spans="1:7" ht="15" customHeight="1" x14ac:dyDescent="0.2">
      <c r="A23" s="141">
        <v>3</v>
      </c>
      <c r="B23" s="149" t="s">
        <v>164</v>
      </c>
      <c r="C23" s="146">
        <v>4047519</v>
      </c>
      <c r="D23" s="146">
        <v>5001423</v>
      </c>
      <c r="E23" s="146">
        <f>+D23-C23</f>
        <v>953904</v>
      </c>
      <c r="F23" s="150">
        <f>IF(C23=0,0,E23/C23)</f>
        <v>0.23567622536175864</v>
      </c>
    </row>
    <row r="24" spans="1:7" ht="15.75" customHeight="1" x14ac:dyDescent="0.25">
      <c r="A24" s="141"/>
      <c r="B24" s="151" t="s">
        <v>165</v>
      </c>
      <c r="C24" s="147">
        <f>SUM(C21:C23)</f>
        <v>7309138</v>
      </c>
      <c r="D24" s="147">
        <f>SUM(D21:D23)</f>
        <v>8838640</v>
      </c>
      <c r="E24" s="147">
        <f>+D24-C24</f>
        <v>1529502</v>
      </c>
      <c r="F24" s="148">
        <f>IF(C24=0,0,E24/C24)</f>
        <v>0.20925887567042789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2844689</v>
      </c>
      <c r="D28" s="146">
        <v>3261820</v>
      </c>
      <c r="E28" s="146">
        <f>+D28-C28</f>
        <v>417131</v>
      </c>
      <c r="F28" s="150">
        <f>IF(C28=0,0,E28/C28)</f>
        <v>0.1466350100133969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2844689</v>
      </c>
      <c r="D30" s="147">
        <f>SUM(D27:D29)</f>
        <v>3261820</v>
      </c>
      <c r="E30" s="147">
        <f>+D30-C30</f>
        <v>417131</v>
      </c>
      <c r="F30" s="148">
        <f>IF(C30=0,0,E30/C30)</f>
        <v>0.1466350100133969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7130717</v>
      </c>
      <c r="D33" s="146">
        <v>7894502</v>
      </c>
      <c r="E33" s="146">
        <f>+D33-C33</f>
        <v>763785</v>
      </c>
      <c r="F33" s="150">
        <f>IF(C33=0,0,E33/C33)</f>
        <v>0.10711194961179921</v>
      </c>
    </row>
    <row r="34" spans="1:7" ht="15" customHeight="1" x14ac:dyDescent="0.2">
      <c r="A34" s="141">
        <v>2</v>
      </c>
      <c r="B34" s="149" t="s">
        <v>174</v>
      </c>
      <c r="C34" s="146">
        <v>1427514</v>
      </c>
      <c r="D34" s="146">
        <v>1250917</v>
      </c>
      <c r="E34" s="146">
        <f>+D34-C34</f>
        <v>-176597</v>
      </c>
      <c r="F34" s="150">
        <f>IF(C34=0,0,E34/C34)</f>
        <v>-0.12370946974950858</v>
      </c>
    </row>
    <row r="35" spans="1:7" ht="15.75" customHeight="1" x14ac:dyDescent="0.25">
      <c r="A35" s="141"/>
      <c r="B35" s="151" t="s">
        <v>175</v>
      </c>
      <c r="C35" s="147">
        <f>SUM(C33:C34)</f>
        <v>8558231</v>
      </c>
      <c r="D35" s="147">
        <f>SUM(D33:D34)</f>
        <v>9145419</v>
      </c>
      <c r="E35" s="147">
        <f>+D35-C35</f>
        <v>587188</v>
      </c>
      <c r="F35" s="148">
        <f>IF(C35=0,0,E35/C35)</f>
        <v>6.86109080252683E-2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2370488</v>
      </c>
      <c r="D38" s="146">
        <v>2177192</v>
      </c>
      <c r="E38" s="146">
        <f>+D38-C38</f>
        <v>-193296</v>
      </c>
      <c r="F38" s="150">
        <f>IF(C38=0,0,E38/C38)</f>
        <v>-8.1542703443341621E-2</v>
      </c>
    </row>
    <row r="39" spans="1:7" ht="15" customHeight="1" x14ac:dyDescent="0.2">
      <c r="A39" s="141">
        <v>2</v>
      </c>
      <c r="B39" s="149" t="s">
        <v>179</v>
      </c>
      <c r="C39" s="146">
        <v>1453712</v>
      </c>
      <c r="D39" s="146">
        <v>1495105</v>
      </c>
      <c r="E39" s="146">
        <f>+D39-C39</f>
        <v>41393</v>
      </c>
      <c r="F39" s="150">
        <f>IF(C39=0,0,E39/C39)</f>
        <v>2.8474003103778466E-2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3824200</v>
      </c>
      <c r="D41" s="147">
        <f>SUM(D38:D40)</f>
        <v>3672297</v>
      </c>
      <c r="E41" s="147">
        <f>+D41-C41</f>
        <v>-151903</v>
      </c>
      <c r="F41" s="148">
        <f>IF(C41=0,0,E41/C41)</f>
        <v>-3.9721510381256209E-2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3601814</v>
      </c>
      <c r="D44" s="146">
        <v>2925278</v>
      </c>
      <c r="E44" s="146">
        <f>+D44-C44</f>
        <v>-676536</v>
      </c>
      <c r="F44" s="150">
        <f>IF(C44=0,0,E44/C44)</f>
        <v>-0.18783202019871098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1507868</v>
      </c>
      <c r="D47" s="146">
        <v>1115177</v>
      </c>
      <c r="E47" s="146">
        <f>+D47-C47</f>
        <v>-392691</v>
      </c>
      <c r="F47" s="150">
        <f>IF(C47=0,0,E47/C47)</f>
        <v>-0.2604279684959161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663700</v>
      </c>
      <c r="D50" s="146">
        <v>765578</v>
      </c>
      <c r="E50" s="146">
        <f>+D50-C50</f>
        <v>101878</v>
      </c>
      <c r="F50" s="150">
        <f>IF(C50=0,0,E50/C50)</f>
        <v>0.15350007533524182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35521</v>
      </c>
      <c r="D53" s="146">
        <v>74954</v>
      </c>
      <c r="E53" s="146">
        <f t="shared" ref="E53:E59" si="0">+D53-C53</f>
        <v>39433</v>
      </c>
      <c r="F53" s="150">
        <f t="shared" ref="F53:F59" si="1">IF(C53=0,0,E53/C53)</f>
        <v>1.1101320345710988</v>
      </c>
    </row>
    <row r="54" spans="1:7" ht="15" customHeight="1" x14ac:dyDescent="0.2">
      <c r="A54" s="141">
        <v>2</v>
      </c>
      <c r="B54" s="149" t="s">
        <v>193</v>
      </c>
      <c r="C54" s="146">
        <v>261092</v>
      </c>
      <c r="D54" s="146">
        <v>264530</v>
      </c>
      <c r="E54" s="146">
        <f t="shared" si="0"/>
        <v>3438</v>
      </c>
      <c r="F54" s="150">
        <f t="shared" si="1"/>
        <v>1.316777227950301E-2</v>
      </c>
    </row>
    <row r="55" spans="1:7" ht="15" customHeight="1" x14ac:dyDescent="0.2">
      <c r="A55" s="141">
        <v>3</v>
      </c>
      <c r="B55" s="149" t="s">
        <v>194</v>
      </c>
      <c r="C55" s="146">
        <v>44052</v>
      </c>
      <c r="D55" s="146">
        <v>45139</v>
      </c>
      <c r="E55" s="146">
        <f t="shared" si="0"/>
        <v>1087</v>
      </c>
      <c r="F55" s="150">
        <f t="shared" si="1"/>
        <v>2.4675383637519296E-2</v>
      </c>
    </row>
    <row r="56" spans="1:7" ht="15" customHeight="1" x14ac:dyDescent="0.2">
      <c r="A56" s="141">
        <v>4</v>
      </c>
      <c r="B56" s="149" t="s">
        <v>195</v>
      </c>
      <c r="C56" s="146">
        <v>625625</v>
      </c>
      <c r="D56" s="146">
        <v>622837</v>
      </c>
      <c r="E56" s="146">
        <f t="shared" si="0"/>
        <v>-2788</v>
      </c>
      <c r="F56" s="150">
        <f t="shared" si="1"/>
        <v>-4.4563436563436563E-3</v>
      </c>
    </row>
    <row r="57" spans="1:7" ht="15" customHeight="1" x14ac:dyDescent="0.2">
      <c r="A57" s="141">
        <v>5</v>
      </c>
      <c r="B57" s="149" t="s">
        <v>196</v>
      </c>
      <c r="C57" s="146">
        <v>179170</v>
      </c>
      <c r="D57" s="146">
        <v>217872</v>
      </c>
      <c r="E57" s="146">
        <f t="shared" si="0"/>
        <v>38702</v>
      </c>
      <c r="F57" s="150">
        <f t="shared" si="1"/>
        <v>0.2160071440531339</v>
      </c>
    </row>
    <row r="58" spans="1:7" ht="15" customHeight="1" x14ac:dyDescent="0.2">
      <c r="A58" s="141">
        <v>6</v>
      </c>
      <c r="B58" s="149" t="s">
        <v>197</v>
      </c>
      <c r="C58" s="146">
        <v>53692</v>
      </c>
      <c r="D58" s="146">
        <v>53755</v>
      </c>
      <c r="E58" s="146">
        <f t="shared" si="0"/>
        <v>63</v>
      </c>
      <c r="F58" s="150">
        <f t="shared" si="1"/>
        <v>1.1733591596513448E-3</v>
      </c>
    </row>
    <row r="59" spans="1:7" ht="15.75" customHeight="1" x14ac:dyDescent="0.25">
      <c r="A59" s="141"/>
      <c r="B59" s="151" t="s">
        <v>198</v>
      </c>
      <c r="C59" s="147">
        <f>SUM(C53:C58)</f>
        <v>1199152</v>
      </c>
      <c r="D59" s="147">
        <f>SUM(D53:D58)</f>
        <v>1279087</v>
      </c>
      <c r="E59" s="147">
        <f t="shared" si="0"/>
        <v>79935</v>
      </c>
      <c r="F59" s="148">
        <f t="shared" si="1"/>
        <v>6.6659606121659304E-2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159818</v>
      </c>
      <c r="D62" s="146">
        <v>85712</v>
      </c>
      <c r="E62" s="146">
        <f t="shared" ref="E62:E78" si="2">+D62-C62</f>
        <v>-74106</v>
      </c>
      <c r="F62" s="150">
        <f t="shared" ref="F62:F78" si="3">IF(C62=0,0,E62/C62)</f>
        <v>-0.46368994731507091</v>
      </c>
    </row>
    <row r="63" spans="1:7" ht="15" customHeight="1" x14ac:dyDescent="0.2">
      <c r="A63" s="141">
        <v>2</v>
      </c>
      <c r="B63" s="149" t="s">
        <v>202</v>
      </c>
      <c r="C63" s="146">
        <v>336018</v>
      </c>
      <c r="D63" s="146">
        <v>287888</v>
      </c>
      <c r="E63" s="146">
        <f t="shared" si="2"/>
        <v>-48130</v>
      </c>
      <c r="F63" s="150">
        <f t="shared" si="3"/>
        <v>-0.14323637424185609</v>
      </c>
    </row>
    <row r="64" spans="1:7" ht="15" customHeight="1" x14ac:dyDescent="0.2">
      <c r="A64" s="141">
        <v>3</v>
      </c>
      <c r="B64" s="149" t="s">
        <v>203</v>
      </c>
      <c r="C64" s="146">
        <v>226273</v>
      </c>
      <c r="D64" s="146">
        <v>194867</v>
      </c>
      <c r="E64" s="146">
        <f t="shared" si="2"/>
        <v>-31406</v>
      </c>
      <c r="F64" s="150">
        <f t="shared" si="3"/>
        <v>-0.13879693997958217</v>
      </c>
    </row>
    <row r="65" spans="1:7" ht="15" customHeight="1" x14ac:dyDescent="0.2">
      <c r="A65" s="141">
        <v>4</v>
      </c>
      <c r="B65" s="149" t="s">
        <v>204</v>
      </c>
      <c r="C65" s="146">
        <v>113508</v>
      </c>
      <c r="D65" s="146">
        <v>112614</v>
      </c>
      <c r="E65" s="146">
        <f t="shared" si="2"/>
        <v>-894</v>
      </c>
      <c r="F65" s="150">
        <f t="shared" si="3"/>
        <v>-7.8760968389893216E-3</v>
      </c>
    </row>
    <row r="66" spans="1:7" ht="15" customHeight="1" x14ac:dyDescent="0.2">
      <c r="A66" s="141">
        <v>5</v>
      </c>
      <c r="B66" s="149" t="s">
        <v>205</v>
      </c>
      <c r="C66" s="146">
        <v>192325</v>
      </c>
      <c r="D66" s="146">
        <v>144833</v>
      </c>
      <c r="E66" s="146">
        <f t="shared" si="2"/>
        <v>-47492</v>
      </c>
      <c r="F66" s="150">
        <f t="shared" si="3"/>
        <v>-0.24693617574418303</v>
      </c>
    </row>
    <row r="67" spans="1:7" ht="15" customHeight="1" x14ac:dyDescent="0.2">
      <c r="A67" s="141">
        <v>6</v>
      </c>
      <c r="B67" s="149" t="s">
        <v>206</v>
      </c>
      <c r="C67" s="146">
        <v>241965</v>
      </c>
      <c r="D67" s="146">
        <v>294024</v>
      </c>
      <c r="E67" s="146">
        <f t="shared" si="2"/>
        <v>52059</v>
      </c>
      <c r="F67" s="150">
        <f t="shared" si="3"/>
        <v>0.21515095158390676</v>
      </c>
    </row>
    <row r="68" spans="1:7" ht="15" customHeight="1" x14ac:dyDescent="0.2">
      <c r="A68" s="141">
        <v>7</v>
      </c>
      <c r="B68" s="149" t="s">
        <v>207</v>
      </c>
      <c r="C68" s="146">
        <v>820776</v>
      </c>
      <c r="D68" s="146">
        <v>1084749</v>
      </c>
      <c r="E68" s="146">
        <f t="shared" si="2"/>
        <v>263973</v>
      </c>
      <c r="F68" s="150">
        <f t="shared" si="3"/>
        <v>0.32161393608000233</v>
      </c>
    </row>
    <row r="69" spans="1:7" ht="15" customHeight="1" x14ac:dyDescent="0.2">
      <c r="A69" s="141">
        <v>8</v>
      </c>
      <c r="B69" s="149" t="s">
        <v>208</v>
      </c>
      <c r="C69" s="146">
        <v>315407</v>
      </c>
      <c r="D69" s="146">
        <v>268171</v>
      </c>
      <c r="E69" s="146">
        <f t="shared" si="2"/>
        <v>-47236</v>
      </c>
      <c r="F69" s="150">
        <f t="shared" si="3"/>
        <v>-0.14976205347376564</v>
      </c>
    </row>
    <row r="70" spans="1:7" ht="15" customHeight="1" x14ac:dyDescent="0.2">
      <c r="A70" s="141">
        <v>9</v>
      </c>
      <c r="B70" s="149" t="s">
        <v>209</v>
      </c>
      <c r="C70" s="146">
        <v>18474</v>
      </c>
      <c r="D70" s="146">
        <v>22147</v>
      </c>
      <c r="E70" s="146">
        <f t="shared" si="2"/>
        <v>3673</v>
      </c>
      <c r="F70" s="150">
        <f t="shared" si="3"/>
        <v>0.19881996319151241</v>
      </c>
    </row>
    <row r="71" spans="1:7" ht="15" customHeight="1" x14ac:dyDescent="0.2">
      <c r="A71" s="141">
        <v>10</v>
      </c>
      <c r="B71" s="149" t="s">
        <v>210</v>
      </c>
      <c r="C71" s="146">
        <v>4748</v>
      </c>
      <c r="D71" s="146">
        <v>5396</v>
      </c>
      <c r="E71" s="146">
        <f t="shared" si="2"/>
        <v>648</v>
      </c>
      <c r="F71" s="150">
        <f t="shared" si="3"/>
        <v>0.13647851727042964</v>
      </c>
    </row>
    <row r="72" spans="1:7" ht="15" customHeight="1" x14ac:dyDescent="0.2">
      <c r="A72" s="141">
        <v>11</v>
      </c>
      <c r="B72" s="149" t="s">
        <v>211</v>
      </c>
      <c r="C72" s="146">
        <v>3503</v>
      </c>
      <c r="D72" s="146">
        <v>3804</v>
      </c>
      <c r="E72" s="146">
        <f t="shared" si="2"/>
        <v>301</v>
      </c>
      <c r="F72" s="150">
        <f t="shared" si="3"/>
        <v>8.592634884384813E-2</v>
      </c>
    </row>
    <row r="73" spans="1:7" ht="15" customHeight="1" x14ac:dyDescent="0.2">
      <c r="A73" s="141">
        <v>12</v>
      </c>
      <c r="B73" s="149" t="s">
        <v>212</v>
      </c>
      <c r="C73" s="146">
        <v>199540</v>
      </c>
      <c r="D73" s="146">
        <v>239841</v>
      </c>
      <c r="E73" s="146">
        <f t="shared" si="2"/>
        <v>40301</v>
      </c>
      <c r="F73" s="150">
        <f t="shared" si="3"/>
        <v>0.20196952991881328</v>
      </c>
    </row>
    <row r="74" spans="1:7" ht="15" customHeight="1" x14ac:dyDescent="0.2">
      <c r="A74" s="141">
        <v>13</v>
      </c>
      <c r="B74" s="149" t="s">
        <v>213</v>
      </c>
      <c r="C74" s="146">
        <v>162851</v>
      </c>
      <c r="D74" s="146">
        <v>153288</v>
      </c>
      <c r="E74" s="146">
        <f t="shared" si="2"/>
        <v>-9563</v>
      </c>
      <c r="F74" s="150">
        <f t="shared" si="3"/>
        <v>-5.8722390405953909E-2</v>
      </c>
    </row>
    <row r="75" spans="1:7" ht="15" customHeight="1" x14ac:dyDescent="0.2">
      <c r="A75" s="141">
        <v>14</v>
      </c>
      <c r="B75" s="149" t="s">
        <v>214</v>
      </c>
      <c r="C75" s="146">
        <v>4745</v>
      </c>
      <c r="D75" s="146">
        <v>5724</v>
      </c>
      <c r="E75" s="146">
        <f t="shared" si="2"/>
        <v>979</v>
      </c>
      <c r="F75" s="150">
        <f t="shared" si="3"/>
        <v>0.20632244467860905</v>
      </c>
    </row>
    <row r="76" spans="1:7" ht="15" customHeight="1" x14ac:dyDescent="0.2">
      <c r="A76" s="141">
        <v>15</v>
      </c>
      <c r="B76" s="149" t="s">
        <v>215</v>
      </c>
      <c r="C76" s="146">
        <v>212179</v>
      </c>
      <c r="D76" s="146">
        <v>411145</v>
      </c>
      <c r="E76" s="146">
        <f t="shared" si="2"/>
        <v>198966</v>
      </c>
      <c r="F76" s="150">
        <f t="shared" si="3"/>
        <v>0.93772710777221124</v>
      </c>
    </row>
    <row r="77" spans="1:7" ht="15" customHeight="1" x14ac:dyDescent="0.2">
      <c r="A77" s="141">
        <v>16</v>
      </c>
      <c r="B77" s="149" t="s">
        <v>216</v>
      </c>
      <c r="C77" s="146">
        <v>3685489</v>
      </c>
      <c r="D77" s="146">
        <v>4163922</v>
      </c>
      <c r="E77" s="146">
        <f t="shared" si="2"/>
        <v>478433</v>
      </c>
      <c r="F77" s="150">
        <f t="shared" si="3"/>
        <v>0.12981533793751657</v>
      </c>
    </row>
    <row r="78" spans="1:7" ht="15.75" customHeight="1" x14ac:dyDescent="0.25">
      <c r="A78" s="141"/>
      <c r="B78" s="151" t="s">
        <v>217</v>
      </c>
      <c r="C78" s="147">
        <f>SUM(C62:C77)</f>
        <v>6697619</v>
      </c>
      <c r="D78" s="147">
        <f>SUM(D62:D77)</f>
        <v>7478125</v>
      </c>
      <c r="E78" s="147">
        <f t="shared" si="2"/>
        <v>780506</v>
      </c>
      <c r="F78" s="148">
        <f t="shared" si="3"/>
        <v>0.11653484618936968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65883977</v>
      </c>
      <c r="D83" s="147">
        <f>+D81+D78+D59+D50+D47+D44+D41+D35+D30+D24+D18</f>
        <v>68017199</v>
      </c>
      <c r="E83" s="147">
        <f>+D83-C83</f>
        <v>2133222</v>
      </c>
      <c r="F83" s="148">
        <f>IF(C83=0,0,E83/C83)</f>
        <v>3.2378464341944628E-2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660" t="s">
        <v>982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222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223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224</v>
      </c>
      <c r="C91" s="146">
        <v>1772650</v>
      </c>
      <c r="D91" s="146">
        <v>1803466</v>
      </c>
      <c r="E91" s="146">
        <f t="shared" ref="E91:E109" si="4">D91-C91</f>
        <v>30816</v>
      </c>
      <c r="F91" s="150">
        <f t="shared" ref="F91:F109" si="5">IF(C91=0,0,E91/C91)</f>
        <v>1.7384142385693736E-2</v>
      </c>
      <c r="G91" s="155"/>
    </row>
    <row r="92" spans="1:7" ht="15" customHeight="1" x14ac:dyDescent="0.2">
      <c r="A92" s="141">
        <v>2</v>
      </c>
      <c r="B92" s="161" t="s">
        <v>225</v>
      </c>
      <c r="C92" s="146">
        <v>728533</v>
      </c>
      <c r="D92" s="146">
        <v>762398</v>
      </c>
      <c r="E92" s="146">
        <f t="shared" si="4"/>
        <v>33865</v>
      </c>
      <c r="F92" s="150">
        <f t="shared" si="5"/>
        <v>4.6483824342891812E-2</v>
      </c>
      <c r="G92" s="155"/>
    </row>
    <row r="93" spans="1:7" ht="15" customHeight="1" x14ac:dyDescent="0.2">
      <c r="A93" s="141">
        <v>3</v>
      </c>
      <c r="B93" s="161" t="s">
        <v>226</v>
      </c>
      <c r="C93" s="146">
        <v>429427</v>
      </c>
      <c r="D93" s="146">
        <v>344724</v>
      </c>
      <c r="E93" s="146">
        <f t="shared" si="4"/>
        <v>-84703</v>
      </c>
      <c r="F93" s="150">
        <f t="shared" si="5"/>
        <v>-0.19724656344384495</v>
      </c>
      <c r="G93" s="155"/>
    </row>
    <row r="94" spans="1:7" ht="15" customHeight="1" x14ac:dyDescent="0.2">
      <c r="A94" s="141">
        <v>4</v>
      </c>
      <c r="B94" s="161" t="s">
        <v>227</v>
      </c>
      <c r="C94" s="146">
        <v>417897</v>
      </c>
      <c r="D94" s="146">
        <v>429212</v>
      </c>
      <c r="E94" s="146">
        <f t="shared" si="4"/>
        <v>11315</v>
      </c>
      <c r="F94" s="150">
        <f t="shared" si="5"/>
        <v>2.7076049840032354E-2</v>
      </c>
      <c r="G94" s="155"/>
    </row>
    <row r="95" spans="1:7" ht="15" customHeight="1" x14ac:dyDescent="0.2">
      <c r="A95" s="141">
        <v>5</v>
      </c>
      <c r="B95" s="161" t="s">
        <v>228</v>
      </c>
      <c r="C95" s="146">
        <v>1781726</v>
      </c>
      <c r="D95" s="146">
        <v>1893940</v>
      </c>
      <c r="E95" s="146">
        <f t="shared" si="4"/>
        <v>112214</v>
      </c>
      <c r="F95" s="150">
        <f t="shared" si="5"/>
        <v>6.2980503175011193E-2</v>
      </c>
      <c r="G95" s="155"/>
    </row>
    <row r="96" spans="1:7" ht="15" customHeight="1" x14ac:dyDescent="0.2">
      <c r="A96" s="141">
        <v>6</v>
      </c>
      <c r="B96" s="161" t="s">
        <v>229</v>
      </c>
      <c r="C96" s="146">
        <v>625496</v>
      </c>
      <c r="D96" s="146">
        <v>643788</v>
      </c>
      <c r="E96" s="146">
        <f t="shared" si="4"/>
        <v>18292</v>
      </c>
      <c r="F96" s="150">
        <f t="shared" si="5"/>
        <v>2.9243991967974215E-2</v>
      </c>
      <c r="G96" s="155"/>
    </row>
    <row r="97" spans="1:7" ht="15" customHeight="1" x14ac:dyDescent="0.2">
      <c r="A97" s="141">
        <v>7</v>
      </c>
      <c r="B97" s="161" t="s">
        <v>230</v>
      </c>
      <c r="C97" s="146">
        <v>5843912</v>
      </c>
      <c r="D97" s="146">
        <v>7221171</v>
      </c>
      <c r="E97" s="146">
        <f t="shared" si="4"/>
        <v>1377259</v>
      </c>
      <c r="F97" s="150">
        <f t="shared" si="5"/>
        <v>0.23567415115080445</v>
      </c>
      <c r="G97" s="155"/>
    </row>
    <row r="98" spans="1:7" ht="15" customHeight="1" x14ac:dyDescent="0.2">
      <c r="A98" s="141">
        <v>8</v>
      </c>
      <c r="B98" s="161" t="s">
        <v>231</v>
      </c>
      <c r="C98" s="146">
        <v>0</v>
      </c>
      <c r="D98" s="146">
        <v>61727</v>
      </c>
      <c r="E98" s="146">
        <f t="shared" si="4"/>
        <v>61727</v>
      </c>
      <c r="F98" s="150">
        <f t="shared" si="5"/>
        <v>0</v>
      </c>
      <c r="G98" s="155"/>
    </row>
    <row r="99" spans="1:7" ht="15" customHeight="1" x14ac:dyDescent="0.2">
      <c r="A99" s="141">
        <v>9</v>
      </c>
      <c r="B99" s="161" t="s">
        <v>232</v>
      </c>
      <c r="C99" s="146">
        <v>206094</v>
      </c>
      <c r="D99" s="146">
        <v>232176</v>
      </c>
      <c r="E99" s="146">
        <f t="shared" si="4"/>
        <v>26082</v>
      </c>
      <c r="F99" s="150">
        <f t="shared" si="5"/>
        <v>0.12655390258813939</v>
      </c>
      <c r="G99" s="155"/>
    </row>
    <row r="100" spans="1:7" ht="15" customHeight="1" x14ac:dyDescent="0.2">
      <c r="A100" s="141">
        <v>10</v>
      </c>
      <c r="B100" s="161" t="s">
        <v>233</v>
      </c>
      <c r="C100" s="146">
        <v>1073998</v>
      </c>
      <c r="D100" s="146">
        <v>1062510</v>
      </c>
      <c r="E100" s="146">
        <f t="shared" si="4"/>
        <v>-11488</v>
      </c>
      <c r="F100" s="150">
        <f t="shared" si="5"/>
        <v>-1.0696481743913862E-2</v>
      </c>
      <c r="G100" s="155"/>
    </row>
    <row r="101" spans="1:7" ht="15" customHeight="1" x14ac:dyDescent="0.2">
      <c r="A101" s="141">
        <v>11</v>
      </c>
      <c r="B101" s="161" t="s">
        <v>234</v>
      </c>
      <c r="C101" s="146">
        <v>777770</v>
      </c>
      <c r="D101" s="146">
        <v>789615</v>
      </c>
      <c r="E101" s="146">
        <f t="shared" si="4"/>
        <v>11845</v>
      </c>
      <c r="F101" s="150">
        <f t="shared" si="5"/>
        <v>1.52294380086658E-2</v>
      </c>
      <c r="G101" s="155"/>
    </row>
    <row r="102" spans="1:7" ht="15" customHeight="1" x14ac:dyDescent="0.2">
      <c r="A102" s="141">
        <v>12</v>
      </c>
      <c r="B102" s="161" t="s">
        <v>235</v>
      </c>
      <c r="C102" s="146">
        <v>340623</v>
      </c>
      <c r="D102" s="146">
        <v>314893</v>
      </c>
      <c r="E102" s="146">
        <f t="shared" si="4"/>
        <v>-25730</v>
      </c>
      <c r="F102" s="150">
        <f t="shared" si="5"/>
        <v>-7.5538058205112391E-2</v>
      </c>
      <c r="G102" s="155"/>
    </row>
    <row r="103" spans="1:7" ht="15" customHeight="1" x14ac:dyDescent="0.2">
      <c r="A103" s="141">
        <v>13</v>
      </c>
      <c r="B103" s="161" t="s">
        <v>236</v>
      </c>
      <c r="C103" s="146">
        <v>1089465</v>
      </c>
      <c r="D103" s="146">
        <v>1128747</v>
      </c>
      <c r="E103" s="146">
        <f t="shared" si="4"/>
        <v>39282</v>
      </c>
      <c r="F103" s="150">
        <f t="shared" si="5"/>
        <v>3.605622943371288E-2</v>
      </c>
      <c r="G103" s="155"/>
    </row>
    <row r="104" spans="1:7" ht="15" customHeight="1" x14ac:dyDescent="0.2">
      <c r="A104" s="141">
        <v>14</v>
      </c>
      <c r="B104" s="161" t="s">
        <v>237</v>
      </c>
      <c r="C104" s="146">
        <v>369340</v>
      </c>
      <c r="D104" s="146">
        <v>389095</v>
      </c>
      <c r="E104" s="146">
        <f t="shared" si="4"/>
        <v>19755</v>
      </c>
      <c r="F104" s="150">
        <f t="shared" si="5"/>
        <v>5.3487301673254994E-2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702853</v>
      </c>
      <c r="D105" s="146">
        <v>792584</v>
      </c>
      <c r="E105" s="146">
        <f t="shared" si="4"/>
        <v>89731</v>
      </c>
      <c r="F105" s="150">
        <f t="shared" si="5"/>
        <v>0.12766680941818559</v>
      </c>
      <c r="G105" s="155"/>
    </row>
    <row r="106" spans="1:7" ht="15" customHeight="1" x14ac:dyDescent="0.2">
      <c r="A106" s="141">
        <v>16</v>
      </c>
      <c r="B106" s="161" t="s">
        <v>238</v>
      </c>
      <c r="C106" s="146">
        <v>157972</v>
      </c>
      <c r="D106" s="146">
        <v>226634</v>
      </c>
      <c r="E106" s="146">
        <f t="shared" si="4"/>
        <v>68662</v>
      </c>
      <c r="F106" s="150">
        <f t="shared" si="5"/>
        <v>0.43464664624110599</v>
      </c>
      <c r="G106" s="155"/>
    </row>
    <row r="107" spans="1:7" ht="15" customHeight="1" x14ac:dyDescent="0.2">
      <c r="A107" s="141">
        <v>17</v>
      </c>
      <c r="B107" s="161" t="s">
        <v>239</v>
      </c>
      <c r="C107" s="146">
        <v>1935770</v>
      </c>
      <c r="D107" s="146">
        <v>1860176</v>
      </c>
      <c r="E107" s="146">
        <f t="shared" si="4"/>
        <v>-75594</v>
      </c>
      <c r="F107" s="150">
        <f t="shared" si="5"/>
        <v>-3.905112694173378E-2</v>
      </c>
      <c r="G107" s="155"/>
    </row>
    <row r="108" spans="1:7" ht="15" customHeight="1" x14ac:dyDescent="0.2">
      <c r="A108" s="141">
        <v>18</v>
      </c>
      <c r="B108" s="161" t="s">
        <v>240</v>
      </c>
      <c r="C108" s="146">
        <v>13257533</v>
      </c>
      <c r="D108" s="146">
        <v>12357220</v>
      </c>
      <c r="E108" s="146">
        <f t="shared" si="4"/>
        <v>-900313</v>
      </c>
      <c r="F108" s="150">
        <f t="shared" si="5"/>
        <v>-6.7909542446547178E-2</v>
      </c>
      <c r="G108" s="155"/>
    </row>
    <row r="109" spans="1:7" ht="15.75" customHeight="1" x14ac:dyDescent="0.25">
      <c r="A109" s="141"/>
      <c r="B109" s="154" t="s">
        <v>241</v>
      </c>
      <c r="C109" s="147">
        <f>SUM(C91:C108)</f>
        <v>31511059</v>
      </c>
      <c r="D109" s="147">
        <f>SUM(D91:D108)</f>
        <v>32314076</v>
      </c>
      <c r="E109" s="147">
        <f t="shared" si="4"/>
        <v>803017</v>
      </c>
      <c r="F109" s="148">
        <f t="shared" si="5"/>
        <v>2.5483656388698331E-2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242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243</v>
      </c>
      <c r="C112" s="146">
        <v>2547859</v>
      </c>
      <c r="D112" s="146">
        <v>2837182</v>
      </c>
      <c r="E112" s="146">
        <f t="shared" ref="E112:E118" si="6">D112-C112</f>
        <v>289323</v>
      </c>
      <c r="F112" s="150">
        <f t="shared" ref="F112:F118" si="7">IF(C112=0,0,E112/C112)</f>
        <v>0.11355534195573617</v>
      </c>
      <c r="G112" s="155"/>
    </row>
    <row r="113" spans="1:7" ht="15" customHeight="1" x14ac:dyDescent="0.2">
      <c r="A113" s="141">
        <v>2</v>
      </c>
      <c r="B113" s="161" t="s">
        <v>244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245</v>
      </c>
      <c r="C114" s="146">
        <v>206922</v>
      </c>
      <c r="D114" s="146">
        <v>197238</v>
      </c>
      <c r="E114" s="146">
        <f t="shared" si="6"/>
        <v>-9684</v>
      </c>
      <c r="F114" s="150">
        <f t="shared" si="7"/>
        <v>-4.6800243570040888E-2</v>
      </c>
      <c r="G114" s="155"/>
    </row>
    <row r="115" spans="1:7" ht="15" customHeight="1" x14ac:dyDescent="0.2">
      <c r="A115" s="141">
        <v>4</v>
      </c>
      <c r="B115" s="161" t="s">
        <v>246</v>
      </c>
      <c r="C115" s="146">
        <v>804105</v>
      </c>
      <c r="D115" s="146">
        <v>849579</v>
      </c>
      <c r="E115" s="146">
        <f t="shared" si="6"/>
        <v>45474</v>
      </c>
      <c r="F115" s="150">
        <f t="shared" si="7"/>
        <v>5.6552315928889881E-2</v>
      </c>
      <c r="G115" s="155"/>
    </row>
    <row r="116" spans="1:7" ht="15" customHeight="1" x14ac:dyDescent="0.2">
      <c r="A116" s="141">
        <v>5</v>
      </c>
      <c r="B116" s="161" t="s">
        <v>247</v>
      </c>
      <c r="C116" s="146">
        <v>43507</v>
      </c>
      <c r="D116" s="146">
        <v>46528</v>
      </c>
      <c r="E116" s="146">
        <f t="shared" si="6"/>
        <v>3021</v>
      </c>
      <c r="F116" s="150">
        <f t="shared" si="7"/>
        <v>6.943710207552807E-2</v>
      </c>
      <c r="G116" s="155"/>
    </row>
    <row r="117" spans="1:7" ht="15" customHeight="1" x14ac:dyDescent="0.2">
      <c r="A117" s="141">
        <v>6</v>
      </c>
      <c r="B117" s="161" t="s">
        <v>248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249</v>
      </c>
      <c r="C118" s="147">
        <f>SUM(C112:C117)</f>
        <v>3602393</v>
      </c>
      <c r="D118" s="147">
        <f>SUM(D112:D117)</f>
        <v>3930527</v>
      </c>
      <c r="E118" s="147">
        <f t="shared" si="6"/>
        <v>328134</v>
      </c>
      <c r="F118" s="148">
        <f t="shared" si="7"/>
        <v>9.1087785258299137E-2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250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251</v>
      </c>
      <c r="C121" s="146">
        <v>5082009</v>
      </c>
      <c r="D121" s="146">
        <v>5756016</v>
      </c>
      <c r="E121" s="146">
        <f t="shared" ref="E121:E155" si="8">D121-C121</f>
        <v>674007</v>
      </c>
      <c r="F121" s="150">
        <f t="shared" ref="F121:F155" si="9">IF(C121=0,0,E121/C121)</f>
        <v>0.13262609334221959</v>
      </c>
      <c r="G121" s="155"/>
    </row>
    <row r="122" spans="1:7" ht="15" customHeight="1" x14ac:dyDescent="0.2">
      <c r="A122" s="141">
        <v>2</v>
      </c>
      <c r="B122" s="161" t="s">
        <v>252</v>
      </c>
      <c r="C122" s="146">
        <v>462343</v>
      </c>
      <c r="D122" s="146">
        <v>474599</v>
      </c>
      <c r="E122" s="146">
        <f t="shared" si="8"/>
        <v>12256</v>
      </c>
      <c r="F122" s="150">
        <f t="shared" si="9"/>
        <v>2.6508458006285377E-2</v>
      </c>
      <c r="G122" s="155"/>
    </row>
    <row r="123" spans="1:7" ht="15" customHeight="1" x14ac:dyDescent="0.2">
      <c r="A123" s="141">
        <v>3</v>
      </c>
      <c r="B123" s="161" t="s">
        <v>253</v>
      </c>
      <c r="C123" s="146">
        <v>310617</v>
      </c>
      <c r="D123" s="146">
        <v>254530</v>
      </c>
      <c r="E123" s="146">
        <f t="shared" si="8"/>
        <v>-56087</v>
      </c>
      <c r="F123" s="150">
        <f t="shared" si="9"/>
        <v>-0.1805664210265375</v>
      </c>
      <c r="G123" s="155"/>
    </row>
    <row r="124" spans="1:7" ht="15" customHeight="1" x14ac:dyDescent="0.2">
      <c r="A124" s="141">
        <v>4</v>
      </c>
      <c r="B124" s="161" t="s">
        <v>254</v>
      </c>
      <c r="C124" s="146">
        <v>1023262</v>
      </c>
      <c r="D124" s="146">
        <v>786582</v>
      </c>
      <c r="E124" s="146">
        <f t="shared" si="8"/>
        <v>-236680</v>
      </c>
      <c r="F124" s="150">
        <f t="shared" si="9"/>
        <v>-0.23129951078023028</v>
      </c>
      <c r="G124" s="155"/>
    </row>
    <row r="125" spans="1:7" ht="15" customHeight="1" x14ac:dyDescent="0.2">
      <c r="A125" s="141">
        <v>5</v>
      </c>
      <c r="B125" s="161" t="s">
        <v>255</v>
      </c>
      <c r="C125" s="146">
        <v>1327988</v>
      </c>
      <c r="D125" s="146">
        <v>1862429</v>
      </c>
      <c r="E125" s="146">
        <f t="shared" si="8"/>
        <v>534441</v>
      </c>
      <c r="F125" s="150">
        <f t="shared" si="9"/>
        <v>0.40244414859170413</v>
      </c>
      <c r="G125" s="155"/>
    </row>
    <row r="126" spans="1:7" ht="15" customHeight="1" x14ac:dyDescent="0.2">
      <c r="A126" s="141">
        <v>6</v>
      </c>
      <c r="B126" s="161" t="s">
        <v>256</v>
      </c>
      <c r="C126" s="146">
        <v>260681</v>
      </c>
      <c r="D126" s="146">
        <v>375076</v>
      </c>
      <c r="E126" s="146">
        <f t="shared" si="8"/>
        <v>114395</v>
      </c>
      <c r="F126" s="150">
        <f t="shared" si="9"/>
        <v>0.43883136860760852</v>
      </c>
      <c r="G126" s="155"/>
    </row>
    <row r="127" spans="1:7" ht="15" customHeight="1" x14ac:dyDescent="0.2">
      <c r="A127" s="141">
        <v>7</v>
      </c>
      <c r="B127" s="161" t="s">
        <v>257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258</v>
      </c>
      <c r="C128" s="146">
        <v>198550</v>
      </c>
      <c r="D128" s="146">
        <v>241031</v>
      </c>
      <c r="E128" s="146">
        <f t="shared" si="8"/>
        <v>42481</v>
      </c>
      <c r="F128" s="150">
        <f t="shared" si="9"/>
        <v>0.2139561823218333</v>
      </c>
      <c r="G128" s="155"/>
    </row>
    <row r="129" spans="1:7" ht="15" customHeight="1" x14ac:dyDescent="0.2">
      <c r="A129" s="141">
        <v>9</v>
      </c>
      <c r="B129" s="161" t="s">
        <v>259</v>
      </c>
      <c r="C129" s="146">
        <v>385094</v>
      </c>
      <c r="D129" s="146">
        <v>347989</v>
      </c>
      <c r="E129" s="146">
        <f t="shared" si="8"/>
        <v>-37105</v>
      </c>
      <c r="F129" s="150">
        <f t="shared" si="9"/>
        <v>-9.6353098204594201E-2</v>
      </c>
      <c r="G129" s="155"/>
    </row>
    <row r="130" spans="1:7" ht="15" customHeight="1" x14ac:dyDescent="0.2">
      <c r="A130" s="141">
        <v>10</v>
      </c>
      <c r="B130" s="161" t="s">
        <v>260</v>
      </c>
      <c r="C130" s="146">
        <v>3373157</v>
      </c>
      <c r="D130" s="146">
        <v>3533848</v>
      </c>
      <c r="E130" s="146">
        <f t="shared" si="8"/>
        <v>160691</v>
      </c>
      <c r="F130" s="150">
        <f t="shared" si="9"/>
        <v>4.7638162113414824E-2</v>
      </c>
      <c r="G130" s="155"/>
    </row>
    <row r="131" spans="1:7" ht="15" customHeight="1" x14ac:dyDescent="0.2">
      <c r="A131" s="141">
        <v>11</v>
      </c>
      <c r="B131" s="161" t="s">
        <v>261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262</v>
      </c>
      <c r="C132" s="146">
        <v>1197670</v>
      </c>
      <c r="D132" s="146">
        <v>1366068</v>
      </c>
      <c r="E132" s="146">
        <f t="shared" si="8"/>
        <v>168398</v>
      </c>
      <c r="F132" s="150">
        <f t="shared" si="9"/>
        <v>0.14060467407549659</v>
      </c>
      <c r="G132" s="155"/>
    </row>
    <row r="133" spans="1:7" ht="15" customHeight="1" x14ac:dyDescent="0.2">
      <c r="A133" s="141">
        <v>13</v>
      </c>
      <c r="B133" s="161" t="s">
        <v>263</v>
      </c>
      <c r="C133" s="146">
        <v>131048</v>
      </c>
      <c r="D133" s="146">
        <v>129475</v>
      </c>
      <c r="E133" s="146">
        <f t="shared" si="8"/>
        <v>-1573</v>
      </c>
      <c r="F133" s="150">
        <f t="shared" si="9"/>
        <v>-1.2003235455710885E-2</v>
      </c>
      <c r="G133" s="155"/>
    </row>
    <row r="134" spans="1:7" ht="15" customHeight="1" x14ac:dyDescent="0.2">
      <c r="A134" s="141">
        <v>14</v>
      </c>
      <c r="B134" s="161" t="s">
        <v>264</v>
      </c>
      <c r="C134" s="146">
        <v>21118</v>
      </c>
      <c r="D134" s="146">
        <v>22401</v>
      </c>
      <c r="E134" s="146">
        <f t="shared" si="8"/>
        <v>1283</v>
      </c>
      <c r="F134" s="150">
        <f t="shared" si="9"/>
        <v>6.0753859266976039E-2</v>
      </c>
      <c r="G134" s="155"/>
    </row>
    <row r="135" spans="1:7" ht="15" customHeight="1" x14ac:dyDescent="0.2">
      <c r="A135" s="141">
        <v>15</v>
      </c>
      <c r="B135" s="161" t="s">
        <v>265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266</v>
      </c>
      <c r="C136" s="146">
        <v>40684</v>
      </c>
      <c r="D136" s="146">
        <v>38902</v>
      </c>
      <c r="E136" s="146">
        <f t="shared" si="8"/>
        <v>-1782</v>
      </c>
      <c r="F136" s="150">
        <f t="shared" si="9"/>
        <v>-4.3801002851243734E-2</v>
      </c>
      <c r="G136" s="155"/>
    </row>
    <row r="137" spans="1:7" ht="15" customHeight="1" x14ac:dyDescent="0.2">
      <c r="A137" s="141">
        <v>17</v>
      </c>
      <c r="B137" s="161" t="s">
        <v>267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268</v>
      </c>
      <c r="C138" s="146">
        <v>0</v>
      </c>
      <c r="D138" s="146">
        <v>0</v>
      </c>
      <c r="E138" s="146">
        <f t="shared" si="8"/>
        <v>0</v>
      </c>
      <c r="F138" s="150">
        <f t="shared" si="9"/>
        <v>0</v>
      </c>
      <c r="G138" s="155"/>
    </row>
    <row r="139" spans="1:7" ht="15" customHeight="1" x14ac:dyDescent="0.2">
      <c r="A139" s="141">
        <v>19</v>
      </c>
      <c r="B139" s="161" t="s">
        <v>269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270</v>
      </c>
      <c r="C140" s="146">
        <v>40374</v>
      </c>
      <c r="D140" s="146">
        <v>1931</v>
      </c>
      <c r="E140" s="146">
        <f t="shared" si="8"/>
        <v>-38443</v>
      </c>
      <c r="F140" s="150">
        <f t="shared" si="9"/>
        <v>-0.95217219002328235</v>
      </c>
      <c r="G140" s="155"/>
    </row>
    <row r="141" spans="1:7" ht="15" customHeight="1" x14ac:dyDescent="0.2">
      <c r="A141" s="141">
        <v>21</v>
      </c>
      <c r="B141" s="161" t="s">
        <v>271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272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273</v>
      </c>
      <c r="C143" s="146">
        <v>108657</v>
      </c>
      <c r="D143" s="146">
        <v>116386</v>
      </c>
      <c r="E143" s="146">
        <f t="shared" si="8"/>
        <v>7729</v>
      </c>
      <c r="F143" s="150">
        <f t="shared" si="9"/>
        <v>7.1132094572830096E-2</v>
      </c>
      <c r="G143" s="155"/>
    </row>
    <row r="144" spans="1:7" ht="15" customHeight="1" x14ac:dyDescent="0.2">
      <c r="A144" s="141">
        <v>24</v>
      </c>
      <c r="B144" s="161" t="s">
        <v>274</v>
      </c>
      <c r="C144" s="146">
        <v>4775928</v>
      </c>
      <c r="D144" s="146">
        <v>5104059</v>
      </c>
      <c r="E144" s="146">
        <f t="shared" si="8"/>
        <v>328131</v>
      </c>
      <c r="F144" s="150">
        <f t="shared" si="9"/>
        <v>6.8705181485148023E-2</v>
      </c>
      <c r="G144" s="155"/>
    </row>
    <row r="145" spans="1:7" ht="15" customHeight="1" x14ac:dyDescent="0.2">
      <c r="A145" s="141">
        <v>25</v>
      </c>
      <c r="B145" s="161" t="s">
        <v>275</v>
      </c>
      <c r="C145" s="146">
        <v>193260</v>
      </c>
      <c r="D145" s="146">
        <v>202292</v>
      </c>
      <c r="E145" s="146">
        <f t="shared" si="8"/>
        <v>9032</v>
      </c>
      <c r="F145" s="150">
        <f t="shared" si="9"/>
        <v>4.6734968436303426E-2</v>
      </c>
      <c r="G145" s="155"/>
    </row>
    <row r="146" spans="1:7" ht="15" customHeight="1" x14ac:dyDescent="0.2">
      <c r="A146" s="141">
        <v>26</v>
      </c>
      <c r="B146" s="161" t="s">
        <v>276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277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278</v>
      </c>
      <c r="C148" s="146">
        <v>918064</v>
      </c>
      <c r="D148" s="146">
        <v>930218</v>
      </c>
      <c r="E148" s="146">
        <f t="shared" si="8"/>
        <v>12154</v>
      </c>
      <c r="F148" s="150">
        <f t="shared" si="9"/>
        <v>1.3238728454661113E-2</v>
      </c>
      <c r="G148" s="155"/>
    </row>
    <row r="149" spans="1:7" ht="15" customHeight="1" x14ac:dyDescent="0.2">
      <c r="A149" s="141">
        <v>29</v>
      </c>
      <c r="B149" s="161" t="s">
        <v>279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280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281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282</v>
      </c>
      <c r="C152" s="146">
        <v>1694905</v>
      </c>
      <c r="D152" s="146">
        <v>2139148</v>
      </c>
      <c r="E152" s="146">
        <f t="shared" si="8"/>
        <v>444243</v>
      </c>
      <c r="F152" s="150">
        <f t="shared" si="9"/>
        <v>0.26210495573498221</v>
      </c>
      <c r="G152" s="155"/>
    </row>
    <row r="153" spans="1:7" ht="15" customHeight="1" x14ac:dyDescent="0.2">
      <c r="A153" s="141">
        <v>33</v>
      </c>
      <c r="B153" s="161" t="s">
        <v>283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284</v>
      </c>
      <c r="C154" s="146">
        <v>1258239</v>
      </c>
      <c r="D154" s="146">
        <v>1121812</v>
      </c>
      <c r="E154" s="146">
        <f t="shared" si="8"/>
        <v>-136427</v>
      </c>
      <c r="F154" s="150">
        <f t="shared" si="9"/>
        <v>-0.10842693637695223</v>
      </c>
      <c r="G154" s="155"/>
    </row>
    <row r="155" spans="1:7" ht="15.75" customHeight="1" x14ac:dyDescent="0.25">
      <c r="A155" s="141"/>
      <c r="B155" s="154" t="s">
        <v>285</v>
      </c>
      <c r="C155" s="147">
        <f>SUM(C121:C154)</f>
        <v>22803648</v>
      </c>
      <c r="D155" s="147">
        <f>SUM(D121:D154)</f>
        <v>24804792</v>
      </c>
      <c r="E155" s="147">
        <f t="shared" si="8"/>
        <v>2001144</v>
      </c>
      <c r="F155" s="148">
        <f t="shared" si="9"/>
        <v>8.7755432814960135E-2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286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287</v>
      </c>
      <c r="C158" s="146">
        <v>3995213</v>
      </c>
      <c r="D158" s="146">
        <v>4032333</v>
      </c>
      <c r="E158" s="146">
        <f t="shared" ref="E158:E171" si="10">D158-C158</f>
        <v>37120</v>
      </c>
      <c r="F158" s="150">
        <f t="shared" ref="F158:F171" si="11">IF(C158=0,0,E158/C158)</f>
        <v>9.2911191468389789E-3</v>
      </c>
      <c r="G158" s="155"/>
    </row>
    <row r="159" spans="1:7" ht="15" customHeight="1" x14ac:dyDescent="0.2">
      <c r="A159" s="141">
        <v>2</v>
      </c>
      <c r="B159" s="161" t="s">
        <v>288</v>
      </c>
      <c r="C159" s="146">
        <v>2050015</v>
      </c>
      <c r="D159" s="146">
        <v>2080955</v>
      </c>
      <c r="E159" s="146">
        <f t="shared" si="10"/>
        <v>30940</v>
      </c>
      <c r="F159" s="150">
        <f t="shared" si="11"/>
        <v>1.5092572493372E-2</v>
      </c>
      <c r="G159" s="155"/>
    </row>
    <row r="160" spans="1:7" ht="15" customHeight="1" x14ac:dyDescent="0.2">
      <c r="A160" s="141">
        <v>3</v>
      </c>
      <c r="B160" s="161" t="s">
        <v>289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290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291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292</v>
      </c>
      <c r="C163" s="146">
        <v>1023262</v>
      </c>
      <c r="D163" s="146">
        <v>0</v>
      </c>
      <c r="E163" s="146">
        <f t="shared" si="10"/>
        <v>-1023262</v>
      </c>
      <c r="F163" s="150">
        <f t="shared" si="11"/>
        <v>-1</v>
      </c>
      <c r="G163" s="155"/>
    </row>
    <row r="164" spans="1:7" ht="15" customHeight="1" x14ac:dyDescent="0.2">
      <c r="A164" s="141">
        <v>7</v>
      </c>
      <c r="B164" s="161" t="s">
        <v>293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294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295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296</v>
      </c>
      <c r="C167" s="146">
        <v>485736</v>
      </c>
      <c r="D167" s="146">
        <v>494504</v>
      </c>
      <c r="E167" s="146">
        <f t="shared" si="10"/>
        <v>8768</v>
      </c>
      <c r="F167" s="150">
        <f t="shared" si="11"/>
        <v>1.8050957721890082E-2</v>
      </c>
      <c r="G167" s="155"/>
    </row>
    <row r="168" spans="1:7" ht="15" customHeight="1" x14ac:dyDescent="0.2">
      <c r="A168" s="141">
        <v>11</v>
      </c>
      <c r="B168" s="161" t="s">
        <v>297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298</v>
      </c>
      <c r="C169" s="146">
        <v>0</v>
      </c>
      <c r="D169" s="146">
        <v>0</v>
      </c>
      <c r="E169" s="146">
        <f t="shared" si="10"/>
        <v>0</v>
      </c>
      <c r="F169" s="150">
        <f t="shared" si="11"/>
        <v>0</v>
      </c>
      <c r="G169" s="155"/>
    </row>
    <row r="170" spans="1:7" ht="15" customHeight="1" x14ac:dyDescent="0.2">
      <c r="A170" s="141">
        <v>13</v>
      </c>
      <c r="B170" s="161" t="s">
        <v>299</v>
      </c>
      <c r="C170" s="146">
        <v>412651</v>
      </c>
      <c r="D170" s="146">
        <v>360012</v>
      </c>
      <c r="E170" s="146">
        <f t="shared" si="10"/>
        <v>-52639</v>
      </c>
      <c r="F170" s="150">
        <f t="shared" si="11"/>
        <v>-0.12756300118017405</v>
      </c>
      <c r="G170" s="155"/>
    </row>
    <row r="171" spans="1:7" ht="15.75" customHeight="1" x14ac:dyDescent="0.25">
      <c r="A171" s="141"/>
      <c r="B171" s="154" t="s">
        <v>300</v>
      </c>
      <c r="C171" s="147">
        <f>SUM(C158:C170)</f>
        <v>7966877</v>
      </c>
      <c r="D171" s="147">
        <f>SUM(D158:D170)</f>
        <v>6967804</v>
      </c>
      <c r="E171" s="147">
        <f t="shared" si="10"/>
        <v>-999073</v>
      </c>
      <c r="F171" s="148">
        <f t="shared" si="11"/>
        <v>-0.12540334186156005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301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302</v>
      </c>
      <c r="C174" s="146">
        <v>0</v>
      </c>
      <c r="D174" s="146">
        <v>0</v>
      </c>
      <c r="E174" s="146">
        <f>D174-C174</f>
        <v>0</v>
      </c>
      <c r="F174" s="150">
        <f>IF(C174=0,0,E174/C174)</f>
        <v>0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303</v>
      </c>
      <c r="C176" s="147">
        <f>+C174+C171+C155+C118+C109</f>
        <v>65883977</v>
      </c>
      <c r="D176" s="147">
        <f>+D174+D171+D155+D118+D109</f>
        <v>68017199</v>
      </c>
      <c r="E176" s="147">
        <f>D176-C176</f>
        <v>2133222</v>
      </c>
      <c r="F176" s="148">
        <f>IF(C176=0,0,E176/C176)</f>
        <v>3.2378464341944628E-2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660" t="s">
        <v>983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1" fitToHeight="0" orientation="portrait" horizontalDpi="1200" verticalDpi="1200" r:id="rId1"/>
  <headerFooter>
    <oddHeader>&amp;LOFFICE OF HEALTH CARE ACCESS&amp;CTWELVE MONTHS ACTUAL FILING&amp;RROCKVILLE GENERAL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304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305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306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64940252</v>
      </c>
      <c r="D11" s="164">
        <v>64174022</v>
      </c>
      <c r="E11" s="51">
        <v>63387116</v>
      </c>
      <c r="F11" s="13"/>
    </row>
    <row r="12" spans="1:6" ht="24" customHeight="1" x14ac:dyDescent="0.25">
      <c r="A12" s="44">
        <v>2</v>
      </c>
      <c r="B12" s="165" t="s">
        <v>307</v>
      </c>
      <c r="C12" s="49">
        <v>5040949</v>
      </c>
      <c r="D12" s="49">
        <v>5266293</v>
      </c>
      <c r="E12" s="49">
        <v>4793055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69981201</v>
      </c>
      <c r="D13" s="51">
        <f>+D11+D12</f>
        <v>69440315</v>
      </c>
      <c r="E13" s="51">
        <f>+E11+E12</f>
        <v>68180171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66239259</v>
      </c>
      <c r="D14" s="49">
        <v>65883977</v>
      </c>
      <c r="E14" s="49">
        <v>68017199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3741942</v>
      </c>
      <c r="D15" s="51">
        <f>+D13-D14</f>
        <v>3556338</v>
      </c>
      <c r="E15" s="51">
        <f>+E13-E14</f>
        <v>162972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-2380797</v>
      </c>
      <c r="D16" s="49">
        <v>-468466</v>
      </c>
      <c r="E16" s="49">
        <v>-855256</v>
      </c>
      <c r="F16" s="13"/>
    </row>
    <row r="17" spans="1:6" ht="24" customHeight="1" x14ac:dyDescent="0.25">
      <c r="A17" s="44">
        <v>7</v>
      </c>
      <c r="B17" s="45" t="s">
        <v>308</v>
      </c>
      <c r="C17" s="51">
        <f>C15+C16</f>
        <v>1361145</v>
      </c>
      <c r="D17" s="51">
        <f>D15+D16</f>
        <v>3087872</v>
      </c>
      <c r="E17" s="51">
        <f>E15+E16</f>
        <v>-692284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309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310</v>
      </c>
      <c r="C20" s="169">
        <f>IF(+C27=0,0,+C24/+C27)</f>
        <v>5.5353840784738505E-2</v>
      </c>
      <c r="D20" s="169">
        <f>IF(+D27=0,0,+D24/+D27)</f>
        <v>5.1562167051661903E-2</v>
      </c>
      <c r="E20" s="169">
        <f>IF(+E27=0,0,+E24/+E27)</f>
        <v>2.4206788824018568E-3</v>
      </c>
      <c r="F20" s="13"/>
    </row>
    <row r="21" spans="1:6" ht="24" customHeight="1" x14ac:dyDescent="0.25">
      <c r="A21" s="25">
        <v>2</v>
      </c>
      <c r="B21" s="48" t="s">
        <v>311</v>
      </c>
      <c r="C21" s="169">
        <f>IF(C27=0,0,+C26/C27)</f>
        <v>-3.521868005404228E-2</v>
      </c>
      <c r="D21" s="169">
        <f>IF(D27=0,0,+D26/D27)</f>
        <v>-6.7921334108354842E-3</v>
      </c>
      <c r="E21" s="169">
        <f>IF(E27=0,0,+E26/E27)</f>
        <v>-1.270341002287192E-2</v>
      </c>
      <c r="F21" s="13"/>
    </row>
    <row r="22" spans="1:6" ht="24" customHeight="1" x14ac:dyDescent="0.25">
      <c r="A22" s="25">
        <v>3</v>
      </c>
      <c r="B22" s="48" t="s">
        <v>312</v>
      </c>
      <c r="C22" s="169">
        <f>IF(C27=0,0,+C28/C27)</f>
        <v>2.0135160730696225E-2</v>
      </c>
      <c r="D22" s="169">
        <f>IF(D27=0,0,+D28/D27)</f>
        <v>4.477003364082642E-2</v>
      </c>
      <c r="E22" s="169">
        <f>IF(E27=0,0,+E28/E27)</f>
        <v>-1.0282731140470062E-2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3741942</v>
      </c>
      <c r="D24" s="51">
        <f>+D15</f>
        <v>3556338</v>
      </c>
      <c r="E24" s="51">
        <f>+E15</f>
        <v>162972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69981201</v>
      </c>
      <c r="D25" s="51">
        <f>+D13</f>
        <v>69440315</v>
      </c>
      <c r="E25" s="51">
        <f>+E13</f>
        <v>68180171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-2380797</v>
      </c>
      <c r="D26" s="51">
        <f>+D16</f>
        <v>-468466</v>
      </c>
      <c r="E26" s="51">
        <f>+E16</f>
        <v>-855256</v>
      </c>
      <c r="F26" s="13"/>
    </row>
    <row r="27" spans="1:6" ht="24" customHeight="1" x14ac:dyDescent="0.25">
      <c r="A27" s="21">
        <v>7</v>
      </c>
      <c r="B27" s="48" t="s">
        <v>313</v>
      </c>
      <c r="C27" s="51">
        <f>+C25+C26</f>
        <v>67600404</v>
      </c>
      <c r="D27" s="51">
        <f>+D25+D26</f>
        <v>68971849</v>
      </c>
      <c r="E27" s="51">
        <f>+E25+E26</f>
        <v>67324915</v>
      </c>
      <c r="F27" s="13"/>
    </row>
    <row r="28" spans="1:6" ht="24" customHeight="1" x14ac:dyDescent="0.25">
      <c r="A28" s="21">
        <v>8</v>
      </c>
      <c r="B28" s="45" t="s">
        <v>308</v>
      </c>
      <c r="C28" s="51">
        <f>+C17</f>
        <v>1361145</v>
      </c>
      <c r="D28" s="51">
        <f>+D17</f>
        <v>3087872</v>
      </c>
      <c r="E28" s="51">
        <f>+E17</f>
        <v>-692284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314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315</v>
      </c>
      <c r="C31" s="51">
        <v>31533927</v>
      </c>
      <c r="D31" s="51">
        <v>33744284</v>
      </c>
      <c r="E31" s="51">
        <v>24688727</v>
      </c>
      <c r="F31" s="13"/>
    </row>
    <row r="32" spans="1:6" ht="24" customHeight="1" x14ac:dyDescent="0.25">
      <c r="A32" s="25">
        <v>2</v>
      </c>
      <c r="B32" s="48" t="s">
        <v>316</v>
      </c>
      <c r="C32" s="51">
        <v>36462215</v>
      </c>
      <c r="D32" s="51">
        <v>38664631</v>
      </c>
      <c r="E32" s="51">
        <v>29017364</v>
      </c>
      <c r="F32" s="13"/>
    </row>
    <row r="33" spans="1:6" ht="24" customHeight="1" x14ac:dyDescent="0.2">
      <c r="A33" s="25">
        <v>3</v>
      </c>
      <c r="B33" s="48" t="s">
        <v>317</v>
      </c>
      <c r="C33" s="51">
        <v>-5299853</v>
      </c>
      <c r="D33" s="51">
        <f>+D32-C32</f>
        <v>2202416</v>
      </c>
      <c r="E33" s="51">
        <f>+E32-D32</f>
        <v>-9647267</v>
      </c>
      <c r="F33" s="5"/>
    </row>
    <row r="34" spans="1:6" ht="24" customHeight="1" x14ac:dyDescent="0.2">
      <c r="A34" s="25">
        <v>4</v>
      </c>
      <c r="B34" s="48" t="s">
        <v>318</v>
      </c>
      <c r="C34" s="171">
        <v>0.873</v>
      </c>
      <c r="D34" s="171">
        <f>IF(C32=0,0,+D33/C32)</f>
        <v>6.0402693582932356E-2</v>
      </c>
      <c r="E34" s="171">
        <f>IF(D32=0,0,+E33/D32)</f>
        <v>-0.2495114203986584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319</v>
      </c>
      <c r="B36" s="41" t="s">
        <v>320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321</v>
      </c>
      <c r="C38" s="172">
        <f>IF((C40+C41)=0,0,+C39/(C40+C41))</f>
        <v>0.45379438106799636</v>
      </c>
      <c r="D38" s="172">
        <f>IF((D40+D41)=0,0,+D39/(D40+D41))</f>
        <v>0.43230833208984387</v>
      </c>
      <c r="E38" s="172">
        <f>IF((E40+E41)=0,0,+E39/(E40+E41))</f>
        <v>0.44494748811402574</v>
      </c>
      <c r="F38" s="5"/>
    </row>
    <row r="39" spans="1:6" ht="24" customHeight="1" x14ac:dyDescent="0.2">
      <c r="A39" s="21">
        <v>2</v>
      </c>
      <c r="B39" s="48" t="s">
        <v>322</v>
      </c>
      <c r="C39" s="51">
        <v>66239259</v>
      </c>
      <c r="D39" s="51">
        <v>65883977</v>
      </c>
      <c r="E39" s="23">
        <v>68017199</v>
      </c>
      <c r="F39" s="5"/>
    </row>
    <row r="40" spans="1:6" ht="24" customHeight="1" x14ac:dyDescent="0.2">
      <c r="A40" s="21">
        <v>3</v>
      </c>
      <c r="B40" s="48" t="s">
        <v>323</v>
      </c>
      <c r="C40" s="51">
        <v>140926612</v>
      </c>
      <c r="D40" s="51">
        <v>147134140</v>
      </c>
      <c r="E40" s="23">
        <v>148072622</v>
      </c>
      <c r="F40" s="5"/>
    </row>
    <row r="41" spans="1:6" ht="24" customHeight="1" x14ac:dyDescent="0.2">
      <c r="A41" s="21">
        <v>4</v>
      </c>
      <c r="B41" s="48" t="s">
        <v>324</v>
      </c>
      <c r="C41" s="51">
        <v>5040949</v>
      </c>
      <c r="D41" s="51">
        <v>5266293</v>
      </c>
      <c r="E41" s="23">
        <v>4793055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325</v>
      </c>
      <c r="C43" s="173">
        <f>IF(C38=0,0,IF((C46-C47)=0,0,((+C44-C45)/(C46-C47)/C38)))</f>
        <v>1.2070914056827278</v>
      </c>
      <c r="D43" s="173">
        <f>IF(D38=0,0,IF((D46-D47)=0,0,((+D44-D45)/(D46-D47)/D38)))</f>
        <v>1.222653111706113</v>
      </c>
      <c r="E43" s="173">
        <f>IF(E38=0,0,IF((E46-E47)=0,0,((+E44-E45)/(E46-E47)/E38)))</f>
        <v>1.309363060306981</v>
      </c>
      <c r="F43" s="5"/>
    </row>
    <row r="44" spans="1:6" ht="24" customHeight="1" x14ac:dyDescent="0.2">
      <c r="A44" s="21">
        <v>6</v>
      </c>
      <c r="B44" s="48" t="s">
        <v>326</v>
      </c>
      <c r="C44" s="51">
        <v>31668801</v>
      </c>
      <c r="D44" s="51">
        <v>30009695</v>
      </c>
      <c r="E44" s="23">
        <v>31151713</v>
      </c>
      <c r="F44" s="5"/>
    </row>
    <row r="45" spans="1:6" ht="24" customHeight="1" x14ac:dyDescent="0.2">
      <c r="A45" s="21">
        <v>7</v>
      </c>
      <c r="B45" s="48" t="s">
        <v>327</v>
      </c>
      <c r="C45" s="51">
        <v>1520807</v>
      </c>
      <c r="D45" s="51">
        <v>925381</v>
      </c>
      <c r="E45" s="23">
        <v>188102</v>
      </c>
      <c r="F45" s="5"/>
    </row>
    <row r="46" spans="1:6" ht="24" customHeight="1" x14ac:dyDescent="0.2">
      <c r="A46" s="21">
        <v>8</v>
      </c>
      <c r="B46" s="48" t="s">
        <v>328</v>
      </c>
      <c r="C46" s="51">
        <v>60439596</v>
      </c>
      <c r="D46" s="51">
        <v>60244853</v>
      </c>
      <c r="E46" s="23">
        <v>57080304</v>
      </c>
      <c r="F46" s="5"/>
    </row>
    <row r="47" spans="1:6" ht="24" customHeight="1" x14ac:dyDescent="0.2">
      <c r="A47" s="21">
        <v>9</v>
      </c>
      <c r="B47" s="48" t="s">
        <v>329</v>
      </c>
      <c r="C47" s="51">
        <v>5402039</v>
      </c>
      <c r="D47" s="51">
        <v>5219611</v>
      </c>
      <c r="E47" s="174">
        <v>3932814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330</v>
      </c>
      <c r="C49" s="175">
        <f>IF(C38=0,0,IF(C51=0,0,(C50/C51)/C38))</f>
        <v>0.84375471116999456</v>
      </c>
      <c r="D49" s="175">
        <f>IF(D38=0,0,IF(D51=0,0,(D50/D51)/D38))</f>
        <v>0.8630390099285502</v>
      </c>
      <c r="E49" s="175">
        <f>IF(E38=0,0,IF(E51=0,0,(E50/E51)/E38))</f>
        <v>0.76174930624302095</v>
      </c>
      <c r="F49" s="7"/>
    </row>
    <row r="50" spans="1:6" ht="24" customHeight="1" x14ac:dyDescent="0.25">
      <c r="A50" s="21">
        <v>11</v>
      </c>
      <c r="B50" s="48" t="s">
        <v>331</v>
      </c>
      <c r="C50" s="176">
        <v>23386057</v>
      </c>
      <c r="D50" s="176">
        <v>23252360</v>
      </c>
      <c r="E50" s="176">
        <v>22836214</v>
      </c>
      <c r="F50" s="11"/>
    </row>
    <row r="51" spans="1:6" ht="24" customHeight="1" x14ac:dyDescent="0.25">
      <c r="A51" s="21">
        <v>12</v>
      </c>
      <c r="B51" s="48" t="s">
        <v>332</v>
      </c>
      <c r="C51" s="176">
        <v>61077560</v>
      </c>
      <c r="D51" s="176">
        <v>62322233</v>
      </c>
      <c r="E51" s="176">
        <v>67375698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333</v>
      </c>
      <c r="C53" s="175">
        <f>IF(C38=0,0,IF(C55=0,0,(C54/C55)/C38))</f>
        <v>0.74338396456496247</v>
      </c>
      <c r="D53" s="175">
        <f>IF(D38=0,0,IF(D55=0,0,(D54/D55)/D38))</f>
        <v>0.700596429288182</v>
      </c>
      <c r="E53" s="175">
        <f>IF(E38=0,0,IF(E55=0,0,(E54/E55)/E38))</f>
        <v>0.55656466994602161</v>
      </c>
      <c r="F53" s="13"/>
    </row>
    <row r="54" spans="1:6" ht="24" customHeight="1" x14ac:dyDescent="0.25">
      <c r="A54" s="21">
        <v>14</v>
      </c>
      <c r="B54" s="48" t="s">
        <v>334</v>
      </c>
      <c r="C54" s="176">
        <v>5044590</v>
      </c>
      <c r="D54" s="176">
        <v>5933583</v>
      </c>
      <c r="E54" s="176">
        <v>5725063</v>
      </c>
      <c r="F54" s="13"/>
    </row>
    <row r="55" spans="1:6" ht="24" customHeight="1" x14ac:dyDescent="0.25">
      <c r="A55" s="21">
        <v>15</v>
      </c>
      <c r="B55" s="48" t="s">
        <v>335</v>
      </c>
      <c r="C55" s="176">
        <v>14953869</v>
      </c>
      <c r="D55" s="176">
        <v>19590950</v>
      </c>
      <c r="E55" s="176">
        <v>23118299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336</v>
      </c>
      <c r="C57" s="53">
        <f>+C60*C38</f>
        <v>2009229.531298663</v>
      </c>
      <c r="D57" s="53">
        <f>+D60*D38</f>
        <v>1890941.7184442384</v>
      </c>
      <c r="E57" s="53">
        <f>+E60*E38</f>
        <v>1667217.7930157664</v>
      </c>
      <c r="F57" s="13"/>
    </row>
    <row r="58" spans="1:6" ht="24" customHeight="1" x14ac:dyDescent="0.25">
      <c r="A58" s="21">
        <v>17</v>
      </c>
      <c r="B58" s="48" t="s">
        <v>337</v>
      </c>
      <c r="C58" s="51">
        <v>550997</v>
      </c>
      <c r="D58" s="51">
        <v>772244</v>
      </c>
      <c r="E58" s="52">
        <v>821721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3876624</v>
      </c>
      <c r="D59" s="51">
        <v>3601814</v>
      </c>
      <c r="E59" s="52">
        <v>2925278</v>
      </c>
      <c r="F59" s="28"/>
    </row>
    <row r="60" spans="1:6" ht="24" customHeight="1" x14ac:dyDescent="0.25">
      <c r="A60" s="21">
        <v>19</v>
      </c>
      <c r="B60" s="48" t="s">
        <v>338</v>
      </c>
      <c r="C60" s="51">
        <v>4427621</v>
      </c>
      <c r="D60" s="51">
        <v>4374058</v>
      </c>
      <c r="E60" s="52">
        <v>3746999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339</v>
      </c>
      <c r="C62" s="178">
        <f>IF(C63=0,0,+C57/C63)</f>
        <v>3.0332910748573787E-2</v>
      </c>
      <c r="D62" s="178">
        <f>IF(D63=0,0,+D57/D63)</f>
        <v>2.8701086433264925E-2</v>
      </c>
      <c r="E62" s="178">
        <f>IF(E63=0,0,+E57/E63)</f>
        <v>2.4511709060759272E-2</v>
      </c>
      <c r="F62" s="13"/>
    </row>
    <row r="63" spans="1:6" ht="24" customHeight="1" x14ac:dyDescent="0.25">
      <c r="A63" s="21">
        <v>21</v>
      </c>
      <c r="B63" s="45" t="s">
        <v>322</v>
      </c>
      <c r="C63" s="176">
        <v>66239259</v>
      </c>
      <c r="D63" s="176">
        <v>65883977</v>
      </c>
      <c r="E63" s="176">
        <v>68017199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340</v>
      </c>
      <c r="B65" s="41" t="s">
        <v>341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342</v>
      </c>
      <c r="C67" s="179">
        <f>IF(C69=0,0,C68/C69)</f>
        <v>1.8410666577749171</v>
      </c>
      <c r="D67" s="179">
        <f>IF(D69=0,0,D68/D69)</f>
        <v>1.7338999562320223</v>
      </c>
      <c r="E67" s="179">
        <f>IF(E69=0,0,E68/E69)</f>
        <v>1.4533583468070208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29484399</v>
      </c>
      <c r="D68" s="180">
        <v>32952356</v>
      </c>
      <c r="E68" s="180">
        <v>19531911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16014846</v>
      </c>
      <c r="D69" s="180">
        <v>19004762</v>
      </c>
      <c r="E69" s="180">
        <v>13439157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343</v>
      </c>
      <c r="C71" s="181">
        <f>IF((C77/365)=0,0,+C74/(C77/365))</f>
        <v>35.051501401597498</v>
      </c>
      <c r="D71" s="181">
        <f>IF((D77/365)=0,0,+D74/(D77/365))</f>
        <v>34.332302144753115</v>
      </c>
      <c r="E71" s="181">
        <f>IF((E77/365)=0,0,+E74/(E77/365))</f>
        <v>26.884813811667627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5978582</v>
      </c>
      <c r="D72" s="182">
        <v>5837411</v>
      </c>
      <c r="E72" s="182">
        <v>4739454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344</v>
      </c>
      <c r="C74" s="180">
        <f>+C72+C73</f>
        <v>5978582</v>
      </c>
      <c r="D74" s="180">
        <f>+D72+D73</f>
        <v>5837411</v>
      </c>
      <c r="E74" s="180">
        <f>+E72+E73</f>
        <v>4739454</v>
      </c>
      <c r="F74" s="28"/>
    </row>
    <row r="75" spans="1:6" ht="24" customHeight="1" x14ac:dyDescent="0.25">
      <c r="A75" s="21">
        <v>8</v>
      </c>
      <c r="B75" s="48" t="s">
        <v>322</v>
      </c>
      <c r="C75" s="180">
        <f>+C14</f>
        <v>66239259</v>
      </c>
      <c r="D75" s="180">
        <f>+D14</f>
        <v>65883977</v>
      </c>
      <c r="E75" s="180">
        <f>+E14</f>
        <v>68017199</v>
      </c>
      <c r="F75" s="28"/>
    </row>
    <row r="76" spans="1:6" ht="24" customHeight="1" x14ac:dyDescent="0.25">
      <c r="A76" s="21">
        <v>9</v>
      </c>
      <c r="B76" s="45" t="s">
        <v>345</v>
      </c>
      <c r="C76" s="180">
        <v>3982798</v>
      </c>
      <c r="D76" s="180">
        <v>3824200</v>
      </c>
      <c r="E76" s="180">
        <v>3672297</v>
      </c>
      <c r="F76" s="28"/>
    </row>
    <row r="77" spans="1:6" ht="24" customHeight="1" x14ac:dyDescent="0.25">
      <c r="A77" s="21">
        <v>10</v>
      </c>
      <c r="B77" s="45" t="s">
        <v>346</v>
      </c>
      <c r="C77" s="180">
        <f>+C75-C76</f>
        <v>62256461</v>
      </c>
      <c r="D77" s="180">
        <f>+D75-D76</f>
        <v>62059777</v>
      </c>
      <c r="E77" s="180">
        <f>+E75-E76</f>
        <v>64344902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347</v>
      </c>
      <c r="C79" s="179">
        <f>IF((C84/365)=0,0,+C83/(C84/365))</f>
        <v>56.038484344039816</v>
      </c>
      <c r="D79" s="179">
        <f>IF((D84/365)=0,0,+D83/(D84/365))</f>
        <v>56.216316783136946</v>
      </c>
      <c r="E79" s="179">
        <f>IF((E84/365)=0,0,+E83/(E84/365))</f>
        <v>55.062130370468346</v>
      </c>
      <c r="F79" s="28"/>
    </row>
    <row r="80" spans="1:6" ht="24" customHeight="1" x14ac:dyDescent="0.25">
      <c r="A80" s="21">
        <v>12</v>
      </c>
      <c r="B80" s="188" t="s">
        <v>348</v>
      </c>
      <c r="C80" s="189">
        <v>9336815</v>
      </c>
      <c r="D80" s="189">
        <v>9664890</v>
      </c>
      <c r="E80" s="189">
        <v>10246785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976533</v>
      </c>
      <c r="D81" s="190">
        <v>361514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343065</v>
      </c>
      <c r="D82" s="190">
        <v>142494</v>
      </c>
      <c r="E82" s="190">
        <v>684512</v>
      </c>
      <c r="F82" s="28"/>
    </row>
    <row r="83" spans="1:6" ht="33.950000000000003" customHeight="1" x14ac:dyDescent="0.25">
      <c r="A83" s="21">
        <v>15</v>
      </c>
      <c r="B83" s="45" t="s">
        <v>349</v>
      </c>
      <c r="C83" s="191">
        <f>+C80+C81-C82</f>
        <v>9970283</v>
      </c>
      <c r="D83" s="191">
        <f>+D80+D81-D82</f>
        <v>9883910</v>
      </c>
      <c r="E83" s="191">
        <f>+E80+E81-E82</f>
        <v>9562273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64940252</v>
      </c>
      <c r="D84" s="191">
        <f>+D11</f>
        <v>64174022</v>
      </c>
      <c r="E84" s="191">
        <f>+E11</f>
        <v>63387116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350</v>
      </c>
      <c r="C86" s="179">
        <f>IF((C90/365)=0,0,+C87/(C90/365))</f>
        <v>93.892564660879145</v>
      </c>
      <c r="D86" s="179">
        <f>IF((D90/365)=0,0,+D87/(D90/365))</f>
        <v>111.77510563726325</v>
      </c>
      <c r="E86" s="179">
        <f>IF((E90/365)=0,0,+E87/(E90/365))</f>
        <v>76.234358162516116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16014846</v>
      </c>
      <c r="D87" s="51">
        <f>+D69</f>
        <v>19004762</v>
      </c>
      <c r="E87" s="51">
        <f>+E69</f>
        <v>13439157</v>
      </c>
      <c r="F87" s="28"/>
    </row>
    <row r="88" spans="1:6" ht="24" customHeight="1" x14ac:dyDescent="0.25">
      <c r="A88" s="21">
        <v>19</v>
      </c>
      <c r="B88" s="48" t="s">
        <v>322</v>
      </c>
      <c r="C88" s="51">
        <f t="shared" ref="C88:E89" si="0">+C75</f>
        <v>66239259</v>
      </c>
      <c r="D88" s="51">
        <f t="shared" si="0"/>
        <v>65883977</v>
      </c>
      <c r="E88" s="51">
        <f t="shared" si="0"/>
        <v>68017199</v>
      </c>
      <c r="F88" s="28"/>
    </row>
    <row r="89" spans="1:6" ht="24" customHeight="1" x14ac:dyDescent="0.25">
      <c r="A89" s="21">
        <v>20</v>
      </c>
      <c r="B89" s="48" t="s">
        <v>345</v>
      </c>
      <c r="C89" s="52">
        <f t="shared" si="0"/>
        <v>3982798</v>
      </c>
      <c r="D89" s="52">
        <f t="shared" si="0"/>
        <v>3824200</v>
      </c>
      <c r="E89" s="52">
        <f t="shared" si="0"/>
        <v>3672297</v>
      </c>
      <c r="F89" s="28"/>
    </row>
    <row r="90" spans="1:6" ht="24" customHeight="1" x14ac:dyDescent="0.25">
      <c r="A90" s="21">
        <v>21</v>
      </c>
      <c r="B90" s="48" t="s">
        <v>351</v>
      </c>
      <c r="C90" s="51">
        <f>+C88-C89</f>
        <v>62256461</v>
      </c>
      <c r="D90" s="51">
        <f>+D88-D89</f>
        <v>62059777</v>
      </c>
      <c r="E90" s="51">
        <f>+E88-E89</f>
        <v>64344902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352</v>
      </c>
      <c r="B92" s="41" t="s">
        <v>353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354</v>
      </c>
      <c r="C94" s="192">
        <f>IF(C96=0,0,(C95/C96)*100)</f>
        <v>40.111987493916871</v>
      </c>
      <c r="D94" s="192">
        <f>IF(D96=0,0,(D95/D96)*100)</f>
        <v>40.919856027618465</v>
      </c>
      <c r="E94" s="192">
        <f>IF(E96=0,0,(E95/E96)*100)</f>
        <v>35.218011588360945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36462215</v>
      </c>
      <c r="D95" s="51">
        <f>+D32</f>
        <v>38664631</v>
      </c>
      <c r="E95" s="51">
        <f>+E32</f>
        <v>29017364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90901043</v>
      </c>
      <c r="D96" s="51">
        <v>94488678</v>
      </c>
      <c r="E96" s="51">
        <v>82393533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355</v>
      </c>
      <c r="C98" s="192">
        <f>IF(C104=0,0,(C101/C104)*100)</f>
        <v>12.948545966241396</v>
      </c>
      <c r="D98" s="192">
        <f>IF(D104=0,0,(D101/D104)*100)</f>
        <v>16.111514011311929</v>
      </c>
      <c r="E98" s="192">
        <f>IF(E104=0,0,(E101/E104)*100)</f>
        <v>7.5828325420164697</v>
      </c>
      <c r="F98" s="28"/>
    </row>
    <row r="99" spans="1:6" ht="24" customHeight="1" x14ac:dyDescent="0.25">
      <c r="A99" s="21">
        <v>5</v>
      </c>
      <c r="B99" s="48" t="s">
        <v>356</v>
      </c>
      <c r="C99" s="51">
        <f>+C28</f>
        <v>1361145</v>
      </c>
      <c r="D99" s="51">
        <f>+D28</f>
        <v>3087872</v>
      </c>
      <c r="E99" s="51">
        <f>+E28</f>
        <v>-692284</v>
      </c>
      <c r="F99" s="28"/>
    </row>
    <row r="100" spans="1:6" ht="24" customHeight="1" x14ac:dyDescent="0.25">
      <c r="A100" s="21">
        <v>6</v>
      </c>
      <c r="B100" s="48" t="s">
        <v>345</v>
      </c>
      <c r="C100" s="52">
        <f>+C76</f>
        <v>3982798</v>
      </c>
      <c r="D100" s="52">
        <f>+D76</f>
        <v>3824200</v>
      </c>
      <c r="E100" s="52">
        <f>+E76</f>
        <v>3672297</v>
      </c>
      <c r="F100" s="28"/>
    </row>
    <row r="101" spans="1:6" ht="24" customHeight="1" x14ac:dyDescent="0.25">
      <c r="A101" s="21">
        <v>7</v>
      </c>
      <c r="B101" s="48" t="s">
        <v>357</v>
      </c>
      <c r="C101" s="51">
        <f>+C99+C100</f>
        <v>5343943</v>
      </c>
      <c r="D101" s="51">
        <f>+D99+D100</f>
        <v>6912072</v>
      </c>
      <c r="E101" s="51">
        <f>+E99+E100</f>
        <v>2980013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16014846</v>
      </c>
      <c r="D102" s="180">
        <f>+D69</f>
        <v>19004762</v>
      </c>
      <c r="E102" s="180">
        <f>+E69</f>
        <v>13439157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25255757</v>
      </c>
      <c r="D103" s="194">
        <v>23896681</v>
      </c>
      <c r="E103" s="194">
        <v>25860313</v>
      </c>
      <c r="F103" s="28"/>
    </row>
    <row r="104" spans="1:6" ht="24" customHeight="1" x14ac:dyDescent="0.25">
      <c r="A104" s="21">
        <v>10</v>
      </c>
      <c r="B104" s="195" t="s">
        <v>358</v>
      </c>
      <c r="C104" s="180">
        <f>+C102+C103</f>
        <v>41270603</v>
      </c>
      <c r="D104" s="180">
        <f>+D102+D103</f>
        <v>42901443</v>
      </c>
      <c r="E104" s="180">
        <f>+E102+E103</f>
        <v>39299470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359</v>
      </c>
      <c r="C106" s="197">
        <f>IF(C109=0,0,(C107/C109)*100)</f>
        <v>40.921236038021469</v>
      </c>
      <c r="D106" s="197">
        <f>IF(D109=0,0,(D107/D109)*100)</f>
        <v>38.197218434293703</v>
      </c>
      <c r="E106" s="197">
        <f>IF(E109=0,0,(E107/E109)*100)</f>
        <v>47.123556268608091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25255757</v>
      </c>
      <c r="D107" s="180">
        <f>+D103</f>
        <v>23896681</v>
      </c>
      <c r="E107" s="180">
        <f>+E103</f>
        <v>25860313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36462215</v>
      </c>
      <c r="D108" s="180">
        <f>+D32</f>
        <v>38664631</v>
      </c>
      <c r="E108" s="180">
        <f>+E32</f>
        <v>29017364</v>
      </c>
      <c r="F108" s="28"/>
    </row>
    <row r="109" spans="1:6" ht="24" customHeight="1" x14ac:dyDescent="0.25">
      <c r="A109" s="17">
        <v>14</v>
      </c>
      <c r="B109" s="48" t="s">
        <v>360</v>
      </c>
      <c r="C109" s="180">
        <f>+C107+C108</f>
        <v>61717972</v>
      </c>
      <c r="D109" s="180">
        <f>+D107+D108</f>
        <v>62561312</v>
      </c>
      <c r="E109" s="180">
        <f>+E107+E108</f>
        <v>54877677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361</v>
      </c>
      <c r="C111" s="197">
        <f>IF((+C113+C115)=0,0,((+C112+C113+C114)/(+C113+C115)))</f>
        <v>1.0177448050137927</v>
      </c>
      <c r="D111" s="197">
        <f>IF((+D113+D115)=0,0,((+D112+D113+D114)/(+D113+D115)))</f>
        <v>2.9501922018366304</v>
      </c>
      <c r="E111" s="197">
        <f>IF((+E113+E115)=0,0,((+E112+E113+E114)/(+E113+E115)))</f>
        <v>0.22706536867079105</v>
      </c>
    </row>
    <row r="112" spans="1:6" ht="24" customHeight="1" x14ac:dyDescent="0.25">
      <c r="A112" s="17">
        <v>16</v>
      </c>
      <c r="B112" s="48" t="s">
        <v>362</v>
      </c>
      <c r="C112" s="180">
        <f>+C17</f>
        <v>1361145</v>
      </c>
      <c r="D112" s="180">
        <f>+D17</f>
        <v>3087872</v>
      </c>
      <c r="E112" s="180">
        <f>+E17</f>
        <v>-692284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1275285</v>
      </c>
      <c r="D113" s="180">
        <v>1507868</v>
      </c>
      <c r="E113" s="180">
        <v>1115177</v>
      </c>
      <c r="F113" s="28"/>
    </row>
    <row r="114" spans="1:8" ht="24" customHeight="1" x14ac:dyDescent="0.25">
      <c r="A114" s="17">
        <v>18</v>
      </c>
      <c r="B114" s="48" t="s">
        <v>363</v>
      </c>
      <c r="C114" s="180">
        <v>3982798</v>
      </c>
      <c r="D114" s="180">
        <v>3824200</v>
      </c>
      <c r="E114" s="180">
        <v>3672297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5228534</v>
      </c>
      <c r="D115" s="180">
        <v>1346163</v>
      </c>
      <c r="E115" s="180">
        <v>16920114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364</v>
      </c>
      <c r="B117" s="30" t="s">
        <v>365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366</v>
      </c>
      <c r="C119" s="197">
        <f>IF(+C121=0,0,(+C120)/(+C121))</f>
        <v>12.930504635183608</v>
      </c>
      <c r="D119" s="197">
        <f>IF(+D121=0,0,(+D120)/(+D121))</f>
        <v>14.406702839809633</v>
      </c>
      <c r="E119" s="197">
        <f>IF(+E121=0,0,(+E120)/(+E121))</f>
        <v>16.185260614814108</v>
      </c>
    </row>
    <row r="120" spans="1:8" ht="24" customHeight="1" x14ac:dyDescent="0.25">
      <c r="A120" s="17">
        <v>21</v>
      </c>
      <c r="B120" s="48" t="s">
        <v>367</v>
      </c>
      <c r="C120" s="180">
        <v>51499588</v>
      </c>
      <c r="D120" s="180">
        <v>55094113</v>
      </c>
      <c r="E120" s="180">
        <v>59437084</v>
      </c>
      <c r="F120" s="28"/>
    </row>
    <row r="121" spans="1:8" ht="24" customHeight="1" x14ac:dyDescent="0.25">
      <c r="A121" s="17">
        <v>22</v>
      </c>
      <c r="B121" s="48" t="s">
        <v>363</v>
      </c>
      <c r="C121" s="180">
        <v>3982798</v>
      </c>
      <c r="D121" s="180">
        <v>3824200</v>
      </c>
      <c r="E121" s="180">
        <v>3672297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368</v>
      </c>
      <c r="B123" s="30" t="s">
        <v>369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370</v>
      </c>
      <c r="C124" s="198">
        <v>15355</v>
      </c>
      <c r="D124" s="198">
        <v>14180</v>
      </c>
      <c r="E124" s="198">
        <v>12370</v>
      </c>
    </row>
    <row r="125" spans="1:8" ht="24" customHeight="1" x14ac:dyDescent="0.2">
      <c r="A125" s="44">
        <v>2</v>
      </c>
      <c r="B125" s="48" t="s">
        <v>371</v>
      </c>
      <c r="C125" s="198">
        <v>3510</v>
      </c>
      <c r="D125" s="198">
        <v>3386</v>
      </c>
      <c r="E125" s="198">
        <v>2515</v>
      </c>
    </row>
    <row r="126" spans="1:8" ht="24" customHeight="1" x14ac:dyDescent="0.2">
      <c r="A126" s="44">
        <v>3</v>
      </c>
      <c r="B126" s="48" t="s">
        <v>372</v>
      </c>
      <c r="C126" s="199">
        <f>IF(C125=0,0,C124/C125)</f>
        <v>4.3746438746438745</v>
      </c>
      <c r="D126" s="199">
        <f>IF(D125=0,0,D124/D125)</f>
        <v>4.1878322504430008</v>
      </c>
      <c r="E126" s="199">
        <f>IF(E125=0,0,E124/E125)</f>
        <v>4.9184890656063622</v>
      </c>
    </row>
    <row r="127" spans="1:8" ht="24" customHeight="1" x14ac:dyDescent="0.2">
      <c r="A127" s="44">
        <v>4</v>
      </c>
      <c r="B127" s="48" t="s">
        <v>373</v>
      </c>
      <c r="C127" s="198">
        <v>66</v>
      </c>
      <c r="D127" s="198">
        <v>66</v>
      </c>
      <c r="E127" s="198">
        <v>66</v>
      </c>
    </row>
    <row r="128" spans="1:8" ht="24" customHeight="1" x14ac:dyDescent="0.2">
      <c r="A128" s="44">
        <v>5</v>
      </c>
      <c r="B128" s="48" t="s">
        <v>374</v>
      </c>
      <c r="C128" s="198">
        <v>0</v>
      </c>
      <c r="D128" s="198">
        <v>118</v>
      </c>
      <c r="E128" s="198">
        <v>118</v>
      </c>
      <c r="G128" s="6"/>
      <c r="H128" s="12"/>
    </row>
    <row r="129" spans="1:8" ht="24" customHeight="1" x14ac:dyDescent="0.2">
      <c r="A129" s="44">
        <v>6</v>
      </c>
      <c r="B129" s="48" t="s">
        <v>375</v>
      </c>
      <c r="C129" s="198">
        <v>118</v>
      </c>
      <c r="D129" s="198">
        <v>118</v>
      </c>
      <c r="E129" s="198">
        <v>118</v>
      </c>
      <c r="G129" s="6"/>
      <c r="H129" s="12"/>
    </row>
    <row r="130" spans="1:8" ht="24" customHeight="1" x14ac:dyDescent="0.2">
      <c r="A130" s="44">
        <v>6</v>
      </c>
      <c r="B130" s="48" t="s">
        <v>376</v>
      </c>
      <c r="C130" s="171">
        <v>0.63739999999999997</v>
      </c>
      <c r="D130" s="171">
        <v>0.58860000000000001</v>
      </c>
      <c r="E130" s="171">
        <v>0.51339999999999997</v>
      </c>
    </row>
    <row r="131" spans="1:8" ht="24" customHeight="1" x14ac:dyDescent="0.2">
      <c r="A131" s="44">
        <v>7</v>
      </c>
      <c r="B131" s="48" t="s">
        <v>377</v>
      </c>
      <c r="C131" s="171">
        <v>0.35649999999999998</v>
      </c>
      <c r="D131" s="171">
        <v>0.32919999999999999</v>
      </c>
      <c r="E131" s="171">
        <v>0.28720000000000001</v>
      </c>
    </row>
    <row r="132" spans="1:8" ht="24" customHeight="1" x14ac:dyDescent="0.2">
      <c r="A132" s="44">
        <v>8</v>
      </c>
      <c r="B132" s="48" t="s">
        <v>378</v>
      </c>
      <c r="C132" s="199">
        <v>444</v>
      </c>
      <c r="D132" s="199">
        <v>422.7</v>
      </c>
      <c r="E132" s="199">
        <v>405.1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379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380</v>
      </c>
      <c r="C135" s="203">
        <f>IF(C149=0,0,C143/C149)</f>
        <v>0.39054055312136504</v>
      </c>
      <c r="D135" s="203">
        <f>IF(D149=0,0,D143/D149)</f>
        <v>0.37398011093822275</v>
      </c>
      <c r="E135" s="203">
        <f>IF(E149=0,0,E143/E149)</f>
        <v>0.35892853980798695</v>
      </c>
      <c r="G135" s="6"/>
    </row>
    <row r="136" spans="1:8" ht="20.100000000000001" customHeight="1" x14ac:dyDescent="0.2">
      <c r="A136" s="202">
        <v>2</v>
      </c>
      <c r="B136" s="195" t="s">
        <v>381</v>
      </c>
      <c r="C136" s="203">
        <f>IF(C149=0,0,C144/C149)</f>
        <v>0.43339976128852087</v>
      </c>
      <c r="D136" s="203">
        <f>IF(D149=0,0,D144/D149)</f>
        <v>0.42357425000071364</v>
      </c>
      <c r="E136" s="203">
        <f>IF(E149=0,0,E144/E149)</f>
        <v>0.45501793032340576</v>
      </c>
    </row>
    <row r="137" spans="1:8" ht="20.100000000000001" customHeight="1" x14ac:dyDescent="0.2">
      <c r="A137" s="202">
        <v>3</v>
      </c>
      <c r="B137" s="195" t="s">
        <v>382</v>
      </c>
      <c r="C137" s="203">
        <f>IF(C149=0,0,C145/C149)</f>
        <v>0.10611103742421622</v>
      </c>
      <c r="D137" s="203">
        <f>IF(D149=0,0,D145/D149)</f>
        <v>0.13315026682454528</v>
      </c>
      <c r="E137" s="203">
        <f>IF(E149=0,0,E145/E149)</f>
        <v>0.1561281125959936</v>
      </c>
      <c r="G137" s="6"/>
    </row>
    <row r="138" spans="1:8" ht="20.100000000000001" customHeight="1" x14ac:dyDescent="0.2">
      <c r="A138" s="202">
        <v>4</v>
      </c>
      <c r="B138" s="195" t="s">
        <v>383</v>
      </c>
      <c r="C138" s="203">
        <f>IF(C149=0,0,C146/C149)</f>
        <v>2.9338972542673487E-2</v>
      </c>
      <c r="D138" s="203">
        <f>IF(D149=0,0,D146/D149)</f>
        <v>2.9260081990488407E-2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384</v>
      </c>
      <c r="C139" s="203">
        <f>IF(C149=0,0,C147/C149)</f>
        <v>3.8332284607821267E-2</v>
      </c>
      <c r="D139" s="203">
        <f>IF(D149=0,0,D147/D149)</f>
        <v>3.547518611248212E-2</v>
      </c>
      <c r="E139" s="203">
        <f>IF(E149=0,0,E147/E149)</f>
        <v>2.656003484560434E-2</v>
      </c>
    </row>
    <row r="140" spans="1:8" ht="20.100000000000001" customHeight="1" x14ac:dyDescent="0.2">
      <c r="A140" s="202">
        <v>6</v>
      </c>
      <c r="B140" s="195" t="s">
        <v>385</v>
      </c>
      <c r="C140" s="203">
        <f>IF(C149=0,0,C148/C149)</f>
        <v>2.277391015403109E-3</v>
      </c>
      <c r="D140" s="203">
        <f>IF(D149=0,0,D148/D149)</f>
        <v>4.5601041335477949E-3</v>
      </c>
      <c r="E140" s="203">
        <f>IF(E149=0,0,E148/E149)</f>
        <v>3.3653824270093629E-3</v>
      </c>
    </row>
    <row r="141" spans="1:8" ht="20.100000000000001" customHeight="1" x14ac:dyDescent="0.2">
      <c r="A141" s="202">
        <v>7</v>
      </c>
      <c r="B141" s="195" t="s">
        <v>386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387</v>
      </c>
      <c r="C143" s="204">
        <f>+C46-C147</f>
        <v>55037557</v>
      </c>
      <c r="D143" s="205">
        <f>+D46-D147</f>
        <v>55025242</v>
      </c>
      <c r="E143" s="205">
        <f>+E46-E147</f>
        <v>53147490</v>
      </c>
    </row>
    <row r="144" spans="1:8" ht="20.100000000000001" customHeight="1" x14ac:dyDescent="0.2">
      <c r="A144" s="202">
        <v>9</v>
      </c>
      <c r="B144" s="201" t="s">
        <v>388</v>
      </c>
      <c r="C144" s="206">
        <f>+C51</f>
        <v>61077560</v>
      </c>
      <c r="D144" s="205">
        <f>+D51</f>
        <v>62322233</v>
      </c>
      <c r="E144" s="205">
        <f>+E51</f>
        <v>67375698</v>
      </c>
    </row>
    <row r="145" spans="1:7" ht="20.100000000000001" customHeight="1" x14ac:dyDescent="0.2">
      <c r="A145" s="202">
        <v>10</v>
      </c>
      <c r="B145" s="201" t="s">
        <v>389</v>
      </c>
      <c r="C145" s="206">
        <f>+C55</f>
        <v>14953869</v>
      </c>
      <c r="D145" s="205">
        <f>+D55</f>
        <v>19590950</v>
      </c>
      <c r="E145" s="205">
        <f>+E55</f>
        <v>23118299</v>
      </c>
    </row>
    <row r="146" spans="1:7" ht="20.100000000000001" customHeight="1" x14ac:dyDescent="0.2">
      <c r="A146" s="202">
        <v>11</v>
      </c>
      <c r="B146" s="201" t="s">
        <v>390</v>
      </c>
      <c r="C146" s="204">
        <v>4134642</v>
      </c>
      <c r="D146" s="205">
        <v>4305157</v>
      </c>
      <c r="E146" s="205">
        <v>0</v>
      </c>
    </row>
    <row r="147" spans="1:7" ht="20.100000000000001" customHeight="1" x14ac:dyDescent="0.2">
      <c r="A147" s="202">
        <v>12</v>
      </c>
      <c r="B147" s="201" t="s">
        <v>391</v>
      </c>
      <c r="C147" s="206">
        <f>+C47</f>
        <v>5402039</v>
      </c>
      <c r="D147" s="205">
        <f>+D47</f>
        <v>5219611</v>
      </c>
      <c r="E147" s="205">
        <f>+E47</f>
        <v>3932814</v>
      </c>
    </row>
    <row r="148" spans="1:7" ht="20.100000000000001" customHeight="1" x14ac:dyDescent="0.2">
      <c r="A148" s="202">
        <v>13</v>
      </c>
      <c r="B148" s="201" t="s">
        <v>392</v>
      </c>
      <c r="C148" s="206">
        <v>320945</v>
      </c>
      <c r="D148" s="205">
        <v>670947</v>
      </c>
      <c r="E148" s="205">
        <v>498321</v>
      </c>
    </row>
    <row r="149" spans="1:7" ht="20.100000000000001" customHeight="1" x14ac:dyDescent="0.2">
      <c r="A149" s="202">
        <v>14</v>
      </c>
      <c r="B149" s="201" t="s">
        <v>393</v>
      </c>
      <c r="C149" s="204">
        <f>SUM(C143:C148)</f>
        <v>140926612</v>
      </c>
      <c r="D149" s="205">
        <f>SUM(D143:D148)</f>
        <v>147134140</v>
      </c>
      <c r="E149" s="205">
        <f>SUM(E143:E148)</f>
        <v>148072622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394</v>
      </c>
      <c r="B151" s="30" t="s">
        <v>395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396</v>
      </c>
      <c r="C152" s="203">
        <f>IF(C166=0,0,C160/C166)</f>
        <v>0.49606284183513277</v>
      </c>
      <c r="D152" s="203">
        <f>IF(D166=0,0,D160/D166)</f>
        <v>0.48277016786124599</v>
      </c>
      <c r="E152" s="203">
        <f>IF(E166=0,0,E160/E166)</f>
        <v>0.51580898435795097</v>
      </c>
    </row>
    <row r="153" spans="1:7" ht="20.100000000000001" customHeight="1" x14ac:dyDescent="0.2">
      <c r="A153" s="202">
        <v>2</v>
      </c>
      <c r="B153" s="195" t="s">
        <v>397</v>
      </c>
      <c r="C153" s="203">
        <f>IF(C166=0,0,C161/C166)</f>
        <v>0.38480019250164371</v>
      </c>
      <c r="D153" s="203">
        <f>IF(D166=0,0,D161/D166)</f>
        <v>0.3859656356471094</v>
      </c>
      <c r="E153" s="203">
        <f>IF(E166=0,0,E161/E166)</f>
        <v>0.38041830295312851</v>
      </c>
    </row>
    <row r="154" spans="1:7" ht="20.100000000000001" customHeight="1" x14ac:dyDescent="0.2">
      <c r="A154" s="202">
        <v>3</v>
      </c>
      <c r="B154" s="195" t="s">
        <v>398</v>
      </c>
      <c r="C154" s="203">
        <f>IF(C166=0,0,C162/C166)</f>
        <v>8.3004980407422546E-2</v>
      </c>
      <c r="D154" s="203">
        <f>IF(D166=0,0,D162/D166)</f>
        <v>9.8491470726407224E-2</v>
      </c>
      <c r="E154" s="203">
        <f>IF(E166=0,0,E162/E166)</f>
        <v>9.5371270857758941E-2</v>
      </c>
    </row>
    <row r="155" spans="1:7" ht="20.100000000000001" customHeight="1" x14ac:dyDescent="0.2">
      <c r="A155" s="202">
        <v>4</v>
      </c>
      <c r="B155" s="195" t="s">
        <v>399</v>
      </c>
      <c r="C155" s="203">
        <f>IF(C166=0,0,C163/C166)</f>
        <v>8.0859674377493501E-3</v>
      </c>
      <c r="D155" s="203">
        <f>IF(D166=0,0,D163/D166)</f>
        <v>1.1667328800282607E-2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400</v>
      </c>
      <c r="C156" s="203">
        <f>IF(C166=0,0,C164/C166)</f>
        <v>2.5023749251866068E-2</v>
      </c>
      <c r="D156" s="203">
        <f>IF(D166=0,0,D164/D166)</f>
        <v>1.5360387757662349E-2</v>
      </c>
      <c r="E156" s="203">
        <f>IF(E166=0,0,E164/E166)</f>
        <v>3.1335073152707967E-3</v>
      </c>
    </row>
    <row r="157" spans="1:7" ht="20.100000000000001" customHeight="1" x14ac:dyDescent="0.2">
      <c r="A157" s="202">
        <v>6</v>
      </c>
      <c r="B157" s="195" t="s">
        <v>401</v>
      </c>
      <c r="C157" s="203">
        <f>IF(C166=0,0,C165/C166)</f>
        <v>3.022268566185587E-3</v>
      </c>
      <c r="D157" s="203">
        <f>IF(D166=0,0,D165/D166)</f>
        <v>5.7450092072924399E-3</v>
      </c>
      <c r="E157" s="203">
        <f>IF(E166=0,0,E165/E166)</f>
        <v>5.2679345158907608E-3</v>
      </c>
    </row>
    <row r="158" spans="1:7" ht="20.100000000000001" customHeight="1" x14ac:dyDescent="0.2">
      <c r="A158" s="202">
        <v>7</v>
      </c>
      <c r="B158" s="195" t="s">
        <v>402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403</v>
      </c>
      <c r="C160" s="207">
        <f>+C44-C164</f>
        <v>30147994</v>
      </c>
      <c r="D160" s="208">
        <f>+D44-D164</f>
        <v>29084314</v>
      </c>
      <c r="E160" s="208">
        <f>+E44-E164</f>
        <v>30963611</v>
      </c>
    </row>
    <row r="161" spans="1:6" ht="20.100000000000001" customHeight="1" x14ac:dyDescent="0.2">
      <c r="A161" s="202">
        <v>9</v>
      </c>
      <c r="B161" s="201" t="s">
        <v>404</v>
      </c>
      <c r="C161" s="209">
        <f>+C50</f>
        <v>23386057</v>
      </c>
      <c r="D161" s="208">
        <f>+D50</f>
        <v>23252360</v>
      </c>
      <c r="E161" s="208">
        <f>+E50</f>
        <v>22836214</v>
      </c>
    </row>
    <row r="162" spans="1:6" ht="20.100000000000001" customHeight="1" x14ac:dyDescent="0.2">
      <c r="A162" s="202">
        <v>10</v>
      </c>
      <c r="B162" s="201" t="s">
        <v>405</v>
      </c>
      <c r="C162" s="209">
        <f>+C54</f>
        <v>5044590</v>
      </c>
      <c r="D162" s="208">
        <f>+D54</f>
        <v>5933583</v>
      </c>
      <c r="E162" s="208">
        <f>+E54</f>
        <v>5725063</v>
      </c>
    </row>
    <row r="163" spans="1:6" ht="20.100000000000001" customHeight="1" x14ac:dyDescent="0.2">
      <c r="A163" s="202">
        <v>11</v>
      </c>
      <c r="B163" s="201" t="s">
        <v>406</v>
      </c>
      <c r="C163" s="207">
        <v>491421</v>
      </c>
      <c r="D163" s="208">
        <v>702894</v>
      </c>
      <c r="E163" s="208">
        <v>0</v>
      </c>
    </row>
    <row r="164" spans="1:6" ht="20.100000000000001" customHeight="1" x14ac:dyDescent="0.2">
      <c r="A164" s="202">
        <v>12</v>
      </c>
      <c r="B164" s="201" t="s">
        <v>407</v>
      </c>
      <c r="C164" s="209">
        <f>+C45</f>
        <v>1520807</v>
      </c>
      <c r="D164" s="208">
        <f>+D45</f>
        <v>925381</v>
      </c>
      <c r="E164" s="208">
        <f>+E45</f>
        <v>188102</v>
      </c>
    </row>
    <row r="165" spans="1:6" ht="20.100000000000001" customHeight="1" x14ac:dyDescent="0.2">
      <c r="A165" s="202">
        <v>13</v>
      </c>
      <c r="B165" s="201" t="s">
        <v>408</v>
      </c>
      <c r="C165" s="209">
        <v>183677</v>
      </c>
      <c r="D165" s="208">
        <v>346106</v>
      </c>
      <c r="E165" s="208">
        <v>316230</v>
      </c>
    </row>
    <row r="166" spans="1:6" ht="20.100000000000001" customHeight="1" x14ac:dyDescent="0.2">
      <c r="A166" s="202">
        <v>14</v>
      </c>
      <c r="B166" s="201" t="s">
        <v>409</v>
      </c>
      <c r="C166" s="207">
        <f>SUM(C160:C165)</f>
        <v>60774546</v>
      </c>
      <c r="D166" s="208">
        <f>SUM(D160:D165)</f>
        <v>60244638</v>
      </c>
      <c r="E166" s="208">
        <f>SUM(E160:E165)</f>
        <v>60029220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410</v>
      </c>
      <c r="B168" s="30" t="s">
        <v>371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411</v>
      </c>
      <c r="C169" s="198">
        <v>1190</v>
      </c>
      <c r="D169" s="198">
        <v>1129</v>
      </c>
      <c r="E169" s="198">
        <v>663</v>
      </c>
    </row>
    <row r="170" spans="1:6" ht="20.100000000000001" customHeight="1" x14ac:dyDescent="0.2">
      <c r="A170" s="202">
        <v>2</v>
      </c>
      <c r="B170" s="201" t="s">
        <v>412</v>
      </c>
      <c r="C170" s="198">
        <v>1766</v>
      </c>
      <c r="D170" s="198">
        <v>1595</v>
      </c>
      <c r="E170" s="198">
        <v>1581</v>
      </c>
    </row>
    <row r="171" spans="1:6" ht="20.100000000000001" customHeight="1" x14ac:dyDescent="0.2">
      <c r="A171" s="202">
        <v>3</v>
      </c>
      <c r="B171" s="201" t="s">
        <v>413</v>
      </c>
      <c r="C171" s="198">
        <v>546</v>
      </c>
      <c r="D171" s="198">
        <v>645</v>
      </c>
      <c r="E171" s="198">
        <v>268</v>
      </c>
    </row>
    <row r="172" spans="1:6" ht="20.100000000000001" customHeight="1" x14ac:dyDescent="0.2">
      <c r="A172" s="202">
        <v>4</v>
      </c>
      <c r="B172" s="201" t="s">
        <v>414</v>
      </c>
      <c r="C172" s="198">
        <v>458</v>
      </c>
      <c r="D172" s="198">
        <v>548</v>
      </c>
      <c r="E172" s="198">
        <v>268</v>
      </c>
    </row>
    <row r="173" spans="1:6" ht="20.100000000000001" customHeight="1" x14ac:dyDescent="0.2">
      <c r="A173" s="202">
        <v>5</v>
      </c>
      <c r="B173" s="201" t="s">
        <v>415</v>
      </c>
      <c r="C173" s="198">
        <v>88</v>
      </c>
      <c r="D173" s="198">
        <v>97</v>
      </c>
      <c r="E173" s="198">
        <v>0</v>
      </c>
    </row>
    <row r="174" spans="1:6" ht="20.100000000000001" customHeight="1" x14ac:dyDescent="0.2">
      <c r="A174" s="202">
        <v>6</v>
      </c>
      <c r="B174" s="201" t="s">
        <v>416</v>
      </c>
      <c r="C174" s="198">
        <v>8</v>
      </c>
      <c r="D174" s="198">
        <v>17</v>
      </c>
      <c r="E174" s="198">
        <v>3</v>
      </c>
    </row>
    <row r="175" spans="1:6" ht="20.100000000000001" customHeight="1" x14ac:dyDescent="0.2">
      <c r="A175" s="202">
        <v>7</v>
      </c>
      <c r="B175" s="201" t="s">
        <v>417</v>
      </c>
      <c r="C175" s="198">
        <v>63</v>
      </c>
      <c r="D175" s="198">
        <v>65</v>
      </c>
      <c r="E175" s="198">
        <v>63</v>
      </c>
    </row>
    <row r="176" spans="1:6" ht="20.100000000000001" customHeight="1" x14ac:dyDescent="0.2">
      <c r="A176" s="202">
        <v>8</v>
      </c>
      <c r="B176" s="201" t="s">
        <v>418</v>
      </c>
      <c r="C176" s="198">
        <f>+C169+C170+C171+C174</f>
        <v>3510</v>
      </c>
      <c r="D176" s="198">
        <f>+D169+D170+D171+D174</f>
        <v>3386</v>
      </c>
      <c r="E176" s="198">
        <f>+E169+E170+E171+E174</f>
        <v>2515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419</v>
      </c>
      <c r="B178" s="30" t="s">
        <v>420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411</v>
      </c>
      <c r="C179" s="210">
        <v>1.02677</v>
      </c>
      <c r="D179" s="210">
        <v>1.0759000000000001</v>
      </c>
      <c r="E179" s="210">
        <v>1.3484</v>
      </c>
    </row>
    <row r="180" spans="1:6" ht="20.100000000000001" customHeight="1" x14ac:dyDescent="0.2">
      <c r="A180" s="202">
        <v>2</v>
      </c>
      <c r="B180" s="201" t="s">
        <v>412</v>
      </c>
      <c r="C180" s="210">
        <v>1.46448</v>
      </c>
      <c r="D180" s="210">
        <v>1.4282999999999999</v>
      </c>
      <c r="E180" s="210">
        <v>1.4683999999999999</v>
      </c>
    </row>
    <row r="181" spans="1:6" ht="20.100000000000001" customHeight="1" x14ac:dyDescent="0.2">
      <c r="A181" s="202">
        <v>3</v>
      </c>
      <c r="B181" s="201" t="s">
        <v>413</v>
      </c>
      <c r="C181" s="210">
        <v>0.88382400000000005</v>
      </c>
      <c r="D181" s="210">
        <v>0.87244999999999995</v>
      </c>
      <c r="E181" s="210">
        <v>1.103</v>
      </c>
    </row>
    <row r="182" spans="1:6" ht="20.100000000000001" customHeight="1" x14ac:dyDescent="0.2">
      <c r="A182" s="202">
        <v>4</v>
      </c>
      <c r="B182" s="201" t="s">
        <v>414</v>
      </c>
      <c r="C182" s="210">
        <v>0.80549000000000004</v>
      </c>
      <c r="D182" s="210">
        <v>0.8</v>
      </c>
      <c r="E182" s="210">
        <v>1.103</v>
      </c>
    </row>
    <row r="183" spans="1:6" ht="20.100000000000001" customHeight="1" x14ac:dyDescent="0.2">
      <c r="A183" s="202">
        <v>5</v>
      </c>
      <c r="B183" s="201" t="s">
        <v>415</v>
      </c>
      <c r="C183" s="210">
        <v>1.29152</v>
      </c>
      <c r="D183" s="210">
        <v>1.28176</v>
      </c>
      <c r="E183" s="210">
        <v>0</v>
      </c>
    </row>
    <row r="184" spans="1:6" ht="20.100000000000001" customHeight="1" x14ac:dyDescent="0.2">
      <c r="A184" s="202">
        <v>6</v>
      </c>
      <c r="B184" s="201" t="s">
        <v>416</v>
      </c>
      <c r="C184" s="210">
        <v>0.95967000000000002</v>
      </c>
      <c r="D184" s="210">
        <v>1.0069999999999999</v>
      </c>
      <c r="E184" s="210">
        <v>0.78386999999999996</v>
      </c>
    </row>
    <row r="185" spans="1:6" ht="20.100000000000001" customHeight="1" x14ac:dyDescent="0.2">
      <c r="A185" s="202">
        <v>7</v>
      </c>
      <c r="B185" s="201" t="s">
        <v>417</v>
      </c>
      <c r="C185" s="210">
        <v>1.0042</v>
      </c>
      <c r="D185" s="210">
        <v>1.0134799999999999</v>
      </c>
      <c r="E185" s="210">
        <v>1.2078</v>
      </c>
    </row>
    <row r="186" spans="1:6" ht="20.100000000000001" customHeight="1" x14ac:dyDescent="0.2">
      <c r="A186" s="202">
        <v>8</v>
      </c>
      <c r="B186" s="201" t="s">
        <v>421</v>
      </c>
      <c r="C186" s="210">
        <v>1.224607</v>
      </c>
      <c r="D186" s="210">
        <v>1.202799</v>
      </c>
      <c r="E186" s="210">
        <v>1.3970119999999999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422</v>
      </c>
      <c r="B188" s="30" t="s">
        <v>423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424</v>
      </c>
      <c r="C189" s="198">
        <v>2337</v>
      </c>
      <c r="D189" s="198">
        <v>2136</v>
      </c>
      <c r="E189" s="198">
        <v>2066</v>
      </c>
    </row>
    <row r="190" spans="1:6" ht="20.100000000000001" customHeight="1" x14ac:dyDescent="0.2">
      <c r="A190" s="202">
        <v>2</v>
      </c>
      <c r="B190" s="201" t="s">
        <v>425</v>
      </c>
      <c r="C190" s="198">
        <v>23608</v>
      </c>
      <c r="D190" s="198">
        <v>23873</v>
      </c>
      <c r="E190" s="198">
        <v>24397</v>
      </c>
    </row>
    <row r="191" spans="1:6" ht="20.100000000000001" customHeight="1" x14ac:dyDescent="0.2">
      <c r="A191" s="202">
        <v>3</v>
      </c>
      <c r="B191" s="201" t="s">
        <v>426</v>
      </c>
      <c r="C191" s="198">
        <f>+C190+C189</f>
        <v>25945</v>
      </c>
      <c r="D191" s="198">
        <f>+D190+D189</f>
        <v>26009</v>
      </c>
      <c r="E191" s="198">
        <f>+E190+E189</f>
        <v>26463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fitToHeight="0" orientation="portrait" horizontalDpi="1200" verticalDpi="1200" r:id="rId1"/>
  <headerFooter>
    <oddHeader>&amp;LOFFICE OF HEALTH CARE ACCESS&amp;CTWELVE MONTHS ACTUAL FILING&amp;RROCKVILLE GENERAL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427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25"/>
      <c r="B9" s="226"/>
      <c r="C9" s="677"/>
      <c r="D9" s="678"/>
      <c r="E9" s="678"/>
      <c r="F9" s="679"/>
      <c r="G9" s="212"/>
    </row>
    <row r="10" spans="1:7" ht="20.25" customHeight="1" x14ac:dyDescent="0.3">
      <c r="A10" s="680" t="s">
        <v>12</v>
      </c>
      <c r="B10" s="682" t="s">
        <v>113</v>
      </c>
      <c r="C10" s="684"/>
      <c r="D10" s="685"/>
      <c r="E10" s="685"/>
      <c r="F10" s="686"/>
    </row>
    <row r="11" spans="1:7" ht="20.25" customHeight="1" x14ac:dyDescent="0.3">
      <c r="A11" s="681"/>
      <c r="B11" s="683"/>
      <c r="C11" s="687"/>
      <c r="D11" s="688"/>
      <c r="E11" s="688"/>
      <c r="F11" s="689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431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56221</v>
      </c>
      <c r="D14" s="237">
        <v>248979</v>
      </c>
      <c r="E14" s="237">
        <f t="shared" ref="E14:E24" si="0">D14-C14</f>
        <v>192758</v>
      </c>
      <c r="F14" s="238">
        <f t="shared" ref="F14:F24" si="1">IF(C14=0,0,E14/C14)</f>
        <v>3.4285765105565535</v>
      </c>
    </row>
    <row r="15" spans="1:7" ht="20.25" customHeight="1" x14ac:dyDescent="0.3">
      <c r="A15" s="235">
        <v>2</v>
      </c>
      <c r="B15" s="236" t="s">
        <v>433</v>
      </c>
      <c r="C15" s="237">
        <v>53914</v>
      </c>
      <c r="D15" s="237">
        <v>105169</v>
      </c>
      <c r="E15" s="237">
        <f t="shared" si="0"/>
        <v>51255</v>
      </c>
      <c r="F15" s="238">
        <f t="shared" si="1"/>
        <v>0.95068071372927254</v>
      </c>
    </row>
    <row r="16" spans="1:7" ht="20.25" customHeight="1" x14ac:dyDescent="0.3">
      <c r="A16" s="235">
        <v>3</v>
      </c>
      <c r="B16" s="236" t="s">
        <v>434</v>
      </c>
      <c r="C16" s="237">
        <v>58153</v>
      </c>
      <c r="D16" s="237">
        <v>73485</v>
      </c>
      <c r="E16" s="237">
        <f t="shared" si="0"/>
        <v>15332</v>
      </c>
      <c r="F16" s="238">
        <f t="shared" si="1"/>
        <v>0.26364933881313085</v>
      </c>
    </row>
    <row r="17" spans="1:6" ht="20.25" customHeight="1" x14ac:dyDescent="0.3">
      <c r="A17" s="235">
        <v>4</v>
      </c>
      <c r="B17" s="236" t="s">
        <v>435</v>
      </c>
      <c r="C17" s="237">
        <v>17967</v>
      </c>
      <c r="D17" s="237">
        <v>20024</v>
      </c>
      <c r="E17" s="237">
        <f t="shared" si="0"/>
        <v>2057</v>
      </c>
      <c r="F17" s="238">
        <f t="shared" si="1"/>
        <v>0.11448767184282295</v>
      </c>
    </row>
    <row r="18" spans="1:6" ht="20.25" customHeight="1" x14ac:dyDescent="0.3">
      <c r="A18" s="235">
        <v>5</v>
      </c>
      <c r="B18" s="236" t="s">
        <v>371</v>
      </c>
      <c r="C18" s="239">
        <v>3</v>
      </c>
      <c r="D18" s="239">
        <v>9</v>
      </c>
      <c r="E18" s="239">
        <f t="shared" si="0"/>
        <v>6</v>
      </c>
      <c r="F18" s="238">
        <f t="shared" si="1"/>
        <v>2</v>
      </c>
    </row>
    <row r="19" spans="1:6" ht="20.25" customHeight="1" x14ac:dyDescent="0.3">
      <c r="A19" s="235">
        <v>6</v>
      </c>
      <c r="B19" s="236" t="s">
        <v>370</v>
      </c>
      <c r="C19" s="239">
        <v>18</v>
      </c>
      <c r="D19" s="239">
        <v>62</v>
      </c>
      <c r="E19" s="239">
        <f t="shared" si="0"/>
        <v>44</v>
      </c>
      <c r="F19" s="238">
        <f t="shared" si="1"/>
        <v>2.4444444444444446</v>
      </c>
    </row>
    <row r="20" spans="1:6" ht="20.25" customHeight="1" x14ac:dyDescent="0.3">
      <c r="A20" s="235">
        <v>7</v>
      </c>
      <c r="B20" s="236" t="s">
        <v>436</v>
      </c>
      <c r="C20" s="239">
        <v>26</v>
      </c>
      <c r="D20" s="239">
        <v>69</v>
      </c>
      <c r="E20" s="239">
        <f t="shared" si="0"/>
        <v>43</v>
      </c>
      <c r="F20" s="238">
        <f t="shared" si="1"/>
        <v>1.6538461538461537</v>
      </c>
    </row>
    <row r="21" spans="1:6" ht="20.25" customHeight="1" x14ac:dyDescent="0.3">
      <c r="A21" s="235">
        <v>8</v>
      </c>
      <c r="B21" s="236" t="s">
        <v>437</v>
      </c>
      <c r="C21" s="239">
        <v>14</v>
      </c>
      <c r="D21" s="239">
        <v>11</v>
      </c>
      <c r="E21" s="239">
        <f t="shared" si="0"/>
        <v>-3</v>
      </c>
      <c r="F21" s="238">
        <f t="shared" si="1"/>
        <v>-0.21428571428571427</v>
      </c>
    </row>
    <row r="22" spans="1:6" ht="20.25" customHeight="1" x14ac:dyDescent="0.3">
      <c r="A22" s="235">
        <v>9</v>
      </c>
      <c r="B22" s="236" t="s">
        <v>438</v>
      </c>
      <c r="C22" s="239">
        <v>3</v>
      </c>
      <c r="D22" s="239">
        <v>9</v>
      </c>
      <c r="E22" s="239">
        <f t="shared" si="0"/>
        <v>6</v>
      </c>
      <c r="F22" s="238">
        <f t="shared" si="1"/>
        <v>2</v>
      </c>
    </row>
    <row r="23" spans="1:6" s="240" customFormat="1" ht="20.25" customHeight="1" x14ac:dyDescent="0.3">
      <c r="A23" s="241"/>
      <c r="B23" s="242" t="s">
        <v>439</v>
      </c>
      <c r="C23" s="243">
        <f>+C14+C16</f>
        <v>114374</v>
      </c>
      <c r="D23" s="243">
        <f>+D14+D16</f>
        <v>322464</v>
      </c>
      <c r="E23" s="243">
        <f t="shared" si="0"/>
        <v>208090</v>
      </c>
      <c r="F23" s="244">
        <f t="shared" si="1"/>
        <v>1.8193820273838459</v>
      </c>
    </row>
    <row r="24" spans="1:6" s="240" customFormat="1" ht="20.25" customHeight="1" x14ac:dyDescent="0.3">
      <c r="A24" s="241"/>
      <c r="B24" s="242" t="s">
        <v>440</v>
      </c>
      <c r="C24" s="243">
        <f>+C15+C17</f>
        <v>71881</v>
      </c>
      <c r="D24" s="243">
        <f>+D15+D17</f>
        <v>125193</v>
      </c>
      <c r="E24" s="243">
        <f t="shared" si="0"/>
        <v>53312</v>
      </c>
      <c r="F24" s="244">
        <f t="shared" si="1"/>
        <v>0.74167026056955243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441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432</v>
      </c>
      <c r="C27" s="237">
        <v>10842</v>
      </c>
      <c r="D27" s="237">
        <v>0</v>
      </c>
      <c r="E27" s="237">
        <f t="shared" ref="E27:E37" si="2">D27-C27</f>
        <v>-10842</v>
      </c>
      <c r="F27" s="238">
        <f t="shared" ref="F27:F37" si="3">IF(C27=0,0,E27/C27)</f>
        <v>-1</v>
      </c>
    </row>
    <row r="28" spans="1:6" ht="20.25" customHeight="1" x14ac:dyDescent="0.3">
      <c r="A28" s="235">
        <v>2</v>
      </c>
      <c r="B28" s="236" t="s">
        <v>433</v>
      </c>
      <c r="C28" s="237">
        <v>2988</v>
      </c>
      <c r="D28" s="237">
        <v>0</v>
      </c>
      <c r="E28" s="237">
        <f t="shared" si="2"/>
        <v>-2988</v>
      </c>
      <c r="F28" s="238">
        <f t="shared" si="3"/>
        <v>-1</v>
      </c>
    </row>
    <row r="29" spans="1:6" ht="20.25" customHeight="1" x14ac:dyDescent="0.3">
      <c r="A29" s="235">
        <v>3</v>
      </c>
      <c r="B29" s="236" t="s">
        <v>434</v>
      </c>
      <c r="C29" s="237">
        <v>16202</v>
      </c>
      <c r="D29" s="237">
        <v>10509</v>
      </c>
      <c r="E29" s="237">
        <f t="shared" si="2"/>
        <v>-5693</v>
      </c>
      <c r="F29" s="238">
        <f t="shared" si="3"/>
        <v>-0.35137637328724847</v>
      </c>
    </row>
    <row r="30" spans="1:6" ht="20.25" customHeight="1" x14ac:dyDescent="0.3">
      <c r="A30" s="235">
        <v>4</v>
      </c>
      <c r="B30" s="236" t="s">
        <v>435</v>
      </c>
      <c r="C30" s="237">
        <v>4781</v>
      </c>
      <c r="D30" s="237">
        <v>2979</v>
      </c>
      <c r="E30" s="237">
        <f t="shared" si="2"/>
        <v>-1802</v>
      </c>
      <c r="F30" s="238">
        <f t="shared" si="3"/>
        <v>-0.37690859652792302</v>
      </c>
    </row>
    <row r="31" spans="1:6" ht="20.25" customHeight="1" x14ac:dyDescent="0.3">
      <c r="A31" s="235">
        <v>5</v>
      </c>
      <c r="B31" s="236" t="s">
        <v>371</v>
      </c>
      <c r="C31" s="239">
        <v>1</v>
      </c>
      <c r="D31" s="239">
        <v>0</v>
      </c>
      <c r="E31" s="239">
        <f t="shared" si="2"/>
        <v>-1</v>
      </c>
      <c r="F31" s="238">
        <f t="shared" si="3"/>
        <v>-1</v>
      </c>
    </row>
    <row r="32" spans="1:6" ht="20.25" customHeight="1" x14ac:dyDescent="0.3">
      <c r="A32" s="235">
        <v>6</v>
      </c>
      <c r="B32" s="236" t="s">
        <v>370</v>
      </c>
      <c r="C32" s="239">
        <v>3</v>
      </c>
      <c r="D32" s="239">
        <v>0</v>
      </c>
      <c r="E32" s="239">
        <f t="shared" si="2"/>
        <v>-3</v>
      </c>
      <c r="F32" s="238">
        <f t="shared" si="3"/>
        <v>-1</v>
      </c>
    </row>
    <row r="33" spans="1:6" ht="20.25" customHeight="1" x14ac:dyDescent="0.3">
      <c r="A33" s="235">
        <v>7</v>
      </c>
      <c r="B33" s="236" t="s">
        <v>436</v>
      </c>
      <c r="C33" s="239">
        <v>9</v>
      </c>
      <c r="D33" s="239">
        <v>4</v>
      </c>
      <c r="E33" s="239">
        <f t="shared" si="2"/>
        <v>-5</v>
      </c>
      <c r="F33" s="238">
        <f t="shared" si="3"/>
        <v>-0.55555555555555558</v>
      </c>
    </row>
    <row r="34" spans="1:6" ht="20.25" customHeight="1" x14ac:dyDescent="0.3">
      <c r="A34" s="235">
        <v>8</v>
      </c>
      <c r="B34" s="236" t="s">
        <v>437</v>
      </c>
      <c r="C34" s="239">
        <v>1</v>
      </c>
      <c r="D34" s="239">
        <v>2</v>
      </c>
      <c r="E34" s="239">
        <f t="shared" si="2"/>
        <v>1</v>
      </c>
      <c r="F34" s="238">
        <f t="shared" si="3"/>
        <v>1</v>
      </c>
    </row>
    <row r="35" spans="1:6" ht="20.25" customHeight="1" x14ac:dyDescent="0.3">
      <c r="A35" s="235">
        <v>9</v>
      </c>
      <c r="B35" s="236" t="s">
        <v>438</v>
      </c>
      <c r="C35" s="239">
        <v>1</v>
      </c>
      <c r="D35" s="239">
        <v>0</v>
      </c>
      <c r="E35" s="239">
        <f t="shared" si="2"/>
        <v>-1</v>
      </c>
      <c r="F35" s="238">
        <f t="shared" si="3"/>
        <v>-1</v>
      </c>
    </row>
    <row r="36" spans="1:6" s="240" customFormat="1" ht="20.25" customHeight="1" x14ac:dyDescent="0.3">
      <c r="A36" s="241"/>
      <c r="B36" s="242" t="s">
        <v>439</v>
      </c>
      <c r="C36" s="243">
        <f>+C27+C29</f>
        <v>27044</v>
      </c>
      <c r="D36" s="243">
        <f>+D27+D29</f>
        <v>10509</v>
      </c>
      <c r="E36" s="243">
        <f t="shared" si="2"/>
        <v>-16535</v>
      </c>
      <c r="F36" s="244">
        <f t="shared" si="3"/>
        <v>-0.61141103387072915</v>
      </c>
    </row>
    <row r="37" spans="1:6" s="240" customFormat="1" ht="20.25" customHeight="1" x14ac:dyDescent="0.3">
      <c r="A37" s="241"/>
      <c r="B37" s="242" t="s">
        <v>440</v>
      </c>
      <c r="C37" s="243">
        <f>+C28+C30</f>
        <v>7769</v>
      </c>
      <c r="D37" s="243">
        <f>+D28+D30</f>
        <v>2979</v>
      </c>
      <c r="E37" s="243">
        <f t="shared" si="2"/>
        <v>-4790</v>
      </c>
      <c r="F37" s="244">
        <f t="shared" si="3"/>
        <v>-0.61655296691980954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442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432</v>
      </c>
      <c r="C40" s="237">
        <v>1044641</v>
      </c>
      <c r="D40" s="237">
        <v>3176524</v>
      </c>
      <c r="E40" s="237">
        <f t="shared" ref="E40:E50" si="4">D40-C40</f>
        <v>2131883</v>
      </c>
      <c r="F40" s="238">
        <f t="shared" ref="F40:F50" si="5">IF(C40=0,0,E40/C40)</f>
        <v>2.0407805169431414</v>
      </c>
    </row>
    <row r="41" spans="1:6" ht="20.25" customHeight="1" x14ac:dyDescent="0.3">
      <c r="A41" s="235">
        <v>2</v>
      </c>
      <c r="B41" s="236" t="s">
        <v>433</v>
      </c>
      <c r="C41" s="237">
        <v>467074</v>
      </c>
      <c r="D41" s="237">
        <v>1239222</v>
      </c>
      <c r="E41" s="237">
        <f t="shared" si="4"/>
        <v>772148</v>
      </c>
      <c r="F41" s="238">
        <f t="shared" si="5"/>
        <v>1.6531598847291864</v>
      </c>
    </row>
    <row r="42" spans="1:6" ht="20.25" customHeight="1" x14ac:dyDescent="0.3">
      <c r="A42" s="235">
        <v>3</v>
      </c>
      <c r="B42" s="236" t="s">
        <v>434</v>
      </c>
      <c r="C42" s="237">
        <v>1267655</v>
      </c>
      <c r="D42" s="237">
        <v>2990542</v>
      </c>
      <c r="E42" s="237">
        <f t="shared" si="4"/>
        <v>1722887</v>
      </c>
      <c r="F42" s="238">
        <f t="shared" si="5"/>
        <v>1.3591134811916492</v>
      </c>
    </row>
    <row r="43" spans="1:6" ht="20.25" customHeight="1" x14ac:dyDescent="0.3">
      <c r="A43" s="235">
        <v>4</v>
      </c>
      <c r="B43" s="236" t="s">
        <v>435</v>
      </c>
      <c r="C43" s="237">
        <v>344886</v>
      </c>
      <c r="D43" s="237">
        <v>539446</v>
      </c>
      <c r="E43" s="237">
        <f t="shared" si="4"/>
        <v>194560</v>
      </c>
      <c r="F43" s="238">
        <f t="shared" si="5"/>
        <v>0.56412843664283274</v>
      </c>
    </row>
    <row r="44" spans="1:6" ht="20.25" customHeight="1" x14ac:dyDescent="0.3">
      <c r="A44" s="235">
        <v>5</v>
      </c>
      <c r="B44" s="236" t="s">
        <v>371</v>
      </c>
      <c r="C44" s="239">
        <v>58</v>
      </c>
      <c r="D44" s="239">
        <v>135</v>
      </c>
      <c r="E44" s="239">
        <f t="shared" si="4"/>
        <v>77</v>
      </c>
      <c r="F44" s="238">
        <f t="shared" si="5"/>
        <v>1.3275862068965518</v>
      </c>
    </row>
    <row r="45" spans="1:6" ht="20.25" customHeight="1" x14ac:dyDescent="0.3">
      <c r="A45" s="235">
        <v>6</v>
      </c>
      <c r="B45" s="236" t="s">
        <v>370</v>
      </c>
      <c r="C45" s="239">
        <v>229</v>
      </c>
      <c r="D45" s="239">
        <v>702</v>
      </c>
      <c r="E45" s="239">
        <f t="shared" si="4"/>
        <v>473</v>
      </c>
      <c r="F45" s="238">
        <f t="shared" si="5"/>
        <v>2.0655021834061134</v>
      </c>
    </row>
    <row r="46" spans="1:6" ht="20.25" customHeight="1" x14ac:dyDescent="0.3">
      <c r="A46" s="235">
        <v>7</v>
      </c>
      <c r="B46" s="236" t="s">
        <v>436</v>
      </c>
      <c r="C46" s="239">
        <v>694</v>
      </c>
      <c r="D46" s="239">
        <v>1526</v>
      </c>
      <c r="E46" s="239">
        <f t="shared" si="4"/>
        <v>832</v>
      </c>
      <c r="F46" s="238">
        <f t="shared" si="5"/>
        <v>1.1988472622478386</v>
      </c>
    </row>
    <row r="47" spans="1:6" ht="20.25" customHeight="1" x14ac:dyDescent="0.3">
      <c r="A47" s="235">
        <v>8</v>
      </c>
      <c r="B47" s="236" t="s">
        <v>437</v>
      </c>
      <c r="C47" s="239">
        <v>150</v>
      </c>
      <c r="D47" s="239">
        <v>357</v>
      </c>
      <c r="E47" s="239">
        <f t="shared" si="4"/>
        <v>207</v>
      </c>
      <c r="F47" s="238">
        <f t="shared" si="5"/>
        <v>1.38</v>
      </c>
    </row>
    <row r="48" spans="1:6" ht="20.25" customHeight="1" x14ac:dyDescent="0.3">
      <c r="A48" s="235">
        <v>9</v>
      </c>
      <c r="B48" s="236" t="s">
        <v>438</v>
      </c>
      <c r="C48" s="239">
        <v>44</v>
      </c>
      <c r="D48" s="239">
        <v>110</v>
      </c>
      <c r="E48" s="239">
        <f t="shared" si="4"/>
        <v>66</v>
      </c>
      <c r="F48" s="238">
        <f t="shared" si="5"/>
        <v>1.5</v>
      </c>
    </row>
    <row r="49" spans="1:6" s="240" customFormat="1" ht="20.25" customHeight="1" x14ac:dyDescent="0.3">
      <c r="A49" s="241"/>
      <c r="B49" s="242" t="s">
        <v>439</v>
      </c>
      <c r="C49" s="243">
        <f>+C40+C42</f>
        <v>2312296</v>
      </c>
      <c r="D49" s="243">
        <f>+D40+D42</f>
        <v>6167066</v>
      </c>
      <c r="E49" s="243">
        <f t="shared" si="4"/>
        <v>3854770</v>
      </c>
      <c r="F49" s="244">
        <f t="shared" si="5"/>
        <v>1.6670746305836277</v>
      </c>
    </row>
    <row r="50" spans="1:6" s="240" customFormat="1" ht="20.25" customHeight="1" x14ac:dyDescent="0.3">
      <c r="A50" s="241"/>
      <c r="B50" s="242" t="s">
        <v>440</v>
      </c>
      <c r="C50" s="243">
        <f>+C41+C43</f>
        <v>811960</v>
      </c>
      <c r="D50" s="243">
        <f>+D41+D43</f>
        <v>1778668</v>
      </c>
      <c r="E50" s="243">
        <f t="shared" si="4"/>
        <v>966708</v>
      </c>
      <c r="F50" s="244">
        <f t="shared" si="5"/>
        <v>1.1905857431400562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443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432</v>
      </c>
      <c r="C53" s="237">
        <v>3420513</v>
      </c>
      <c r="D53" s="237">
        <v>547045</v>
      </c>
      <c r="E53" s="237">
        <f t="shared" ref="E53:E63" si="6">D53-C53</f>
        <v>-2873468</v>
      </c>
      <c r="F53" s="238">
        <f t="shared" ref="F53:F63" si="7">IF(C53=0,0,E53/C53)</f>
        <v>-0.8400693112407408</v>
      </c>
    </row>
    <row r="54" spans="1:6" ht="20.25" customHeight="1" x14ac:dyDescent="0.3">
      <c r="A54" s="235">
        <v>2</v>
      </c>
      <c r="B54" s="236" t="s">
        <v>433</v>
      </c>
      <c r="C54" s="237">
        <v>1407583</v>
      </c>
      <c r="D54" s="237">
        <v>177611</v>
      </c>
      <c r="E54" s="237">
        <f t="shared" si="6"/>
        <v>-1229972</v>
      </c>
      <c r="F54" s="238">
        <f t="shared" si="7"/>
        <v>-0.87381845333454577</v>
      </c>
    </row>
    <row r="55" spans="1:6" ht="20.25" customHeight="1" x14ac:dyDescent="0.3">
      <c r="A55" s="235">
        <v>3</v>
      </c>
      <c r="B55" s="236" t="s">
        <v>434</v>
      </c>
      <c r="C55" s="237">
        <v>2354089</v>
      </c>
      <c r="D55" s="237">
        <v>714814</v>
      </c>
      <c r="E55" s="237">
        <f t="shared" si="6"/>
        <v>-1639275</v>
      </c>
      <c r="F55" s="238">
        <f t="shared" si="7"/>
        <v>-0.69635217699925533</v>
      </c>
    </row>
    <row r="56" spans="1:6" ht="20.25" customHeight="1" x14ac:dyDescent="0.3">
      <c r="A56" s="235">
        <v>4</v>
      </c>
      <c r="B56" s="236" t="s">
        <v>435</v>
      </c>
      <c r="C56" s="237">
        <v>664295</v>
      </c>
      <c r="D56" s="237">
        <v>202208</v>
      </c>
      <c r="E56" s="237">
        <f t="shared" si="6"/>
        <v>-462087</v>
      </c>
      <c r="F56" s="238">
        <f t="shared" si="7"/>
        <v>-0.69560511519731449</v>
      </c>
    </row>
    <row r="57" spans="1:6" ht="20.25" customHeight="1" x14ac:dyDescent="0.3">
      <c r="A57" s="235">
        <v>5</v>
      </c>
      <c r="B57" s="236" t="s">
        <v>371</v>
      </c>
      <c r="C57" s="239">
        <v>139</v>
      </c>
      <c r="D57" s="239">
        <v>29</v>
      </c>
      <c r="E57" s="239">
        <f t="shared" si="6"/>
        <v>-110</v>
      </c>
      <c r="F57" s="238">
        <f t="shared" si="7"/>
        <v>-0.79136690647482011</v>
      </c>
    </row>
    <row r="58" spans="1:6" ht="20.25" customHeight="1" x14ac:dyDescent="0.3">
      <c r="A58" s="235">
        <v>6</v>
      </c>
      <c r="B58" s="236" t="s">
        <v>370</v>
      </c>
      <c r="C58" s="239">
        <v>722</v>
      </c>
      <c r="D58" s="239">
        <v>130</v>
      </c>
      <c r="E58" s="239">
        <f t="shared" si="6"/>
        <v>-592</v>
      </c>
      <c r="F58" s="238">
        <f t="shared" si="7"/>
        <v>-0.81994459833795019</v>
      </c>
    </row>
    <row r="59" spans="1:6" ht="20.25" customHeight="1" x14ac:dyDescent="0.3">
      <c r="A59" s="235">
        <v>7</v>
      </c>
      <c r="B59" s="236" t="s">
        <v>436</v>
      </c>
      <c r="C59" s="239">
        <v>1274</v>
      </c>
      <c r="D59" s="239">
        <v>341</v>
      </c>
      <c r="E59" s="239">
        <f t="shared" si="6"/>
        <v>-933</v>
      </c>
      <c r="F59" s="238">
        <f t="shared" si="7"/>
        <v>-0.73233908948194659</v>
      </c>
    </row>
    <row r="60" spans="1:6" ht="20.25" customHeight="1" x14ac:dyDescent="0.3">
      <c r="A60" s="235">
        <v>8</v>
      </c>
      <c r="B60" s="236" t="s">
        <v>437</v>
      </c>
      <c r="C60" s="239">
        <v>307</v>
      </c>
      <c r="D60" s="239">
        <v>88</v>
      </c>
      <c r="E60" s="239">
        <f t="shared" si="6"/>
        <v>-219</v>
      </c>
      <c r="F60" s="238">
        <f t="shared" si="7"/>
        <v>-0.71335504885993484</v>
      </c>
    </row>
    <row r="61" spans="1:6" ht="20.25" customHeight="1" x14ac:dyDescent="0.3">
      <c r="A61" s="235">
        <v>9</v>
      </c>
      <c r="B61" s="236" t="s">
        <v>438</v>
      </c>
      <c r="C61" s="239">
        <v>115</v>
      </c>
      <c r="D61" s="239">
        <v>26</v>
      </c>
      <c r="E61" s="239">
        <f t="shared" si="6"/>
        <v>-89</v>
      </c>
      <c r="F61" s="238">
        <f t="shared" si="7"/>
        <v>-0.77391304347826084</v>
      </c>
    </row>
    <row r="62" spans="1:6" s="240" customFormat="1" ht="20.25" customHeight="1" x14ac:dyDescent="0.3">
      <c r="A62" s="241"/>
      <c r="B62" s="242" t="s">
        <v>439</v>
      </c>
      <c r="C62" s="243">
        <f>+C53+C55</f>
        <v>5774602</v>
      </c>
      <c r="D62" s="243">
        <f>+D53+D55</f>
        <v>1261859</v>
      </c>
      <c r="E62" s="243">
        <f t="shared" si="6"/>
        <v>-4512743</v>
      </c>
      <c r="F62" s="244">
        <f t="shared" si="7"/>
        <v>-0.78148121723367259</v>
      </c>
    </row>
    <row r="63" spans="1:6" s="240" customFormat="1" ht="20.25" customHeight="1" x14ac:dyDescent="0.3">
      <c r="A63" s="241"/>
      <c r="B63" s="242" t="s">
        <v>440</v>
      </c>
      <c r="C63" s="243">
        <f>+C54+C56</f>
        <v>2071878</v>
      </c>
      <c r="D63" s="243">
        <f>+D54+D56</f>
        <v>379819</v>
      </c>
      <c r="E63" s="243">
        <f t="shared" si="6"/>
        <v>-1692059</v>
      </c>
      <c r="F63" s="244">
        <f t="shared" si="7"/>
        <v>-0.81667887781037296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444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432</v>
      </c>
      <c r="C66" s="237">
        <v>739514</v>
      </c>
      <c r="D66" s="237">
        <v>307480</v>
      </c>
      <c r="E66" s="237">
        <f t="shared" ref="E66:E76" si="8">D66-C66</f>
        <v>-432034</v>
      </c>
      <c r="F66" s="238">
        <f t="shared" ref="F66:F76" si="9">IF(C66=0,0,E66/C66)</f>
        <v>-0.58421341583796926</v>
      </c>
    </row>
    <row r="67" spans="1:6" ht="20.25" customHeight="1" x14ac:dyDescent="0.3">
      <c r="A67" s="235">
        <v>2</v>
      </c>
      <c r="B67" s="236" t="s">
        <v>433</v>
      </c>
      <c r="C67" s="237">
        <v>332781</v>
      </c>
      <c r="D67" s="237">
        <v>102480</v>
      </c>
      <c r="E67" s="237">
        <f t="shared" si="8"/>
        <v>-230301</v>
      </c>
      <c r="F67" s="238">
        <f t="shared" si="9"/>
        <v>-0.6920497263966392</v>
      </c>
    </row>
    <row r="68" spans="1:6" ht="20.25" customHeight="1" x14ac:dyDescent="0.3">
      <c r="A68" s="235">
        <v>3</v>
      </c>
      <c r="B68" s="236" t="s">
        <v>434</v>
      </c>
      <c r="C68" s="237">
        <v>426466</v>
      </c>
      <c r="D68" s="237">
        <v>247826</v>
      </c>
      <c r="E68" s="237">
        <f t="shared" si="8"/>
        <v>-178640</v>
      </c>
      <c r="F68" s="238">
        <f t="shared" si="9"/>
        <v>-0.41888450661951948</v>
      </c>
    </row>
    <row r="69" spans="1:6" ht="20.25" customHeight="1" x14ac:dyDescent="0.3">
      <c r="A69" s="235">
        <v>4</v>
      </c>
      <c r="B69" s="236" t="s">
        <v>435</v>
      </c>
      <c r="C69" s="237">
        <v>121466</v>
      </c>
      <c r="D69" s="237">
        <v>72826</v>
      </c>
      <c r="E69" s="237">
        <f t="shared" si="8"/>
        <v>-48640</v>
      </c>
      <c r="F69" s="238">
        <f t="shared" si="9"/>
        <v>-0.40044127574794591</v>
      </c>
    </row>
    <row r="70" spans="1:6" ht="20.25" customHeight="1" x14ac:dyDescent="0.3">
      <c r="A70" s="235">
        <v>5</v>
      </c>
      <c r="B70" s="236" t="s">
        <v>371</v>
      </c>
      <c r="C70" s="239">
        <v>27</v>
      </c>
      <c r="D70" s="239">
        <v>12</v>
      </c>
      <c r="E70" s="239">
        <f t="shared" si="8"/>
        <v>-15</v>
      </c>
      <c r="F70" s="238">
        <f t="shared" si="9"/>
        <v>-0.55555555555555558</v>
      </c>
    </row>
    <row r="71" spans="1:6" ht="20.25" customHeight="1" x14ac:dyDescent="0.3">
      <c r="A71" s="235">
        <v>6</v>
      </c>
      <c r="B71" s="236" t="s">
        <v>370</v>
      </c>
      <c r="C71" s="239">
        <v>156</v>
      </c>
      <c r="D71" s="239">
        <v>76</v>
      </c>
      <c r="E71" s="239">
        <f t="shared" si="8"/>
        <v>-80</v>
      </c>
      <c r="F71" s="238">
        <f t="shared" si="9"/>
        <v>-0.51282051282051277</v>
      </c>
    </row>
    <row r="72" spans="1:6" ht="20.25" customHeight="1" x14ac:dyDescent="0.3">
      <c r="A72" s="235">
        <v>7</v>
      </c>
      <c r="B72" s="236" t="s">
        <v>436</v>
      </c>
      <c r="C72" s="239">
        <v>203</v>
      </c>
      <c r="D72" s="239">
        <v>133</v>
      </c>
      <c r="E72" s="239">
        <f t="shared" si="8"/>
        <v>-70</v>
      </c>
      <c r="F72" s="238">
        <f t="shared" si="9"/>
        <v>-0.34482758620689657</v>
      </c>
    </row>
    <row r="73" spans="1:6" ht="20.25" customHeight="1" x14ac:dyDescent="0.3">
      <c r="A73" s="235">
        <v>8</v>
      </c>
      <c r="B73" s="236" t="s">
        <v>437</v>
      </c>
      <c r="C73" s="239">
        <v>92</v>
      </c>
      <c r="D73" s="239">
        <v>59</v>
      </c>
      <c r="E73" s="239">
        <f t="shared" si="8"/>
        <v>-33</v>
      </c>
      <c r="F73" s="238">
        <f t="shared" si="9"/>
        <v>-0.35869565217391303</v>
      </c>
    </row>
    <row r="74" spans="1:6" ht="20.25" customHeight="1" x14ac:dyDescent="0.3">
      <c r="A74" s="235">
        <v>9</v>
      </c>
      <c r="B74" s="236" t="s">
        <v>438</v>
      </c>
      <c r="C74" s="239">
        <v>25</v>
      </c>
      <c r="D74" s="239">
        <v>7</v>
      </c>
      <c r="E74" s="239">
        <f t="shared" si="8"/>
        <v>-18</v>
      </c>
      <c r="F74" s="238">
        <f t="shared" si="9"/>
        <v>-0.72</v>
      </c>
    </row>
    <row r="75" spans="1:6" s="240" customFormat="1" ht="20.25" customHeight="1" x14ac:dyDescent="0.3">
      <c r="A75" s="241"/>
      <c r="B75" s="242" t="s">
        <v>439</v>
      </c>
      <c r="C75" s="243">
        <f>+C66+C68</f>
        <v>1165980</v>
      </c>
      <c r="D75" s="243">
        <f>+D66+D68</f>
        <v>555306</v>
      </c>
      <c r="E75" s="243">
        <f t="shared" si="8"/>
        <v>-610674</v>
      </c>
      <c r="F75" s="244">
        <f t="shared" si="9"/>
        <v>-0.52374311737765655</v>
      </c>
    </row>
    <row r="76" spans="1:6" s="240" customFormat="1" ht="20.25" customHeight="1" x14ac:dyDescent="0.3">
      <c r="A76" s="241"/>
      <c r="B76" s="242" t="s">
        <v>440</v>
      </c>
      <c r="C76" s="243">
        <f>+C67+C69</f>
        <v>454247</v>
      </c>
      <c r="D76" s="243">
        <f>+D67+D69</f>
        <v>175306</v>
      </c>
      <c r="E76" s="243">
        <f t="shared" si="8"/>
        <v>-278941</v>
      </c>
      <c r="F76" s="244">
        <f t="shared" si="9"/>
        <v>-0.61407340059483062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445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432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433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434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435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371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370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436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437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438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439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440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446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432</v>
      </c>
      <c r="C92" s="237">
        <v>0</v>
      </c>
      <c r="D92" s="237">
        <v>957159</v>
      </c>
      <c r="E92" s="237">
        <f t="shared" ref="E92:E102" si="12">D92-C92</f>
        <v>957159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433</v>
      </c>
      <c r="C93" s="237">
        <v>0</v>
      </c>
      <c r="D93" s="237">
        <v>391801</v>
      </c>
      <c r="E93" s="237">
        <f t="shared" si="12"/>
        <v>391801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434</v>
      </c>
      <c r="C94" s="237">
        <v>0</v>
      </c>
      <c r="D94" s="237">
        <v>1114217</v>
      </c>
      <c r="E94" s="237">
        <f t="shared" si="12"/>
        <v>1114217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435</v>
      </c>
      <c r="C95" s="237">
        <v>0</v>
      </c>
      <c r="D95" s="237">
        <v>264919</v>
      </c>
      <c r="E95" s="237">
        <f t="shared" si="12"/>
        <v>264919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371</v>
      </c>
      <c r="C96" s="239">
        <v>0</v>
      </c>
      <c r="D96" s="239">
        <v>37</v>
      </c>
      <c r="E96" s="239">
        <f t="shared" si="12"/>
        <v>37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370</v>
      </c>
      <c r="C97" s="239">
        <v>0</v>
      </c>
      <c r="D97" s="239">
        <v>216</v>
      </c>
      <c r="E97" s="239">
        <f t="shared" si="12"/>
        <v>216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436</v>
      </c>
      <c r="C98" s="239">
        <v>0</v>
      </c>
      <c r="D98" s="239">
        <v>412</v>
      </c>
      <c r="E98" s="239">
        <f t="shared" si="12"/>
        <v>412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437</v>
      </c>
      <c r="C99" s="239">
        <v>0</v>
      </c>
      <c r="D99" s="239">
        <v>169</v>
      </c>
      <c r="E99" s="239">
        <f t="shared" si="12"/>
        <v>169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438</v>
      </c>
      <c r="C100" s="239">
        <v>0</v>
      </c>
      <c r="D100" s="239">
        <v>27</v>
      </c>
      <c r="E100" s="239">
        <f t="shared" si="12"/>
        <v>27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439</v>
      </c>
      <c r="C101" s="243">
        <f>+C92+C94</f>
        <v>0</v>
      </c>
      <c r="D101" s="243">
        <f>+D92+D94</f>
        <v>2071376</v>
      </c>
      <c r="E101" s="243">
        <f t="shared" si="12"/>
        <v>2071376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440</v>
      </c>
      <c r="C102" s="243">
        <f>+C93+C95</f>
        <v>0</v>
      </c>
      <c r="D102" s="243">
        <f>+D93+D95</f>
        <v>656720</v>
      </c>
      <c r="E102" s="243">
        <f t="shared" si="12"/>
        <v>656720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447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432</v>
      </c>
      <c r="C105" s="237">
        <v>227740</v>
      </c>
      <c r="D105" s="237">
        <v>346601</v>
      </c>
      <c r="E105" s="237">
        <f t="shared" ref="E105:E115" si="14">D105-C105</f>
        <v>118861</v>
      </c>
      <c r="F105" s="238">
        <f t="shared" ref="F105:F115" si="15">IF(C105=0,0,E105/C105)</f>
        <v>0.5219153420567314</v>
      </c>
    </row>
    <row r="106" spans="1:6" ht="20.25" customHeight="1" x14ac:dyDescent="0.3">
      <c r="A106" s="235">
        <v>2</v>
      </c>
      <c r="B106" s="236" t="s">
        <v>433</v>
      </c>
      <c r="C106" s="237">
        <v>91221</v>
      </c>
      <c r="D106" s="237">
        <v>131145</v>
      </c>
      <c r="E106" s="237">
        <f t="shared" si="14"/>
        <v>39924</v>
      </c>
      <c r="F106" s="238">
        <f t="shared" si="15"/>
        <v>0.43766238037294042</v>
      </c>
    </row>
    <row r="107" spans="1:6" ht="20.25" customHeight="1" x14ac:dyDescent="0.3">
      <c r="A107" s="235">
        <v>3</v>
      </c>
      <c r="B107" s="236" t="s">
        <v>434</v>
      </c>
      <c r="C107" s="237">
        <v>291515</v>
      </c>
      <c r="D107" s="237">
        <v>290523</v>
      </c>
      <c r="E107" s="237">
        <f t="shared" si="14"/>
        <v>-992</v>
      </c>
      <c r="F107" s="238">
        <f t="shared" si="15"/>
        <v>-3.4029123715760769E-3</v>
      </c>
    </row>
    <row r="108" spans="1:6" ht="20.25" customHeight="1" x14ac:dyDescent="0.3">
      <c r="A108" s="235">
        <v>4</v>
      </c>
      <c r="B108" s="236" t="s">
        <v>435</v>
      </c>
      <c r="C108" s="237">
        <v>84897</v>
      </c>
      <c r="D108" s="237">
        <v>61124</v>
      </c>
      <c r="E108" s="237">
        <f t="shared" si="14"/>
        <v>-23773</v>
      </c>
      <c r="F108" s="238">
        <f t="shared" si="15"/>
        <v>-0.28002167332178995</v>
      </c>
    </row>
    <row r="109" spans="1:6" ht="20.25" customHeight="1" x14ac:dyDescent="0.3">
      <c r="A109" s="235">
        <v>5</v>
      </c>
      <c r="B109" s="236" t="s">
        <v>371</v>
      </c>
      <c r="C109" s="239">
        <v>13</v>
      </c>
      <c r="D109" s="239">
        <v>12</v>
      </c>
      <c r="E109" s="239">
        <f t="shared" si="14"/>
        <v>-1</v>
      </c>
      <c r="F109" s="238">
        <f t="shared" si="15"/>
        <v>-7.6923076923076927E-2</v>
      </c>
    </row>
    <row r="110" spans="1:6" ht="20.25" customHeight="1" x14ac:dyDescent="0.3">
      <c r="A110" s="235">
        <v>6</v>
      </c>
      <c r="B110" s="236" t="s">
        <v>370</v>
      </c>
      <c r="C110" s="239">
        <v>61</v>
      </c>
      <c r="D110" s="239">
        <v>67</v>
      </c>
      <c r="E110" s="239">
        <f t="shared" si="14"/>
        <v>6</v>
      </c>
      <c r="F110" s="238">
        <f t="shared" si="15"/>
        <v>9.8360655737704916E-2</v>
      </c>
    </row>
    <row r="111" spans="1:6" ht="20.25" customHeight="1" x14ac:dyDescent="0.3">
      <c r="A111" s="235">
        <v>7</v>
      </c>
      <c r="B111" s="236" t="s">
        <v>436</v>
      </c>
      <c r="C111" s="239">
        <v>106</v>
      </c>
      <c r="D111" s="239">
        <v>106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437</v>
      </c>
      <c r="C112" s="239">
        <v>64</v>
      </c>
      <c r="D112" s="239">
        <v>68</v>
      </c>
      <c r="E112" s="239">
        <f t="shared" si="14"/>
        <v>4</v>
      </c>
      <c r="F112" s="238">
        <f t="shared" si="15"/>
        <v>6.25E-2</v>
      </c>
    </row>
    <row r="113" spans="1:6" ht="20.25" customHeight="1" x14ac:dyDescent="0.3">
      <c r="A113" s="235">
        <v>9</v>
      </c>
      <c r="B113" s="236" t="s">
        <v>438</v>
      </c>
      <c r="C113" s="239">
        <v>11</v>
      </c>
      <c r="D113" s="239">
        <v>7</v>
      </c>
      <c r="E113" s="239">
        <f t="shared" si="14"/>
        <v>-4</v>
      </c>
      <c r="F113" s="238">
        <f t="shared" si="15"/>
        <v>-0.36363636363636365</v>
      </c>
    </row>
    <row r="114" spans="1:6" s="240" customFormat="1" ht="20.25" customHeight="1" x14ac:dyDescent="0.3">
      <c r="A114" s="241"/>
      <c r="B114" s="242" t="s">
        <v>439</v>
      </c>
      <c r="C114" s="243">
        <f>+C105+C107</f>
        <v>519255</v>
      </c>
      <c r="D114" s="243">
        <f>+D105+D107</f>
        <v>637124</v>
      </c>
      <c r="E114" s="243">
        <f t="shared" si="14"/>
        <v>117869</v>
      </c>
      <c r="F114" s="244">
        <f t="shared" si="15"/>
        <v>0.22699636979903901</v>
      </c>
    </row>
    <row r="115" spans="1:6" s="240" customFormat="1" ht="20.25" customHeight="1" x14ac:dyDescent="0.3">
      <c r="A115" s="241"/>
      <c r="B115" s="242" t="s">
        <v>440</v>
      </c>
      <c r="C115" s="243">
        <f>+C106+C108</f>
        <v>176118</v>
      </c>
      <c r="D115" s="243">
        <f>+D106+D108</f>
        <v>192269</v>
      </c>
      <c r="E115" s="243">
        <f t="shared" si="14"/>
        <v>16151</v>
      </c>
      <c r="F115" s="244">
        <f t="shared" si="15"/>
        <v>9.1705561044299846E-2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448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432</v>
      </c>
      <c r="C118" s="237">
        <v>632624</v>
      </c>
      <c r="D118" s="237">
        <v>624400</v>
      </c>
      <c r="E118" s="237">
        <f t="shared" ref="E118:E128" si="16">D118-C118</f>
        <v>-8224</v>
      </c>
      <c r="F118" s="238">
        <f t="shared" ref="F118:F128" si="17">IF(C118=0,0,E118/C118)</f>
        <v>-1.2999822959609499E-2</v>
      </c>
    </row>
    <row r="119" spans="1:6" ht="20.25" customHeight="1" x14ac:dyDescent="0.3">
      <c r="A119" s="235">
        <v>2</v>
      </c>
      <c r="B119" s="236" t="s">
        <v>433</v>
      </c>
      <c r="C119" s="237">
        <v>289520</v>
      </c>
      <c r="D119" s="237">
        <v>258963</v>
      </c>
      <c r="E119" s="237">
        <f t="shared" si="16"/>
        <v>-30557</v>
      </c>
      <c r="F119" s="238">
        <f t="shared" si="17"/>
        <v>-0.10554365846919038</v>
      </c>
    </row>
    <row r="120" spans="1:6" ht="20.25" customHeight="1" x14ac:dyDescent="0.3">
      <c r="A120" s="235">
        <v>3</v>
      </c>
      <c r="B120" s="236" t="s">
        <v>434</v>
      </c>
      <c r="C120" s="237">
        <v>456451</v>
      </c>
      <c r="D120" s="237">
        <v>614621</v>
      </c>
      <c r="E120" s="237">
        <f t="shared" si="16"/>
        <v>158170</v>
      </c>
      <c r="F120" s="238">
        <f t="shared" si="17"/>
        <v>0.34652131335017339</v>
      </c>
    </row>
    <row r="121" spans="1:6" ht="20.25" customHeight="1" x14ac:dyDescent="0.3">
      <c r="A121" s="235">
        <v>4</v>
      </c>
      <c r="B121" s="236" t="s">
        <v>435</v>
      </c>
      <c r="C121" s="237">
        <v>127343</v>
      </c>
      <c r="D121" s="237">
        <v>161915</v>
      </c>
      <c r="E121" s="237">
        <f t="shared" si="16"/>
        <v>34572</v>
      </c>
      <c r="F121" s="238">
        <f t="shared" si="17"/>
        <v>0.27148724311505146</v>
      </c>
    </row>
    <row r="122" spans="1:6" ht="20.25" customHeight="1" x14ac:dyDescent="0.3">
      <c r="A122" s="235">
        <v>5</v>
      </c>
      <c r="B122" s="236" t="s">
        <v>371</v>
      </c>
      <c r="C122" s="239">
        <v>24</v>
      </c>
      <c r="D122" s="239">
        <v>30</v>
      </c>
      <c r="E122" s="239">
        <f t="shared" si="16"/>
        <v>6</v>
      </c>
      <c r="F122" s="238">
        <f t="shared" si="17"/>
        <v>0.25</v>
      </c>
    </row>
    <row r="123" spans="1:6" ht="20.25" customHeight="1" x14ac:dyDescent="0.3">
      <c r="A123" s="235">
        <v>6</v>
      </c>
      <c r="B123" s="236" t="s">
        <v>370</v>
      </c>
      <c r="C123" s="239">
        <v>120</v>
      </c>
      <c r="D123" s="239">
        <v>118</v>
      </c>
      <c r="E123" s="239">
        <f t="shared" si="16"/>
        <v>-2</v>
      </c>
      <c r="F123" s="238">
        <f t="shared" si="17"/>
        <v>-1.6666666666666666E-2</v>
      </c>
    </row>
    <row r="124" spans="1:6" ht="20.25" customHeight="1" x14ac:dyDescent="0.3">
      <c r="A124" s="235">
        <v>7</v>
      </c>
      <c r="B124" s="236" t="s">
        <v>436</v>
      </c>
      <c r="C124" s="239">
        <v>244</v>
      </c>
      <c r="D124" s="239">
        <v>291</v>
      </c>
      <c r="E124" s="239">
        <f t="shared" si="16"/>
        <v>47</v>
      </c>
      <c r="F124" s="238">
        <f t="shared" si="17"/>
        <v>0.19262295081967212</v>
      </c>
    </row>
    <row r="125" spans="1:6" ht="20.25" customHeight="1" x14ac:dyDescent="0.3">
      <c r="A125" s="235">
        <v>8</v>
      </c>
      <c r="B125" s="236" t="s">
        <v>437</v>
      </c>
      <c r="C125" s="239">
        <v>61</v>
      </c>
      <c r="D125" s="239">
        <v>69</v>
      </c>
      <c r="E125" s="239">
        <f t="shared" si="16"/>
        <v>8</v>
      </c>
      <c r="F125" s="238">
        <f t="shared" si="17"/>
        <v>0.13114754098360656</v>
      </c>
    </row>
    <row r="126" spans="1:6" ht="20.25" customHeight="1" x14ac:dyDescent="0.3">
      <c r="A126" s="235">
        <v>9</v>
      </c>
      <c r="B126" s="236" t="s">
        <v>438</v>
      </c>
      <c r="C126" s="239">
        <v>18</v>
      </c>
      <c r="D126" s="239">
        <v>22</v>
      </c>
      <c r="E126" s="239">
        <f t="shared" si="16"/>
        <v>4</v>
      </c>
      <c r="F126" s="238">
        <f t="shared" si="17"/>
        <v>0.22222222222222221</v>
      </c>
    </row>
    <row r="127" spans="1:6" s="240" customFormat="1" ht="20.25" customHeight="1" x14ac:dyDescent="0.3">
      <c r="A127" s="241"/>
      <c r="B127" s="242" t="s">
        <v>439</v>
      </c>
      <c r="C127" s="243">
        <f>+C118+C120</f>
        <v>1089075</v>
      </c>
      <c r="D127" s="243">
        <f>+D118+D120</f>
        <v>1239021</v>
      </c>
      <c r="E127" s="243">
        <f t="shared" si="16"/>
        <v>149946</v>
      </c>
      <c r="F127" s="244">
        <f t="shared" si="17"/>
        <v>0.13768197782521865</v>
      </c>
    </row>
    <row r="128" spans="1:6" s="240" customFormat="1" ht="20.25" customHeight="1" x14ac:dyDescent="0.3">
      <c r="A128" s="241"/>
      <c r="B128" s="242" t="s">
        <v>440</v>
      </c>
      <c r="C128" s="243">
        <f>+C119+C121</f>
        <v>416863</v>
      </c>
      <c r="D128" s="243">
        <f>+D119+D121</f>
        <v>420878</v>
      </c>
      <c r="E128" s="243">
        <f t="shared" si="16"/>
        <v>4015</v>
      </c>
      <c r="F128" s="244">
        <f t="shared" si="17"/>
        <v>9.6314616552680369E-3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449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432</v>
      </c>
      <c r="C131" s="237">
        <v>21993</v>
      </c>
      <c r="D131" s="237">
        <v>0</v>
      </c>
      <c r="E131" s="237">
        <f t="shared" ref="E131:E141" si="18">D131-C131</f>
        <v>-21993</v>
      </c>
      <c r="F131" s="238">
        <f t="shared" ref="F131:F141" si="19">IF(C131=0,0,E131/C131)</f>
        <v>-1</v>
      </c>
    </row>
    <row r="132" spans="1:6" ht="20.25" customHeight="1" x14ac:dyDescent="0.3">
      <c r="A132" s="235">
        <v>2</v>
      </c>
      <c r="B132" s="236" t="s">
        <v>433</v>
      </c>
      <c r="C132" s="237">
        <v>10778</v>
      </c>
      <c r="D132" s="237">
        <v>0</v>
      </c>
      <c r="E132" s="237">
        <f t="shared" si="18"/>
        <v>-10778</v>
      </c>
      <c r="F132" s="238">
        <f t="shared" si="19"/>
        <v>-1</v>
      </c>
    </row>
    <row r="133" spans="1:6" ht="20.25" customHeight="1" x14ac:dyDescent="0.3">
      <c r="A133" s="235">
        <v>3</v>
      </c>
      <c r="B133" s="236" t="s">
        <v>434</v>
      </c>
      <c r="C133" s="237">
        <v>30486</v>
      </c>
      <c r="D133" s="237">
        <v>24836</v>
      </c>
      <c r="E133" s="237">
        <f t="shared" si="18"/>
        <v>-5650</v>
      </c>
      <c r="F133" s="238">
        <f t="shared" si="19"/>
        <v>-0.18533097159351833</v>
      </c>
    </row>
    <row r="134" spans="1:6" ht="20.25" customHeight="1" x14ac:dyDescent="0.3">
      <c r="A134" s="235">
        <v>4</v>
      </c>
      <c r="B134" s="236" t="s">
        <v>435</v>
      </c>
      <c r="C134" s="237">
        <v>9863</v>
      </c>
      <c r="D134" s="237">
        <v>6581</v>
      </c>
      <c r="E134" s="237">
        <f t="shared" si="18"/>
        <v>-3282</v>
      </c>
      <c r="F134" s="238">
        <f t="shared" si="19"/>
        <v>-0.3327587954983271</v>
      </c>
    </row>
    <row r="135" spans="1:6" ht="20.25" customHeight="1" x14ac:dyDescent="0.3">
      <c r="A135" s="235">
        <v>5</v>
      </c>
      <c r="B135" s="236" t="s">
        <v>371</v>
      </c>
      <c r="C135" s="239">
        <v>1</v>
      </c>
      <c r="D135" s="239">
        <v>0</v>
      </c>
      <c r="E135" s="239">
        <f t="shared" si="18"/>
        <v>-1</v>
      </c>
      <c r="F135" s="238">
        <f t="shared" si="19"/>
        <v>-1</v>
      </c>
    </row>
    <row r="136" spans="1:6" ht="20.25" customHeight="1" x14ac:dyDescent="0.3">
      <c r="A136" s="235">
        <v>6</v>
      </c>
      <c r="B136" s="236" t="s">
        <v>370</v>
      </c>
      <c r="C136" s="239">
        <v>3</v>
      </c>
      <c r="D136" s="239">
        <v>0</v>
      </c>
      <c r="E136" s="239">
        <f t="shared" si="18"/>
        <v>-3</v>
      </c>
      <c r="F136" s="238">
        <f t="shared" si="19"/>
        <v>-1</v>
      </c>
    </row>
    <row r="137" spans="1:6" ht="20.25" customHeight="1" x14ac:dyDescent="0.3">
      <c r="A137" s="235">
        <v>7</v>
      </c>
      <c r="B137" s="236" t="s">
        <v>436</v>
      </c>
      <c r="C137" s="239">
        <v>13</v>
      </c>
      <c r="D137" s="239">
        <v>10</v>
      </c>
      <c r="E137" s="239">
        <f t="shared" si="18"/>
        <v>-3</v>
      </c>
      <c r="F137" s="238">
        <f t="shared" si="19"/>
        <v>-0.23076923076923078</v>
      </c>
    </row>
    <row r="138" spans="1:6" ht="20.25" customHeight="1" x14ac:dyDescent="0.3">
      <c r="A138" s="235">
        <v>8</v>
      </c>
      <c r="B138" s="236" t="s">
        <v>437</v>
      </c>
      <c r="C138" s="239">
        <v>4</v>
      </c>
      <c r="D138" s="239">
        <v>3</v>
      </c>
      <c r="E138" s="239">
        <f t="shared" si="18"/>
        <v>-1</v>
      </c>
      <c r="F138" s="238">
        <f t="shared" si="19"/>
        <v>-0.25</v>
      </c>
    </row>
    <row r="139" spans="1:6" ht="20.25" customHeight="1" x14ac:dyDescent="0.3">
      <c r="A139" s="235">
        <v>9</v>
      </c>
      <c r="B139" s="236" t="s">
        <v>438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439</v>
      </c>
      <c r="C140" s="243">
        <f>+C131+C133</f>
        <v>52479</v>
      </c>
      <c r="D140" s="243">
        <f>+D131+D133</f>
        <v>24836</v>
      </c>
      <c r="E140" s="243">
        <f t="shared" si="18"/>
        <v>-27643</v>
      </c>
      <c r="F140" s="244">
        <f t="shared" si="19"/>
        <v>-0.52674403094571165</v>
      </c>
    </row>
    <row r="141" spans="1:6" s="240" customFormat="1" ht="20.25" customHeight="1" x14ac:dyDescent="0.3">
      <c r="A141" s="241"/>
      <c r="B141" s="242" t="s">
        <v>440</v>
      </c>
      <c r="C141" s="243">
        <f>+C132+C134</f>
        <v>20641</v>
      </c>
      <c r="D141" s="243">
        <f>+D132+D134</f>
        <v>6581</v>
      </c>
      <c r="E141" s="243">
        <f t="shared" si="18"/>
        <v>-14060</v>
      </c>
      <c r="F141" s="244">
        <f t="shared" si="19"/>
        <v>-0.68116854803546345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450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432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433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434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435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371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370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436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437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438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439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440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451</v>
      </c>
      <c r="B156" s="231" t="s">
        <v>452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432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433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434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435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371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370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436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437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438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439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440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453</v>
      </c>
      <c r="B169" s="231" t="s">
        <v>454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432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433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434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435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371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370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436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437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438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439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440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455</v>
      </c>
      <c r="B182" s="231" t="s">
        <v>456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432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433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434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435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371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370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436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437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438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439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440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90" t="s">
        <v>44</v>
      </c>
      <c r="B195" s="691" t="s">
        <v>457</v>
      </c>
      <c r="C195" s="693"/>
      <c r="D195" s="694"/>
      <c r="E195" s="694"/>
      <c r="F195" s="695"/>
      <c r="G195" s="675"/>
      <c r="H195" s="675"/>
      <c r="I195" s="675"/>
    </row>
    <row r="196" spans="1:9" ht="20.25" customHeight="1" x14ac:dyDescent="0.3">
      <c r="A196" s="681"/>
      <c r="B196" s="692"/>
      <c r="C196" s="687"/>
      <c r="D196" s="688"/>
      <c r="E196" s="688"/>
      <c r="F196" s="689"/>
      <c r="G196" s="675"/>
      <c r="H196" s="675"/>
      <c r="I196" s="675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458</v>
      </c>
      <c r="C198" s="243">
        <f t="shared" ref="C198:D206" si="28">+C183+C170+C157+C144+C131+C118+C105+C92+C79+C66+C53+C40+C27+C14</f>
        <v>6154088</v>
      </c>
      <c r="D198" s="243">
        <f t="shared" si="28"/>
        <v>6208188</v>
      </c>
      <c r="E198" s="243">
        <f t="shared" ref="E198:E208" si="29">D198-C198</f>
        <v>54100</v>
      </c>
      <c r="F198" s="251">
        <f t="shared" ref="F198:F208" si="30">IF(C198=0,0,E198/C198)</f>
        <v>8.790904517452465E-3</v>
      </c>
    </row>
    <row r="199" spans="1:9" ht="20.25" customHeight="1" x14ac:dyDescent="0.3">
      <c r="A199" s="249"/>
      <c r="B199" s="250" t="s">
        <v>459</v>
      </c>
      <c r="C199" s="243">
        <f t="shared" si="28"/>
        <v>2655859</v>
      </c>
      <c r="D199" s="243">
        <f t="shared" si="28"/>
        <v>2406391</v>
      </c>
      <c r="E199" s="243">
        <f t="shared" si="29"/>
        <v>-249468</v>
      </c>
      <c r="F199" s="251">
        <f t="shared" si="30"/>
        <v>-9.3931191377253087E-2</v>
      </c>
    </row>
    <row r="200" spans="1:9" ht="20.25" customHeight="1" x14ac:dyDescent="0.3">
      <c r="A200" s="249"/>
      <c r="B200" s="250" t="s">
        <v>460</v>
      </c>
      <c r="C200" s="243">
        <f t="shared" si="28"/>
        <v>4901017</v>
      </c>
      <c r="D200" s="243">
        <f t="shared" si="28"/>
        <v>6081373</v>
      </c>
      <c r="E200" s="243">
        <f t="shared" si="29"/>
        <v>1180356</v>
      </c>
      <c r="F200" s="251">
        <f t="shared" si="30"/>
        <v>0.24083899321304128</v>
      </c>
    </row>
    <row r="201" spans="1:9" ht="20.25" customHeight="1" x14ac:dyDescent="0.3">
      <c r="A201" s="249"/>
      <c r="B201" s="250" t="s">
        <v>461</v>
      </c>
      <c r="C201" s="243">
        <f t="shared" si="28"/>
        <v>1375498</v>
      </c>
      <c r="D201" s="243">
        <f t="shared" si="28"/>
        <v>1332022</v>
      </c>
      <c r="E201" s="243">
        <f t="shared" si="29"/>
        <v>-43476</v>
      </c>
      <c r="F201" s="251">
        <f t="shared" si="30"/>
        <v>-3.1607461443055533E-2</v>
      </c>
    </row>
    <row r="202" spans="1:9" ht="20.25" customHeight="1" x14ac:dyDescent="0.3">
      <c r="A202" s="249"/>
      <c r="B202" s="250" t="s">
        <v>462</v>
      </c>
      <c r="C202" s="252">
        <f t="shared" si="28"/>
        <v>266</v>
      </c>
      <c r="D202" s="252">
        <f t="shared" si="28"/>
        <v>264</v>
      </c>
      <c r="E202" s="252">
        <f t="shared" si="29"/>
        <v>-2</v>
      </c>
      <c r="F202" s="251">
        <f t="shared" si="30"/>
        <v>-7.5187969924812026E-3</v>
      </c>
    </row>
    <row r="203" spans="1:9" ht="20.25" customHeight="1" x14ac:dyDescent="0.3">
      <c r="A203" s="249"/>
      <c r="B203" s="250" t="s">
        <v>463</v>
      </c>
      <c r="C203" s="252">
        <f t="shared" si="28"/>
        <v>1312</v>
      </c>
      <c r="D203" s="252">
        <f t="shared" si="28"/>
        <v>1371</v>
      </c>
      <c r="E203" s="252">
        <f t="shared" si="29"/>
        <v>59</v>
      </c>
      <c r="F203" s="251">
        <f t="shared" si="30"/>
        <v>4.496951219512195E-2</v>
      </c>
    </row>
    <row r="204" spans="1:9" ht="39.950000000000003" customHeight="1" x14ac:dyDescent="0.3">
      <c r="A204" s="249"/>
      <c r="B204" s="250" t="s">
        <v>464</v>
      </c>
      <c r="C204" s="252">
        <f t="shared" si="28"/>
        <v>2569</v>
      </c>
      <c r="D204" s="252">
        <f t="shared" si="28"/>
        <v>2892</v>
      </c>
      <c r="E204" s="252">
        <f t="shared" si="29"/>
        <v>323</v>
      </c>
      <c r="F204" s="251">
        <f t="shared" si="30"/>
        <v>0.1257298559750876</v>
      </c>
    </row>
    <row r="205" spans="1:9" ht="39.950000000000003" customHeight="1" x14ac:dyDescent="0.3">
      <c r="A205" s="249"/>
      <c r="B205" s="250" t="s">
        <v>465</v>
      </c>
      <c r="C205" s="252">
        <f t="shared" si="28"/>
        <v>693</v>
      </c>
      <c r="D205" s="252">
        <f t="shared" si="28"/>
        <v>826</v>
      </c>
      <c r="E205" s="252">
        <f t="shared" si="29"/>
        <v>133</v>
      </c>
      <c r="F205" s="251">
        <f t="shared" si="30"/>
        <v>0.19191919191919191</v>
      </c>
    </row>
    <row r="206" spans="1:9" ht="39.950000000000003" customHeight="1" x14ac:dyDescent="0.3">
      <c r="A206" s="249"/>
      <c r="B206" s="250" t="s">
        <v>466</v>
      </c>
      <c r="C206" s="252">
        <f t="shared" si="28"/>
        <v>217</v>
      </c>
      <c r="D206" s="252">
        <f t="shared" si="28"/>
        <v>208</v>
      </c>
      <c r="E206" s="252">
        <f t="shared" si="29"/>
        <v>-9</v>
      </c>
      <c r="F206" s="251">
        <f t="shared" si="30"/>
        <v>-4.1474654377880185E-2</v>
      </c>
    </row>
    <row r="207" spans="1:9" ht="20.25" customHeight="1" x14ac:dyDescent="0.3">
      <c r="A207" s="249"/>
      <c r="B207" s="242" t="s">
        <v>467</v>
      </c>
      <c r="C207" s="243">
        <f>+C198+C200</f>
        <v>11055105</v>
      </c>
      <c r="D207" s="243">
        <f>+D198+D200</f>
        <v>12289561</v>
      </c>
      <c r="E207" s="243">
        <f t="shared" si="29"/>
        <v>1234456</v>
      </c>
      <c r="F207" s="251">
        <f t="shared" si="30"/>
        <v>0.11166388740767275</v>
      </c>
    </row>
    <row r="208" spans="1:9" ht="20.25" customHeight="1" x14ac:dyDescent="0.3">
      <c r="A208" s="249"/>
      <c r="B208" s="242" t="s">
        <v>468</v>
      </c>
      <c r="C208" s="243">
        <f>+C199+C201</f>
        <v>4031357</v>
      </c>
      <c r="D208" s="243">
        <f>+D199+D201</f>
        <v>3738413</v>
      </c>
      <c r="E208" s="243">
        <f t="shared" si="29"/>
        <v>-292944</v>
      </c>
      <c r="F208" s="251">
        <f t="shared" si="30"/>
        <v>-7.2666350313306413E-2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0" orientation="portrait" horizontalDpi="1200" verticalDpi="1200" r:id="rId1"/>
  <headerFooter>
    <oddHeader>&amp;LOFFICE OF HEALTH CARE ACCESS&amp;CTWELVE MONTHS ACTUAL FILING&amp;RROCKVILLE GENERAL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6" t="s">
        <v>0</v>
      </c>
      <c r="B2" s="676"/>
      <c r="C2" s="676"/>
      <c r="D2" s="676"/>
      <c r="E2" s="676"/>
      <c r="F2" s="676"/>
    </row>
    <row r="3" spans="1:7" ht="20.25" customHeight="1" x14ac:dyDescent="0.3">
      <c r="A3" s="676" t="s">
        <v>1</v>
      </c>
      <c r="B3" s="676"/>
      <c r="C3" s="676"/>
      <c r="D3" s="676"/>
      <c r="E3" s="676"/>
      <c r="F3" s="676"/>
    </row>
    <row r="4" spans="1:7" ht="20.25" customHeight="1" x14ac:dyDescent="0.3">
      <c r="A4" s="676" t="s">
        <v>2</v>
      </c>
      <c r="B4" s="676"/>
      <c r="C4" s="676"/>
      <c r="D4" s="676"/>
      <c r="E4" s="676"/>
      <c r="F4" s="676"/>
    </row>
    <row r="5" spans="1:7" ht="20.25" customHeight="1" x14ac:dyDescent="0.3">
      <c r="A5" s="676" t="s">
        <v>469</v>
      </c>
      <c r="B5" s="676"/>
      <c r="C5" s="676"/>
      <c r="D5" s="676"/>
      <c r="E5" s="676"/>
      <c r="F5" s="676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428</v>
      </c>
      <c r="D8" s="223" t="s">
        <v>429</v>
      </c>
      <c r="E8" s="223" t="s">
        <v>430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90" t="s">
        <v>12</v>
      </c>
      <c r="B10" s="691" t="s">
        <v>115</v>
      </c>
      <c r="C10" s="693"/>
      <c r="D10" s="694"/>
      <c r="E10" s="694"/>
      <c r="F10" s="695"/>
    </row>
    <row r="11" spans="1:7" ht="20.25" customHeight="1" x14ac:dyDescent="0.3">
      <c r="A11" s="681"/>
      <c r="B11" s="692"/>
      <c r="C11" s="687"/>
      <c r="D11" s="688"/>
      <c r="E11" s="688"/>
      <c r="F11" s="689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470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432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433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434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435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371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370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436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437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438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439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468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471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432</v>
      </c>
      <c r="C26" s="237">
        <v>1686541</v>
      </c>
      <c r="D26" s="237">
        <v>627855</v>
      </c>
      <c r="E26" s="237">
        <f t="shared" ref="E26:E36" si="2">D26-C26</f>
        <v>-1058686</v>
      </c>
      <c r="F26" s="238">
        <f t="shared" ref="F26:F36" si="3">IF(C26=0,0,E26/C26)</f>
        <v>-0.62772621596510259</v>
      </c>
    </row>
    <row r="27" spans="1:6" ht="20.25" customHeight="1" x14ac:dyDescent="0.3">
      <c r="A27" s="235">
        <v>2</v>
      </c>
      <c r="B27" s="236" t="s">
        <v>433</v>
      </c>
      <c r="C27" s="237">
        <v>493844</v>
      </c>
      <c r="D27" s="237">
        <v>214332</v>
      </c>
      <c r="E27" s="237">
        <f t="shared" si="2"/>
        <v>-279512</v>
      </c>
      <c r="F27" s="238">
        <f t="shared" si="3"/>
        <v>-0.5659924996557617</v>
      </c>
    </row>
    <row r="28" spans="1:6" ht="20.25" customHeight="1" x14ac:dyDescent="0.3">
      <c r="A28" s="235">
        <v>3</v>
      </c>
      <c r="B28" s="236" t="s">
        <v>434</v>
      </c>
      <c r="C28" s="237">
        <v>4981281</v>
      </c>
      <c r="D28" s="237">
        <v>5367723</v>
      </c>
      <c r="E28" s="237">
        <f t="shared" si="2"/>
        <v>386442</v>
      </c>
      <c r="F28" s="238">
        <f t="shared" si="3"/>
        <v>7.7578839659918811E-2</v>
      </c>
    </row>
    <row r="29" spans="1:6" ht="20.25" customHeight="1" x14ac:dyDescent="0.3">
      <c r="A29" s="235">
        <v>4</v>
      </c>
      <c r="B29" s="236" t="s">
        <v>435</v>
      </c>
      <c r="C29" s="237">
        <v>1439420</v>
      </c>
      <c r="D29" s="237">
        <v>1687264</v>
      </c>
      <c r="E29" s="237">
        <f t="shared" si="2"/>
        <v>247844</v>
      </c>
      <c r="F29" s="238">
        <f t="shared" si="3"/>
        <v>0.17218324047185671</v>
      </c>
    </row>
    <row r="30" spans="1:6" ht="20.25" customHeight="1" x14ac:dyDescent="0.3">
      <c r="A30" s="235">
        <v>5</v>
      </c>
      <c r="B30" s="236" t="s">
        <v>371</v>
      </c>
      <c r="C30" s="239">
        <v>213</v>
      </c>
      <c r="D30" s="239">
        <v>55</v>
      </c>
      <c r="E30" s="239">
        <f t="shared" si="2"/>
        <v>-158</v>
      </c>
      <c r="F30" s="238">
        <f t="shared" si="3"/>
        <v>-0.74178403755868549</v>
      </c>
    </row>
    <row r="31" spans="1:6" ht="20.25" customHeight="1" x14ac:dyDescent="0.3">
      <c r="A31" s="235">
        <v>6</v>
      </c>
      <c r="B31" s="236" t="s">
        <v>370</v>
      </c>
      <c r="C31" s="239">
        <v>558</v>
      </c>
      <c r="D31" s="239">
        <v>171</v>
      </c>
      <c r="E31" s="239">
        <f t="shared" si="2"/>
        <v>-387</v>
      </c>
      <c r="F31" s="238">
        <f t="shared" si="3"/>
        <v>-0.69354838709677424</v>
      </c>
    </row>
    <row r="32" spans="1:6" ht="20.25" customHeight="1" x14ac:dyDescent="0.3">
      <c r="A32" s="235">
        <v>7</v>
      </c>
      <c r="B32" s="236" t="s">
        <v>436</v>
      </c>
      <c r="C32" s="239">
        <v>2825</v>
      </c>
      <c r="D32" s="239">
        <v>2227</v>
      </c>
      <c r="E32" s="239">
        <f t="shared" si="2"/>
        <v>-598</v>
      </c>
      <c r="F32" s="238">
        <f t="shared" si="3"/>
        <v>-0.21168141592920353</v>
      </c>
    </row>
    <row r="33" spans="1:6" ht="20.25" customHeight="1" x14ac:dyDescent="0.3">
      <c r="A33" s="235">
        <v>8</v>
      </c>
      <c r="B33" s="236" t="s">
        <v>437</v>
      </c>
      <c r="C33" s="239">
        <v>2561</v>
      </c>
      <c r="D33" s="239">
        <v>2592</v>
      </c>
      <c r="E33" s="239">
        <f t="shared" si="2"/>
        <v>31</v>
      </c>
      <c r="F33" s="238">
        <f t="shared" si="3"/>
        <v>1.2104646622413119E-2</v>
      </c>
    </row>
    <row r="34" spans="1:6" ht="20.25" customHeight="1" x14ac:dyDescent="0.3">
      <c r="A34" s="235">
        <v>9</v>
      </c>
      <c r="B34" s="236" t="s">
        <v>438</v>
      </c>
      <c r="C34" s="239">
        <v>38</v>
      </c>
      <c r="D34" s="239">
        <v>26</v>
      </c>
      <c r="E34" s="239">
        <f t="shared" si="2"/>
        <v>-12</v>
      </c>
      <c r="F34" s="238">
        <f t="shared" si="3"/>
        <v>-0.31578947368421051</v>
      </c>
    </row>
    <row r="35" spans="1:6" s="240" customFormat="1" ht="39.950000000000003" customHeight="1" x14ac:dyDescent="0.3">
      <c r="A35" s="245"/>
      <c r="B35" s="242" t="s">
        <v>439</v>
      </c>
      <c r="C35" s="243">
        <f>+C26+C28</f>
        <v>6667822</v>
      </c>
      <c r="D35" s="243">
        <f>+D26+D28</f>
        <v>5995578</v>
      </c>
      <c r="E35" s="243">
        <f t="shared" si="2"/>
        <v>-672244</v>
      </c>
      <c r="F35" s="244">
        <f t="shared" si="3"/>
        <v>-0.10081912804510978</v>
      </c>
    </row>
    <row r="36" spans="1:6" s="240" customFormat="1" ht="39.950000000000003" customHeight="1" x14ac:dyDescent="0.3">
      <c r="A36" s="245"/>
      <c r="B36" s="242" t="s">
        <v>468</v>
      </c>
      <c r="C36" s="243">
        <f>+C27+C29</f>
        <v>1933264</v>
      </c>
      <c r="D36" s="243">
        <f>+D27+D29</f>
        <v>1901596</v>
      </c>
      <c r="E36" s="243">
        <f t="shared" si="2"/>
        <v>-31668</v>
      </c>
      <c r="F36" s="244">
        <f t="shared" si="3"/>
        <v>-1.6380587441756533E-2</v>
      </c>
    </row>
    <row r="37" spans="1:6" ht="42" customHeight="1" x14ac:dyDescent="0.3">
      <c r="A37" s="227" t="s">
        <v>141</v>
      </c>
      <c r="B37" s="261" t="s">
        <v>472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432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433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434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435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371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370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436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437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438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439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468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473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432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433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434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435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371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370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436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437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438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439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468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447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432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433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434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435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371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370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436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437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438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439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468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474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432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433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434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435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371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370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436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437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438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439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468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475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432</v>
      </c>
      <c r="C86" s="237">
        <v>430398</v>
      </c>
      <c r="D86" s="237">
        <v>237256</v>
      </c>
      <c r="E86" s="237">
        <f t="shared" ref="E86:E96" si="12">D86-C86</f>
        <v>-193142</v>
      </c>
      <c r="F86" s="238">
        <f t="shared" ref="F86:F96" si="13">IF(C86=0,0,E86/C86)</f>
        <v>-0.44875208527920668</v>
      </c>
    </row>
    <row r="87" spans="1:6" ht="20.25" customHeight="1" x14ac:dyDescent="0.3">
      <c r="A87" s="235">
        <v>2</v>
      </c>
      <c r="B87" s="236" t="s">
        <v>433</v>
      </c>
      <c r="C87" s="237">
        <v>209533</v>
      </c>
      <c r="D87" s="237">
        <v>61022</v>
      </c>
      <c r="E87" s="237">
        <f t="shared" si="12"/>
        <v>-148511</v>
      </c>
      <c r="F87" s="238">
        <f t="shared" si="13"/>
        <v>-0.70877141070857574</v>
      </c>
    </row>
    <row r="88" spans="1:6" ht="20.25" customHeight="1" x14ac:dyDescent="0.3">
      <c r="A88" s="235">
        <v>3</v>
      </c>
      <c r="B88" s="236" t="s">
        <v>434</v>
      </c>
      <c r="C88" s="237">
        <v>1571219</v>
      </c>
      <c r="D88" s="237">
        <v>1724425</v>
      </c>
      <c r="E88" s="237">
        <f t="shared" si="12"/>
        <v>153206</v>
      </c>
      <c r="F88" s="238">
        <f t="shared" si="13"/>
        <v>9.750773125834146E-2</v>
      </c>
    </row>
    <row r="89" spans="1:6" ht="20.25" customHeight="1" x14ac:dyDescent="0.3">
      <c r="A89" s="235">
        <v>4</v>
      </c>
      <c r="B89" s="236" t="s">
        <v>435</v>
      </c>
      <c r="C89" s="237">
        <v>426237</v>
      </c>
      <c r="D89" s="237">
        <v>449444</v>
      </c>
      <c r="E89" s="237">
        <f t="shared" si="12"/>
        <v>23207</v>
      </c>
      <c r="F89" s="238">
        <f t="shared" si="13"/>
        <v>5.4446235310402429E-2</v>
      </c>
    </row>
    <row r="90" spans="1:6" ht="20.25" customHeight="1" x14ac:dyDescent="0.3">
      <c r="A90" s="235">
        <v>5</v>
      </c>
      <c r="B90" s="236" t="s">
        <v>371</v>
      </c>
      <c r="C90" s="239">
        <v>72</v>
      </c>
      <c r="D90" s="239">
        <v>24</v>
      </c>
      <c r="E90" s="239">
        <f t="shared" si="12"/>
        <v>-48</v>
      </c>
      <c r="F90" s="238">
        <f t="shared" si="13"/>
        <v>-0.66666666666666663</v>
      </c>
    </row>
    <row r="91" spans="1:6" ht="20.25" customHeight="1" x14ac:dyDescent="0.3">
      <c r="A91" s="235">
        <v>6</v>
      </c>
      <c r="B91" s="236" t="s">
        <v>370</v>
      </c>
      <c r="C91" s="239">
        <v>168</v>
      </c>
      <c r="D91" s="239">
        <v>59</v>
      </c>
      <c r="E91" s="239">
        <f t="shared" si="12"/>
        <v>-109</v>
      </c>
      <c r="F91" s="238">
        <f t="shared" si="13"/>
        <v>-0.64880952380952384</v>
      </c>
    </row>
    <row r="92" spans="1:6" ht="20.25" customHeight="1" x14ac:dyDescent="0.3">
      <c r="A92" s="235">
        <v>7</v>
      </c>
      <c r="B92" s="236" t="s">
        <v>436</v>
      </c>
      <c r="C92" s="239">
        <v>843</v>
      </c>
      <c r="D92" s="239">
        <v>680</v>
      </c>
      <c r="E92" s="239">
        <f t="shared" si="12"/>
        <v>-163</v>
      </c>
      <c r="F92" s="238">
        <f t="shared" si="13"/>
        <v>-0.19335705812574139</v>
      </c>
    </row>
    <row r="93" spans="1:6" ht="20.25" customHeight="1" x14ac:dyDescent="0.3">
      <c r="A93" s="235">
        <v>8</v>
      </c>
      <c r="B93" s="236" t="s">
        <v>437</v>
      </c>
      <c r="C93" s="239">
        <v>789</v>
      </c>
      <c r="D93" s="239">
        <v>821</v>
      </c>
      <c r="E93" s="239">
        <f t="shared" si="12"/>
        <v>32</v>
      </c>
      <c r="F93" s="238">
        <f t="shared" si="13"/>
        <v>4.0557667934093787E-2</v>
      </c>
    </row>
    <row r="94" spans="1:6" ht="20.25" customHeight="1" x14ac:dyDescent="0.3">
      <c r="A94" s="235">
        <v>9</v>
      </c>
      <c r="B94" s="236" t="s">
        <v>438</v>
      </c>
      <c r="C94" s="239">
        <v>5</v>
      </c>
      <c r="D94" s="239">
        <v>9</v>
      </c>
      <c r="E94" s="239">
        <f t="shared" si="12"/>
        <v>4</v>
      </c>
      <c r="F94" s="238">
        <f t="shared" si="13"/>
        <v>0.8</v>
      </c>
    </row>
    <row r="95" spans="1:6" s="240" customFormat="1" ht="39.950000000000003" customHeight="1" x14ac:dyDescent="0.3">
      <c r="A95" s="245"/>
      <c r="B95" s="242" t="s">
        <v>439</v>
      </c>
      <c r="C95" s="243">
        <f>+C86+C88</f>
        <v>2001617</v>
      </c>
      <c r="D95" s="243">
        <f>+D86+D88</f>
        <v>1961681</v>
      </c>
      <c r="E95" s="243">
        <f t="shared" si="12"/>
        <v>-39936</v>
      </c>
      <c r="F95" s="244">
        <f t="shared" si="13"/>
        <v>-1.9951868913983043E-2</v>
      </c>
    </row>
    <row r="96" spans="1:6" s="240" customFormat="1" ht="39.950000000000003" customHeight="1" x14ac:dyDescent="0.3">
      <c r="A96" s="245"/>
      <c r="B96" s="242" t="s">
        <v>468</v>
      </c>
      <c r="C96" s="243">
        <f>+C87+C89</f>
        <v>635770</v>
      </c>
      <c r="D96" s="243">
        <f>+D87+D89</f>
        <v>510466</v>
      </c>
      <c r="E96" s="243">
        <f t="shared" si="12"/>
        <v>-125304</v>
      </c>
      <c r="F96" s="244">
        <f t="shared" si="13"/>
        <v>-0.19709014266165437</v>
      </c>
    </row>
    <row r="97" spans="1:7" ht="42" customHeight="1" x14ac:dyDescent="0.3">
      <c r="A97" s="227" t="s">
        <v>187</v>
      </c>
      <c r="B97" s="261" t="s">
        <v>448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432</v>
      </c>
      <c r="C98" s="237">
        <v>1286641</v>
      </c>
      <c r="D98" s="237">
        <v>420544</v>
      </c>
      <c r="E98" s="237">
        <f t="shared" ref="E98:E108" si="14">D98-C98</f>
        <v>-866097</v>
      </c>
      <c r="F98" s="238">
        <f t="shared" ref="F98:F108" si="15">IF(C98=0,0,E98/C98)</f>
        <v>-0.67314581145789698</v>
      </c>
    </row>
    <row r="99" spans="1:7" ht="20.25" customHeight="1" x14ac:dyDescent="0.3">
      <c r="A99" s="235">
        <v>2</v>
      </c>
      <c r="B99" s="236" t="s">
        <v>433</v>
      </c>
      <c r="C99" s="237">
        <v>562427</v>
      </c>
      <c r="D99" s="237">
        <v>105355</v>
      </c>
      <c r="E99" s="237">
        <f t="shared" si="14"/>
        <v>-457072</v>
      </c>
      <c r="F99" s="238">
        <f t="shared" si="15"/>
        <v>-0.81267791197791006</v>
      </c>
    </row>
    <row r="100" spans="1:7" ht="20.25" customHeight="1" x14ac:dyDescent="0.3">
      <c r="A100" s="235">
        <v>3</v>
      </c>
      <c r="B100" s="236" t="s">
        <v>434</v>
      </c>
      <c r="C100" s="237">
        <v>3434312</v>
      </c>
      <c r="D100" s="237">
        <v>3441012</v>
      </c>
      <c r="E100" s="237">
        <f t="shared" si="14"/>
        <v>6700</v>
      </c>
      <c r="F100" s="238">
        <f t="shared" si="15"/>
        <v>1.9509002094160344E-3</v>
      </c>
    </row>
    <row r="101" spans="1:7" ht="20.25" customHeight="1" x14ac:dyDescent="0.3">
      <c r="A101" s="235">
        <v>4</v>
      </c>
      <c r="B101" s="236" t="s">
        <v>435</v>
      </c>
      <c r="C101" s="237">
        <v>651358</v>
      </c>
      <c r="D101" s="237">
        <v>868033</v>
      </c>
      <c r="E101" s="237">
        <f t="shared" si="14"/>
        <v>216675</v>
      </c>
      <c r="F101" s="238">
        <f t="shared" si="15"/>
        <v>0.3326511687888995</v>
      </c>
    </row>
    <row r="102" spans="1:7" ht="20.25" customHeight="1" x14ac:dyDescent="0.3">
      <c r="A102" s="235">
        <v>5</v>
      </c>
      <c r="B102" s="236" t="s">
        <v>371</v>
      </c>
      <c r="C102" s="239">
        <v>136</v>
      </c>
      <c r="D102" s="239">
        <v>41</v>
      </c>
      <c r="E102" s="239">
        <f t="shared" si="14"/>
        <v>-95</v>
      </c>
      <c r="F102" s="238">
        <f t="shared" si="15"/>
        <v>-0.69852941176470584</v>
      </c>
    </row>
    <row r="103" spans="1:7" ht="20.25" customHeight="1" x14ac:dyDescent="0.3">
      <c r="A103" s="235">
        <v>6</v>
      </c>
      <c r="B103" s="236" t="s">
        <v>370</v>
      </c>
      <c r="C103" s="239">
        <v>402</v>
      </c>
      <c r="D103" s="239">
        <v>107</v>
      </c>
      <c r="E103" s="239">
        <f t="shared" si="14"/>
        <v>-295</v>
      </c>
      <c r="F103" s="238">
        <f t="shared" si="15"/>
        <v>-0.73383084577114432</v>
      </c>
    </row>
    <row r="104" spans="1:7" ht="20.25" customHeight="1" x14ac:dyDescent="0.3">
      <c r="A104" s="235">
        <v>7</v>
      </c>
      <c r="B104" s="236" t="s">
        <v>436</v>
      </c>
      <c r="C104" s="239">
        <v>1889</v>
      </c>
      <c r="D104" s="239">
        <v>1572</v>
      </c>
      <c r="E104" s="239">
        <f t="shared" si="14"/>
        <v>-317</v>
      </c>
      <c r="F104" s="238">
        <f t="shared" si="15"/>
        <v>-0.16781365802011647</v>
      </c>
    </row>
    <row r="105" spans="1:7" ht="20.25" customHeight="1" x14ac:dyDescent="0.3">
      <c r="A105" s="235">
        <v>8</v>
      </c>
      <c r="B105" s="236" t="s">
        <v>437</v>
      </c>
      <c r="C105" s="239">
        <v>1629</v>
      </c>
      <c r="D105" s="239">
        <v>1583</v>
      </c>
      <c r="E105" s="239">
        <f t="shared" si="14"/>
        <v>-46</v>
      </c>
      <c r="F105" s="238">
        <f t="shared" si="15"/>
        <v>-2.8238182934315532E-2</v>
      </c>
    </row>
    <row r="106" spans="1:7" ht="20.25" customHeight="1" x14ac:dyDescent="0.3">
      <c r="A106" s="235">
        <v>9</v>
      </c>
      <c r="B106" s="236" t="s">
        <v>438</v>
      </c>
      <c r="C106" s="239">
        <v>20</v>
      </c>
      <c r="D106" s="239">
        <v>14</v>
      </c>
      <c r="E106" s="239">
        <f t="shared" si="14"/>
        <v>-6</v>
      </c>
      <c r="F106" s="238">
        <f t="shared" si="15"/>
        <v>-0.3</v>
      </c>
    </row>
    <row r="107" spans="1:7" s="240" customFormat="1" ht="39.950000000000003" customHeight="1" x14ac:dyDescent="0.3">
      <c r="A107" s="245"/>
      <c r="B107" s="242" t="s">
        <v>439</v>
      </c>
      <c r="C107" s="243">
        <f>+C98+C100</f>
        <v>4720953</v>
      </c>
      <c r="D107" s="243">
        <f>+D98+D100</f>
        <v>3861556</v>
      </c>
      <c r="E107" s="243">
        <f t="shared" si="14"/>
        <v>-859397</v>
      </c>
      <c r="F107" s="244">
        <f t="shared" si="15"/>
        <v>-0.18203888070904328</v>
      </c>
    </row>
    <row r="108" spans="1:7" s="240" customFormat="1" ht="39.950000000000003" customHeight="1" x14ac:dyDescent="0.3">
      <c r="A108" s="245"/>
      <c r="B108" s="242" t="s">
        <v>468</v>
      </c>
      <c r="C108" s="243">
        <f>+C99+C101</f>
        <v>1213785</v>
      </c>
      <c r="D108" s="243">
        <f>+D99+D101</f>
        <v>973388</v>
      </c>
      <c r="E108" s="243">
        <f t="shared" si="14"/>
        <v>-240397</v>
      </c>
      <c r="F108" s="244">
        <f t="shared" si="15"/>
        <v>-0.19805566883756184</v>
      </c>
    </row>
    <row r="109" spans="1:7" s="240" customFormat="1" ht="20.25" customHeight="1" x14ac:dyDescent="0.3">
      <c r="A109" s="690" t="s">
        <v>44</v>
      </c>
      <c r="B109" s="691" t="s">
        <v>476</v>
      </c>
      <c r="C109" s="693"/>
      <c r="D109" s="694"/>
      <c r="E109" s="694"/>
      <c r="F109" s="695"/>
      <c r="G109" s="212"/>
    </row>
    <row r="110" spans="1:7" ht="20.25" customHeight="1" x14ac:dyDescent="0.3">
      <c r="A110" s="681"/>
      <c r="B110" s="692"/>
      <c r="C110" s="687"/>
      <c r="D110" s="688"/>
      <c r="E110" s="688"/>
      <c r="F110" s="689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458</v>
      </c>
      <c r="C112" s="243">
        <f t="shared" ref="C112:D120" si="16">+C98+C86+C74+C62+C50+C38+C26+C14</f>
        <v>3403580</v>
      </c>
      <c r="D112" s="243">
        <f t="shared" si="16"/>
        <v>1285655</v>
      </c>
      <c r="E112" s="243">
        <f t="shared" ref="E112:E122" si="17">D112-C112</f>
        <v>-2117925</v>
      </c>
      <c r="F112" s="244">
        <f t="shared" ref="F112:F122" si="18">IF(C112=0,0,E112/C112)</f>
        <v>-0.62226391035321627</v>
      </c>
    </row>
    <row r="113" spans="1:6" ht="20.25" customHeight="1" x14ac:dyDescent="0.3">
      <c r="A113" s="249"/>
      <c r="B113" s="250" t="s">
        <v>459</v>
      </c>
      <c r="C113" s="243">
        <f t="shared" si="16"/>
        <v>1265804</v>
      </c>
      <c r="D113" s="243">
        <f t="shared" si="16"/>
        <v>380709</v>
      </c>
      <c r="E113" s="243">
        <f t="shared" si="17"/>
        <v>-885095</v>
      </c>
      <c r="F113" s="244">
        <f t="shared" si="18"/>
        <v>-0.69923542665373151</v>
      </c>
    </row>
    <row r="114" spans="1:6" ht="20.25" customHeight="1" x14ac:dyDescent="0.3">
      <c r="A114" s="249"/>
      <c r="B114" s="250" t="s">
        <v>460</v>
      </c>
      <c r="C114" s="243">
        <f t="shared" si="16"/>
        <v>9986812</v>
      </c>
      <c r="D114" s="243">
        <f t="shared" si="16"/>
        <v>10533160</v>
      </c>
      <c r="E114" s="243">
        <f t="shared" si="17"/>
        <v>546348</v>
      </c>
      <c r="F114" s="244">
        <f t="shared" si="18"/>
        <v>5.4706947522392531E-2</v>
      </c>
    </row>
    <row r="115" spans="1:6" ht="20.25" customHeight="1" x14ac:dyDescent="0.3">
      <c r="A115" s="249"/>
      <c r="B115" s="250" t="s">
        <v>461</v>
      </c>
      <c r="C115" s="243">
        <f t="shared" si="16"/>
        <v>2517015</v>
      </c>
      <c r="D115" s="243">
        <f t="shared" si="16"/>
        <v>3004741</v>
      </c>
      <c r="E115" s="243">
        <f t="shared" si="17"/>
        <v>487726</v>
      </c>
      <c r="F115" s="244">
        <f t="shared" si="18"/>
        <v>0.19377159055468482</v>
      </c>
    </row>
    <row r="116" spans="1:6" ht="20.25" customHeight="1" x14ac:dyDescent="0.3">
      <c r="A116" s="249"/>
      <c r="B116" s="250" t="s">
        <v>462</v>
      </c>
      <c r="C116" s="252">
        <f t="shared" si="16"/>
        <v>421</v>
      </c>
      <c r="D116" s="252">
        <f t="shared" si="16"/>
        <v>120</v>
      </c>
      <c r="E116" s="252">
        <f t="shared" si="17"/>
        <v>-301</v>
      </c>
      <c r="F116" s="244">
        <f t="shared" si="18"/>
        <v>-0.71496437054631834</v>
      </c>
    </row>
    <row r="117" spans="1:6" ht="20.25" customHeight="1" x14ac:dyDescent="0.3">
      <c r="A117" s="249"/>
      <c r="B117" s="250" t="s">
        <v>463</v>
      </c>
      <c r="C117" s="252">
        <f t="shared" si="16"/>
        <v>1128</v>
      </c>
      <c r="D117" s="252">
        <f t="shared" si="16"/>
        <v>337</v>
      </c>
      <c r="E117" s="252">
        <f t="shared" si="17"/>
        <v>-791</v>
      </c>
      <c r="F117" s="244">
        <f t="shared" si="18"/>
        <v>-0.70124113475177308</v>
      </c>
    </row>
    <row r="118" spans="1:6" ht="39.950000000000003" customHeight="1" x14ac:dyDescent="0.3">
      <c r="A118" s="249"/>
      <c r="B118" s="250" t="s">
        <v>464</v>
      </c>
      <c r="C118" s="252">
        <f t="shared" si="16"/>
        <v>5557</v>
      </c>
      <c r="D118" s="252">
        <f t="shared" si="16"/>
        <v>4479</v>
      </c>
      <c r="E118" s="252">
        <f t="shared" si="17"/>
        <v>-1078</v>
      </c>
      <c r="F118" s="244">
        <f t="shared" si="18"/>
        <v>-0.19398956271369444</v>
      </c>
    </row>
    <row r="119" spans="1:6" ht="39.950000000000003" customHeight="1" x14ac:dyDescent="0.3">
      <c r="A119" s="249"/>
      <c r="B119" s="250" t="s">
        <v>465</v>
      </c>
      <c r="C119" s="252">
        <f t="shared" si="16"/>
        <v>4979</v>
      </c>
      <c r="D119" s="252">
        <f t="shared" si="16"/>
        <v>4996</v>
      </c>
      <c r="E119" s="252">
        <f t="shared" si="17"/>
        <v>17</v>
      </c>
      <c r="F119" s="244">
        <f t="shared" si="18"/>
        <v>3.4143402289616388E-3</v>
      </c>
    </row>
    <row r="120" spans="1:6" ht="39.950000000000003" customHeight="1" x14ac:dyDescent="0.3">
      <c r="A120" s="249"/>
      <c r="B120" s="250" t="s">
        <v>466</v>
      </c>
      <c r="C120" s="252">
        <f t="shared" si="16"/>
        <v>63</v>
      </c>
      <c r="D120" s="252">
        <f t="shared" si="16"/>
        <v>49</v>
      </c>
      <c r="E120" s="252">
        <f t="shared" si="17"/>
        <v>-14</v>
      </c>
      <c r="F120" s="244">
        <f t="shared" si="18"/>
        <v>-0.22222222222222221</v>
      </c>
    </row>
    <row r="121" spans="1:6" ht="39.950000000000003" customHeight="1" x14ac:dyDescent="0.3">
      <c r="A121" s="249"/>
      <c r="B121" s="242" t="s">
        <v>439</v>
      </c>
      <c r="C121" s="243">
        <f>+C112+C114</f>
        <v>13390392</v>
      </c>
      <c r="D121" s="243">
        <f>+D112+D114</f>
        <v>11818815</v>
      </c>
      <c r="E121" s="243">
        <f t="shared" si="17"/>
        <v>-1571577</v>
      </c>
      <c r="F121" s="244">
        <f t="shared" si="18"/>
        <v>-0.11736601885889525</v>
      </c>
    </row>
    <row r="122" spans="1:6" ht="39.950000000000003" customHeight="1" x14ac:dyDescent="0.3">
      <c r="A122" s="249"/>
      <c r="B122" s="242" t="s">
        <v>468</v>
      </c>
      <c r="C122" s="243">
        <f>+C113+C115</f>
        <v>3782819</v>
      </c>
      <c r="D122" s="243">
        <f>+D113+D115</f>
        <v>3385450</v>
      </c>
      <c r="E122" s="243">
        <f t="shared" si="17"/>
        <v>-397369</v>
      </c>
      <c r="F122" s="244">
        <f t="shared" si="18"/>
        <v>-0.10504573441129486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2" fitToHeight="0" orientation="portrait" horizontalDpi="1200" verticalDpi="1200" r:id="rId1"/>
  <headerFooter>
    <oddHeader>&amp;LOFFICE OF HEALTH CARE ACCESS&amp;CTWELVE MONTHS ACTUAL FILING&amp;RROCKVILLE GENERAL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477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478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19538406</v>
      </c>
      <c r="D13" s="23">
        <v>20991180</v>
      </c>
      <c r="E13" s="23">
        <f t="shared" ref="E13:E22" si="0">D13-C13</f>
        <v>1452774</v>
      </c>
      <c r="F13" s="24">
        <f t="shared" ref="F13:F22" si="1">IF(C13=0,0,E13/C13)</f>
        <v>7.4354786158092934E-2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39411447</v>
      </c>
      <c r="D15" s="23">
        <v>39643428</v>
      </c>
      <c r="E15" s="23">
        <f t="shared" si="0"/>
        <v>231981</v>
      </c>
      <c r="F15" s="24">
        <f t="shared" si="1"/>
        <v>5.8861325238832264E-3</v>
      </c>
    </row>
    <row r="16" spans="1:8" ht="35.1" customHeight="1" x14ac:dyDescent="0.2">
      <c r="A16" s="21">
        <v>4</v>
      </c>
      <c r="B16" s="22" t="s">
        <v>19</v>
      </c>
      <c r="C16" s="23">
        <v>1170661</v>
      </c>
      <c r="D16" s="23">
        <v>1504988</v>
      </c>
      <c r="E16" s="23">
        <f t="shared" si="0"/>
        <v>334327</v>
      </c>
      <c r="F16" s="24">
        <f t="shared" si="1"/>
        <v>0.28558822750565704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721274</v>
      </c>
      <c r="D18" s="23">
        <v>432832</v>
      </c>
      <c r="E18" s="23">
        <f t="shared" si="0"/>
        <v>-288442</v>
      </c>
      <c r="F18" s="24">
        <f t="shared" si="1"/>
        <v>-0.39990627694884329</v>
      </c>
    </row>
    <row r="19" spans="1:11" ht="24" customHeight="1" x14ac:dyDescent="0.2">
      <c r="A19" s="21">
        <v>7</v>
      </c>
      <c r="B19" s="22" t="s">
        <v>22</v>
      </c>
      <c r="C19" s="23">
        <v>4115275</v>
      </c>
      <c r="D19" s="23">
        <v>4228568</v>
      </c>
      <c r="E19" s="23">
        <f t="shared" si="0"/>
        <v>113293</v>
      </c>
      <c r="F19" s="24">
        <f t="shared" si="1"/>
        <v>2.7529873459246346E-2</v>
      </c>
    </row>
    <row r="20" spans="1:11" ht="24" customHeight="1" x14ac:dyDescent="0.2">
      <c r="A20" s="21">
        <v>8</v>
      </c>
      <c r="B20" s="22" t="s">
        <v>23</v>
      </c>
      <c r="C20" s="23">
        <v>4951462</v>
      </c>
      <c r="D20" s="23">
        <v>4345929</v>
      </c>
      <c r="E20" s="23">
        <f t="shared" si="0"/>
        <v>-605533</v>
      </c>
      <c r="F20" s="24">
        <f t="shared" si="1"/>
        <v>-0.12229377908989304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69908525</v>
      </c>
      <c r="D22" s="27">
        <f>SUM(D13:D21)</f>
        <v>71146925</v>
      </c>
      <c r="E22" s="27">
        <f t="shared" si="0"/>
        <v>1238400</v>
      </c>
      <c r="F22" s="28">
        <f t="shared" si="1"/>
        <v>1.7714577728538829E-2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7003197</v>
      </c>
      <c r="D25" s="23">
        <v>6688165</v>
      </c>
      <c r="E25" s="23">
        <f>D25-C25</f>
        <v>-315032</v>
      </c>
      <c r="F25" s="24">
        <f>IF(C25=0,0,E25/C25)</f>
        <v>-4.4984026581002937E-2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4944754</v>
      </c>
      <c r="D26" s="23">
        <v>5900811</v>
      </c>
      <c r="E26" s="23">
        <f>D26-C26</f>
        <v>956057</v>
      </c>
      <c r="F26" s="24">
        <f>IF(C26=0,0,E26/C26)</f>
        <v>0.19334773782477349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11193777</v>
      </c>
      <c r="D27" s="23">
        <v>8891170</v>
      </c>
      <c r="E27" s="23">
        <f>D27-C27</f>
        <v>-2302607</v>
      </c>
      <c r="F27" s="24">
        <f>IF(C27=0,0,E27/C27)</f>
        <v>-0.20570420511325177</v>
      </c>
    </row>
    <row r="28" spans="1:11" ht="35.1" customHeight="1" x14ac:dyDescent="0.2">
      <c r="A28" s="21">
        <v>4</v>
      </c>
      <c r="B28" s="22" t="s">
        <v>31</v>
      </c>
      <c r="C28" s="23">
        <v>26462596</v>
      </c>
      <c r="D28" s="23">
        <v>25643372</v>
      </c>
      <c r="E28" s="23">
        <f>D28-C28</f>
        <v>-819224</v>
      </c>
      <c r="F28" s="24">
        <f>IF(C28=0,0,E28/C28)</f>
        <v>-3.0957809279180321E-2</v>
      </c>
    </row>
    <row r="29" spans="1:11" ht="35.1" customHeight="1" x14ac:dyDescent="0.25">
      <c r="A29" s="25"/>
      <c r="B29" s="26" t="s">
        <v>32</v>
      </c>
      <c r="C29" s="27">
        <f>SUM(C25:C28)</f>
        <v>49604324</v>
      </c>
      <c r="D29" s="27">
        <f>SUM(D25:D28)</f>
        <v>47123518</v>
      </c>
      <c r="E29" s="27">
        <f>D29-C29</f>
        <v>-2480806</v>
      </c>
      <c r="F29" s="28">
        <f>IF(C29=0,0,E29/C29)</f>
        <v>-5.0011890092484676E-2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34840136</v>
      </c>
      <c r="D32" s="23">
        <v>33914265</v>
      </c>
      <c r="E32" s="23">
        <f>D32-C32</f>
        <v>-925871</v>
      </c>
      <c r="F32" s="24">
        <f>IF(C32=0,0,E32/C32)</f>
        <v>-2.6574838858263929E-2</v>
      </c>
    </row>
    <row r="33" spans="1:8" ht="24" customHeight="1" x14ac:dyDescent="0.2">
      <c r="A33" s="21">
        <v>7</v>
      </c>
      <c r="B33" s="22" t="s">
        <v>35</v>
      </c>
      <c r="C33" s="23">
        <v>11623875</v>
      </c>
      <c r="D33" s="23">
        <v>13915384</v>
      </c>
      <c r="E33" s="23">
        <f>D33-C33</f>
        <v>2291509</v>
      </c>
      <c r="F33" s="24">
        <f>IF(C33=0,0,E33/C33)</f>
        <v>0.19713813164714866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290908003</v>
      </c>
      <c r="D36" s="23">
        <v>298818948</v>
      </c>
      <c r="E36" s="23">
        <f>D36-C36</f>
        <v>7910945</v>
      </c>
      <c r="F36" s="24">
        <f>IF(C36=0,0,E36/C36)</f>
        <v>2.7193975134468886E-2</v>
      </c>
    </row>
    <row r="37" spans="1:8" ht="24" customHeight="1" x14ac:dyDescent="0.2">
      <c r="A37" s="21">
        <v>2</v>
      </c>
      <c r="B37" s="22" t="s">
        <v>39</v>
      </c>
      <c r="C37" s="23">
        <v>194035440</v>
      </c>
      <c r="D37" s="23">
        <v>205118802</v>
      </c>
      <c r="E37" s="23">
        <f>D37-C37</f>
        <v>11083362</v>
      </c>
      <c r="F37" s="23">
        <f>IF(C37=0,0,E37/C37)</f>
        <v>5.7120297199315752E-2</v>
      </c>
    </row>
    <row r="38" spans="1:8" ht="24" customHeight="1" x14ac:dyDescent="0.25">
      <c r="A38" s="25"/>
      <c r="B38" s="26" t="s">
        <v>40</v>
      </c>
      <c r="C38" s="27">
        <f>C36-C37</f>
        <v>96872563</v>
      </c>
      <c r="D38" s="27">
        <f>D36-D37</f>
        <v>93700146</v>
      </c>
      <c r="E38" s="27">
        <f>D38-C38</f>
        <v>-3172417</v>
      </c>
      <c r="F38" s="28">
        <f>IF(C38=0,0,E38/C38)</f>
        <v>-3.2748354144403094E-2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487299</v>
      </c>
      <c r="D40" s="23">
        <v>2489451</v>
      </c>
      <c r="E40" s="23">
        <f>D40-C40</f>
        <v>2002152</v>
      </c>
      <c r="F40" s="24">
        <f>IF(C40=0,0,E40/C40)</f>
        <v>4.1086724988148964</v>
      </c>
    </row>
    <row r="41" spans="1:8" ht="24" customHeight="1" x14ac:dyDescent="0.25">
      <c r="A41" s="25"/>
      <c r="B41" s="26" t="s">
        <v>42</v>
      </c>
      <c r="C41" s="27">
        <f>+C38+C40</f>
        <v>97359862</v>
      </c>
      <c r="D41" s="27">
        <f>+D38+D40</f>
        <v>96189597</v>
      </c>
      <c r="E41" s="27">
        <f>D41-C41</f>
        <v>-1170265</v>
      </c>
      <c r="F41" s="28">
        <f>IF(C41=0,0,E41/C41)</f>
        <v>-1.2019994440830246E-2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263336722</v>
      </c>
      <c r="D43" s="27">
        <f>D22+D29+D31+D32+D33+D41</f>
        <v>262289689</v>
      </c>
      <c r="E43" s="27">
        <f>D43-C43</f>
        <v>-1047033</v>
      </c>
      <c r="F43" s="28">
        <f>IF(C43=0,0,E43/C43)</f>
        <v>-3.9760235186644425E-3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22292837</v>
      </c>
      <c r="D49" s="23">
        <v>20356213</v>
      </c>
      <c r="E49" s="23">
        <f t="shared" ref="E49:E56" si="2">D49-C49</f>
        <v>-1936624</v>
      </c>
      <c r="F49" s="24">
        <f t="shared" ref="F49:F56" si="3">IF(C49=0,0,E49/C49)</f>
        <v>-8.687202979145274E-2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3978870</v>
      </c>
      <c r="D50" s="23">
        <v>3261932</v>
      </c>
      <c r="E50" s="23">
        <f t="shared" si="2"/>
        <v>-716938</v>
      </c>
      <c r="F50" s="24">
        <f t="shared" si="3"/>
        <v>-0.18018633431099784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423893</v>
      </c>
      <c r="D51" s="23">
        <v>2104534</v>
      </c>
      <c r="E51" s="23">
        <f t="shared" si="2"/>
        <v>1680641</v>
      </c>
      <c r="F51" s="24">
        <f t="shared" si="3"/>
        <v>3.9647764884062724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9778518</v>
      </c>
      <c r="D53" s="23">
        <v>10595265</v>
      </c>
      <c r="E53" s="23">
        <f t="shared" si="2"/>
        <v>816747</v>
      </c>
      <c r="F53" s="24">
        <f t="shared" si="3"/>
        <v>8.3524619988427695E-2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2216000</v>
      </c>
      <c r="D54" s="23">
        <v>3329824</v>
      </c>
      <c r="E54" s="23">
        <f t="shared" si="2"/>
        <v>1113824</v>
      </c>
      <c r="F54" s="24">
        <f t="shared" si="3"/>
        <v>0.5026281588447653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11650449</v>
      </c>
      <c r="D55" s="23">
        <v>17030017</v>
      </c>
      <c r="E55" s="23">
        <f t="shared" si="2"/>
        <v>5379568</v>
      </c>
      <c r="F55" s="24">
        <f t="shared" si="3"/>
        <v>0.46174769744925709</v>
      </c>
    </row>
    <row r="56" spans="1:6" ht="24" customHeight="1" x14ac:dyDescent="0.25">
      <c r="A56" s="25"/>
      <c r="B56" s="26" t="s">
        <v>54</v>
      </c>
      <c r="C56" s="27">
        <f>SUM(C49:C55)</f>
        <v>50340567</v>
      </c>
      <c r="D56" s="27">
        <f>SUM(D49:D55)</f>
        <v>56677785</v>
      </c>
      <c r="E56" s="27">
        <f t="shared" si="2"/>
        <v>6337218</v>
      </c>
      <c r="F56" s="28">
        <f t="shared" si="3"/>
        <v>0.12588690151225354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77603579</v>
      </c>
      <c r="D59" s="23">
        <v>78175743</v>
      </c>
      <c r="E59" s="23">
        <f>D59-C59</f>
        <v>572164</v>
      </c>
      <c r="F59" s="24">
        <f>IF(C59=0,0,E59/C59)</f>
        <v>7.3729073758312096E-3</v>
      </c>
    </row>
    <row r="60" spans="1:6" ht="24" customHeight="1" x14ac:dyDescent="0.2">
      <c r="A60" s="21">
        <v>2</v>
      </c>
      <c r="B60" s="22" t="s">
        <v>57</v>
      </c>
      <c r="C60" s="23">
        <v>4129503</v>
      </c>
      <c r="D60" s="23">
        <v>8459422</v>
      </c>
      <c r="E60" s="23">
        <f>D60-C60</f>
        <v>4329919</v>
      </c>
      <c r="F60" s="24">
        <f>IF(C60=0,0,E60/C60)</f>
        <v>1.0485327168911125</v>
      </c>
    </row>
    <row r="61" spans="1:6" ht="24" customHeight="1" x14ac:dyDescent="0.25">
      <c r="A61" s="25"/>
      <c r="B61" s="26" t="s">
        <v>58</v>
      </c>
      <c r="C61" s="27">
        <f>SUM(C59:C60)</f>
        <v>81733082</v>
      </c>
      <c r="D61" s="27">
        <f>SUM(D59:D60)</f>
        <v>86635165</v>
      </c>
      <c r="E61" s="27">
        <f>D61-C61</f>
        <v>4902083</v>
      </c>
      <c r="F61" s="28">
        <f>IF(C61=0,0,E61/C61)</f>
        <v>5.9976730107889481E-2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51990994</v>
      </c>
      <c r="D63" s="23">
        <v>56772305</v>
      </c>
      <c r="E63" s="23">
        <f>D63-C63</f>
        <v>4781311</v>
      </c>
      <c r="F63" s="24">
        <f>IF(C63=0,0,E63/C63)</f>
        <v>9.1964215956325049E-2</v>
      </c>
    </row>
    <row r="64" spans="1:6" ht="24" customHeight="1" x14ac:dyDescent="0.2">
      <c r="A64" s="21">
        <v>4</v>
      </c>
      <c r="B64" s="22" t="s">
        <v>60</v>
      </c>
      <c r="C64" s="23">
        <v>7795597</v>
      </c>
      <c r="D64" s="23">
        <v>7042777</v>
      </c>
      <c r="E64" s="23">
        <f>D64-C64</f>
        <v>-752820</v>
      </c>
      <c r="F64" s="24">
        <f>IF(C64=0,0,E64/C64)</f>
        <v>-9.6569897084213055E-2</v>
      </c>
    </row>
    <row r="65" spans="1:6" ht="24" customHeight="1" x14ac:dyDescent="0.25">
      <c r="A65" s="25"/>
      <c r="B65" s="26" t="s">
        <v>61</v>
      </c>
      <c r="C65" s="27">
        <f>SUM(C61:C64)</f>
        <v>141519673</v>
      </c>
      <c r="D65" s="27">
        <f>SUM(D61:D64)</f>
        <v>150450247</v>
      </c>
      <c r="E65" s="27">
        <f>D65-C65</f>
        <v>8930574</v>
      </c>
      <c r="F65" s="28">
        <f>IF(C65=0,0,E65/C65)</f>
        <v>6.3104823595797874E-2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54654325</v>
      </c>
      <c r="D70" s="23">
        <v>41815956</v>
      </c>
      <c r="E70" s="23">
        <f>D70-C70</f>
        <v>-12838369</v>
      </c>
      <c r="F70" s="24">
        <f>IF(C70=0,0,E70/C70)</f>
        <v>-0.23490124523539538</v>
      </c>
    </row>
    <row r="71" spans="1:6" ht="24" customHeight="1" x14ac:dyDescent="0.2">
      <c r="A71" s="21">
        <v>2</v>
      </c>
      <c r="B71" s="22" t="s">
        <v>65</v>
      </c>
      <c r="C71" s="23">
        <v>5411388</v>
      </c>
      <c r="D71" s="23">
        <v>2249963</v>
      </c>
      <c r="E71" s="23">
        <f>D71-C71</f>
        <v>-3161425</v>
      </c>
      <c r="F71" s="24">
        <f>IF(C71=0,0,E71/C71)</f>
        <v>-0.58421702528075981</v>
      </c>
    </row>
    <row r="72" spans="1:6" ht="24" customHeight="1" x14ac:dyDescent="0.2">
      <c r="A72" s="21">
        <v>3</v>
      </c>
      <c r="B72" s="22" t="s">
        <v>66</v>
      </c>
      <c r="C72" s="23">
        <v>11410769</v>
      </c>
      <c r="D72" s="23">
        <v>11095738</v>
      </c>
      <c r="E72" s="23">
        <f>D72-C72</f>
        <v>-315031</v>
      </c>
      <c r="F72" s="24">
        <f>IF(C72=0,0,E72/C72)</f>
        <v>-2.7608218166540747E-2</v>
      </c>
    </row>
    <row r="73" spans="1:6" ht="24" customHeight="1" x14ac:dyDescent="0.25">
      <c r="A73" s="21"/>
      <c r="B73" s="26" t="s">
        <v>67</v>
      </c>
      <c r="C73" s="27">
        <f>SUM(C70:C72)</f>
        <v>71476482</v>
      </c>
      <c r="D73" s="27">
        <f>SUM(D70:D72)</f>
        <v>55161657</v>
      </c>
      <c r="E73" s="27">
        <f>D73-C73</f>
        <v>-16314825</v>
      </c>
      <c r="F73" s="28">
        <f>IF(C73=0,0,E73/C73)</f>
        <v>-0.22825444878498638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263336722</v>
      </c>
      <c r="D75" s="27">
        <f>D56+D65+D67+D73</f>
        <v>262289689</v>
      </c>
      <c r="E75" s="27">
        <f>D75-C75</f>
        <v>-1047033</v>
      </c>
      <c r="F75" s="28">
        <f>IF(C75=0,0,E75/C75)</f>
        <v>-3.9760235186644425E-3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FILING&amp;REASTERN CT HEALTH NETWORK 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6" t="s">
        <v>477</v>
      </c>
      <c r="B1" s="697"/>
      <c r="C1" s="697"/>
      <c r="D1" s="697"/>
      <c r="E1" s="697"/>
      <c r="F1" s="698"/>
    </row>
    <row r="2" spans="1:8" ht="23.1" customHeight="1" x14ac:dyDescent="0.25">
      <c r="A2" s="696" t="s">
        <v>1</v>
      </c>
      <c r="B2" s="697"/>
      <c r="C2" s="697"/>
      <c r="D2" s="697"/>
      <c r="E2" s="697"/>
      <c r="F2" s="698"/>
    </row>
    <row r="3" spans="1:8" ht="23.1" customHeight="1" x14ac:dyDescent="0.25">
      <c r="A3" s="696" t="s">
        <v>2</v>
      </c>
      <c r="B3" s="697"/>
      <c r="C3" s="697"/>
      <c r="D3" s="697"/>
      <c r="E3" s="697"/>
      <c r="F3" s="698"/>
    </row>
    <row r="4" spans="1:8" ht="23.1" customHeight="1" x14ac:dyDescent="0.25">
      <c r="A4" s="696" t="s">
        <v>479</v>
      </c>
      <c r="B4" s="697"/>
      <c r="C4" s="697"/>
      <c r="D4" s="697"/>
      <c r="E4" s="697"/>
      <c r="F4" s="69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634778869</v>
      </c>
      <c r="D12" s="51">
        <v>638835375</v>
      </c>
      <c r="E12" s="51">
        <f t="shared" ref="E12:E19" si="0">D12-C12</f>
        <v>4056506</v>
      </c>
      <c r="F12" s="70">
        <f t="shared" ref="F12:F19" si="1">IF(C12=0,0,E12/C12)</f>
        <v>6.3904238122961211E-3</v>
      </c>
    </row>
    <row r="13" spans="1:8" ht="23.1" customHeight="1" x14ac:dyDescent="0.2">
      <c r="A13" s="25">
        <v>2</v>
      </c>
      <c r="B13" s="48" t="s">
        <v>72</v>
      </c>
      <c r="C13" s="51">
        <v>368952121</v>
      </c>
      <c r="D13" s="51">
        <v>371826407</v>
      </c>
      <c r="E13" s="51">
        <f t="shared" si="0"/>
        <v>2874286</v>
      </c>
      <c r="F13" s="70">
        <f t="shared" si="1"/>
        <v>7.7904037852109271E-3</v>
      </c>
    </row>
    <row r="14" spans="1:8" ht="23.1" customHeight="1" x14ac:dyDescent="0.2">
      <c r="A14" s="25">
        <v>3</v>
      </c>
      <c r="B14" s="48" t="s">
        <v>73</v>
      </c>
      <c r="C14" s="51">
        <v>3008857</v>
      </c>
      <c r="D14" s="51">
        <v>5660092</v>
      </c>
      <c r="E14" s="51">
        <f t="shared" si="0"/>
        <v>2651235</v>
      </c>
      <c r="F14" s="70">
        <f t="shared" si="1"/>
        <v>0.88114357046546243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262817891</v>
      </c>
      <c r="D16" s="27">
        <f>D12-D13-D14-D15</f>
        <v>261348876</v>
      </c>
      <c r="E16" s="27">
        <f t="shared" si="0"/>
        <v>-1469015</v>
      </c>
      <c r="F16" s="28">
        <f t="shared" si="1"/>
        <v>-5.5894786858326929E-3</v>
      </c>
    </row>
    <row r="17" spans="1:7" ht="23.1" customHeight="1" x14ac:dyDescent="0.2">
      <c r="A17" s="25">
        <v>5</v>
      </c>
      <c r="B17" s="48" t="s">
        <v>76</v>
      </c>
      <c r="C17" s="51">
        <v>17287740</v>
      </c>
      <c r="D17" s="51">
        <v>18840186</v>
      </c>
      <c r="E17" s="51">
        <f t="shared" si="0"/>
        <v>1552446</v>
      </c>
      <c r="F17" s="70">
        <f t="shared" si="1"/>
        <v>8.9800401903314134E-2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539109</v>
      </c>
      <c r="D18" s="51">
        <v>801123</v>
      </c>
      <c r="E18" s="51">
        <f t="shared" si="0"/>
        <v>262014</v>
      </c>
      <c r="F18" s="70">
        <f t="shared" si="1"/>
        <v>0.48601303261492573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280644740</v>
      </c>
      <c r="D19" s="27">
        <f>SUM(D16:D18)</f>
        <v>280990185</v>
      </c>
      <c r="E19" s="27">
        <f t="shared" si="0"/>
        <v>345445</v>
      </c>
      <c r="F19" s="28">
        <f t="shared" si="1"/>
        <v>1.2308978247730566E-3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131341594</v>
      </c>
      <c r="D22" s="51">
        <v>134218139</v>
      </c>
      <c r="E22" s="51">
        <f t="shared" ref="E22:E31" si="2">D22-C22</f>
        <v>2876545</v>
      </c>
      <c r="F22" s="70">
        <f t="shared" ref="F22:F31" si="3">IF(C22=0,0,E22/C22)</f>
        <v>2.1901249348321446E-2</v>
      </c>
    </row>
    <row r="23" spans="1:7" ht="23.1" customHeight="1" x14ac:dyDescent="0.2">
      <c r="A23" s="25">
        <v>2</v>
      </c>
      <c r="B23" s="48" t="s">
        <v>81</v>
      </c>
      <c r="C23" s="51">
        <v>32963007</v>
      </c>
      <c r="D23" s="51">
        <v>35696855</v>
      </c>
      <c r="E23" s="51">
        <f t="shared" si="2"/>
        <v>2733848</v>
      </c>
      <c r="F23" s="70">
        <f t="shared" si="3"/>
        <v>8.2936850997847381E-2</v>
      </c>
    </row>
    <row r="24" spans="1:7" ht="23.1" customHeight="1" x14ac:dyDescent="0.2">
      <c r="A24" s="25">
        <v>3</v>
      </c>
      <c r="B24" s="48" t="s">
        <v>82</v>
      </c>
      <c r="C24" s="51">
        <v>9010309</v>
      </c>
      <c r="D24" s="51">
        <v>10277908</v>
      </c>
      <c r="E24" s="51">
        <f t="shared" si="2"/>
        <v>1267599</v>
      </c>
      <c r="F24" s="70">
        <f t="shared" si="3"/>
        <v>0.14068318855657447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36249132</v>
      </c>
      <c r="D25" s="51">
        <v>35184525</v>
      </c>
      <c r="E25" s="51">
        <f t="shared" si="2"/>
        <v>-1064607</v>
      </c>
      <c r="F25" s="70">
        <f t="shared" si="3"/>
        <v>-2.9369172205282047E-2</v>
      </c>
    </row>
    <row r="26" spans="1:7" ht="23.1" customHeight="1" x14ac:dyDescent="0.2">
      <c r="A26" s="25">
        <v>5</v>
      </c>
      <c r="B26" s="48" t="s">
        <v>84</v>
      </c>
      <c r="C26" s="51">
        <v>12555983</v>
      </c>
      <c r="D26" s="51">
        <v>11898918</v>
      </c>
      <c r="E26" s="51">
        <f t="shared" si="2"/>
        <v>-657065</v>
      </c>
      <c r="F26" s="70">
        <f t="shared" si="3"/>
        <v>-5.233082905575772E-2</v>
      </c>
    </row>
    <row r="27" spans="1:7" ht="23.1" customHeight="1" x14ac:dyDescent="0.2">
      <c r="A27" s="25">
        <v>6</v>
      </c>
      <c r="B27" s="48" t="s">
        <v>85</v>
      </c>
      <c r="C27" s="51">
        <v>11481356</v>
      </c>
      <c r="D27" s="51">
        <v>11106480</v>
      </c>
      <c r="E27" s="51">
        <f t="shared" si="2"/>
        <v>-374876</v>
      </c>
      <c r="F27" s="70">
        <f t="shared" si="3"/>
        <v>-3.2650847164742564E-2</v>
      </c>
    </row>
    <row r="28" spans="1:7" ht="23.1" customHeight="1" x14ac:dyDescent="0.2">
      <c r="A28" s="25">
        <v>7</v>
      </c>
      <c r="B28" s="48" t="s">
        <v>86</v>
      </c>
      <c r="C28" s="51">
        <v>4489986</v>
      </c>
      <c r="D28" s="51">
        <v>4224420</v>
      </c>
      <c r="E28" s="51">
        <f t="shared" si="2"/>
        <v>-265566</v>
      </c>
      <c r="F28" s="70">
        <f t="shared" si="3"/>
        <v>-5.9146286870382224E-2</v>
      </c>
    </row>
    <row r="29" spans="1:7" ht="23.1" customHeight="1" x14ac:dyDescent="0.2">
      <c r="A29" s="25">
        <v>8</v>
      </c>
      <c r="B29" s="48" t="s">
        <v>87</v>
      </c>
      <c r="C29" s="51">
        <v>3192627</v>
      </c>
      <c r="D29" s="51">
        <v>2961029</v>
      </c>
      <c r="E29" s="51">
        <f t="shared" si="2"/>
        <v>-231598</v>
      </c>
      <c r="F29" s="70">
        <f t="shared" si="3"/>
        <v>-7.2541515184830554E-2</v>
      </c>
    </row>
    <row r="30" spans="1:7" ht="23.1" customHeight="1" x14ac:dyDescent="0.2">
      <c r="A30" s="25">
        <v>9</v>
      </c>
      <c r="B30" s="48" t="s">
        <v>88</v>
      </c>
      <c r="C30" s="51">
        <v>32822418</v>
      </c>
      <c r="D30" s="51">
        <v>35379234</v>
      </c>
      <c r="E30" s="51">
        <f t="shared" si="2"/>
        <v>2556816</v>
      </c>
      <c r="F30" s="70">
        <f t="shared" si="3"/>
        <v>7.7898465615787352E-2</v>
      </c>
    </row>
    <row r="31" spans="1:7" ht="23.1" customHeight="1" x14ac:dyDescent="0.25">
      <c r="A31" s="29"/>
      <c r="B31" s="71" t="s">
        <v>89</v>
      </c>
      <c r="C31" s="27">
        <f>SUM(C22:C30)</f>
        <v>274106412</v>
      </c>
      <c r="D31" s="27">
        <f>SUM(D22:D30)</f>
        <v>280947508</v>
      </c>
      <c r="E31" s="27">
        <f t="shared" si="2"/>
        <v>6841096</v>
      </c>
      <c r="F31" s="28">
        <f t="shared" si="3"/>
        <v>2.4957810910311722E-2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6538328</v>
      </c>
      <c r="D33" s="27">
        <f>+D19-D31</f>
        <v>42677</v>
      </c>
      <c r="E33" s="27">
        <f>D33-C33</f>
        <v>-6495651</v>
      </c>
      <c r="F33" s="28">
        <f>IF(C33=0,0,E33/C33)</f>
        <v>-0.99347279610322392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31935</v>
      </c>
      <c r="D36" s="51">
        <v>64607</v>
      </c>
      <c r="E36" s="51">
        <f>D36-C36</f>
        <v>32672</v>
      </c>
      <c r="F36" s="70">
        <f>IF(C36=0,0,E36/C36)</f>
        <v>1.0230781274463754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-1817438</v>
      </c>
      <c r="D38" s="51">
        <v>-1406203</v>
      </c>
      <c r="E38" s="51">
        <f>D38-C38</f>
        <v>411235</v>
      </c>
      <c r="F38" s="70">
        <f>IF(C38=0,0,E38/C38)</f>
        <v>-0.22627181780066224</v>
      </c>
    </row>
    <row r="39" spans="1:6" ht="23.1" customHeight="1" x14ac:dyDescent="0.25">
      <c r="A39" s="20"/>
      <c r="B39" s="71" t="s">
        <v>95</v>
      </c>
      <c r="C39" s="27">
        <f>SUM(C36:C38)</f>
        <v>-1785503</v>
      </c>
      <c r="D39" s="27">
        <f>SUM(D36:D38)</f>
        <v>-1341596</v>
      </c>
      <c r="E39" s="27">
        <f>D39-C39</f>
        <v>443907</v>
      </c>
      <c r="F39" s="28">
        <f>IF(C39=0,0,E39/C39)</f>
        <v>-0.24861733640324324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4752825</v>
      </c>
      <c r="D41" s="27">
        <f>D33+D39</f>
        <v>-1298919</v>
      </c>
      <c r="E41" s="27">
        <f>D41-C41</f>
        <v>-6051744</v>
      </c>
      <c r="F41" s="28">
        <f>IF(C41=0,0,E41/C41)</f>
        <v>-1.2732940935128056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4752825</v>
      </c>
      <c r="D48" s="27">
        <f>D41+D46</f>
        <v>-1298919</v>
      </c>
      <c r="E48" s="27">
        <f>D48-C48</f>
        <v>-6051744</v>
      </c>
      <c r="F48" s="28">
        <f>IF(C48=0,0,E48/C48)</f>
        <v>-1.2732940935128056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FILING&amp;R&amp;8EASTERN CT HEALTH NETWORK 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2012-06-28T15:49:08Z</cp:lastPrinted>
  <dcterms:created xsi:type="dcterms:W3CDTF">2006-08-03T13:49:12Z</dcterms:created>
  <dcterms:modified xsi:type="dcterms:W3CDTF">2012-06-28T15:51:27Z</dcterms:modified>
</cp:coreProperties>
</file>