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C88" i="22" s="1"/>
  <c r="E86" i="22"/>
  <c r="E88" i="22" s="1"/>
  <c r="D86" i="22"/>
  <c r="D88" i="22" s="1"/>
  <c r="C86" i="22"/>
  <c r="E83" i="22"/>
  <c r="D83" i="22"/>
  <c r="D102" i="22" s="1"/>
  <c r="C83" i="22"/>
  <c r="C101" i="22" s="1"/>
  <c r="E76" i="22"/>
  <c r="D76" i="22"/>
  <c r="C76" i="22"/>
  <c r="C102" i="22" s="1"/>
  <c r="E75" i="22"/>
  <c r="E77" i="22"/>
  <c r="D75" i="22"/>
  <c r="D77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D21" i="21"/>
  <c r="C21" i="21"/>
  <c r="D19" i="21"/>
  <c r="E19" i="21" s="1"/>
  <c r="F19" i="21" s="1"/>
  <c r="C19" i="21"/>
  <c r="E17" i="21"/>
  <c r="F17" i="21" s="1"/>
  <c r="E15" i="21"/>
  <c r="F15" i="21" s="1"/>
  <c r="D45" i="20"/>
  <c r="C45" i="20"/>
  <c r="D44" i="20"/>
  <c r="C44" i="20"/>
  <c r="D43" i="20"/>
  <c r="C43" i="20"/>
  <c r="D36" i="20"/>
  <c r="D40" i="20" s="1"/>
  <c r="D41" i="20" s="1"/>
  <c r="C36" i="20"/>
  <c r="E35" i="20"/>
  <c r="F35" i="20" s="1"/>
  <c r="E34" i="20"/>
  <c r="F34" i="20"/>
  <c r="E33" i="20"/>
  <c r="F33" i="20"/>
  <c r="E30" i="20"/>
  <c r="F30" i="20" s="1"/>
  <c r="E29" i="20"/>
  <c r="F29" i="20" s="1"/>
  <c r="E28" i="20"/>
  <c r="F28" i="20"/>
  <c r="E27" i="20"/>
  <c r="F27" i="20" s="1"/>
  <c r="D25" i="20"/>
  <c r="D39" i="20" s="1"/>
  <c r="C25" i="20"/>
  <c r="C39" i="20" s="1"/>
  <c r="E24" i="20"/>
  <c r="F24" i="20" s="1"/>
  <c r="E23" i="20"/>
  <c r="F23" i="20"/>
  <c r="E22" i="20"/>
  <c r="F22" i="20" s="1"/>
  <c r="D19" i="20"/>
  <c r="D20" i="20"/>
  <c r="C19" i="20"/>
  <c r="E18" i="20"/>
  <c r="F18" i="20"/>
  <c r="D16" i="20"/>
  <c r="C16" i="20"/>
  <c r="E16" i="20" s="1"/>
  <c r="E15" i="20"/>
  <c r="F15" i="20" s="1"/>
  <c r="E13" i="20"/>
  <c r="F13" i="20" s="1"/>
  <c r="E12" i="20"/>
  <c r="F12" i="20"/>
  <c r="C137" i="19"/>
  <c r="C139" i="19"/>
  <c r="C143" i="19" s="1"/>
  <c r="C115" i="19"/>
  <c r="C105" i="19"/>
  <c r="C96" i="19"/>
  <c r="C95" i="19"/>
  <c r="C89" i="19"/>
  <c r="C88" i="19"/>
  <c r="C83" i="19"/>
  <c r="C77" i="19"/>
  <c r="C78" i="19" s="1"/>
  <c r="C63" i="19"/>
  <c r="C59" i="19"/>
  <c r="C49" i="19"/>
  <c r="C48" i="19"/>
  <c r="C36" i="19"/>
  <c r="C32" i="19"/>
  <c r="C33" i="19" s="1"/>
  <c r="C21" i="19"/>
  <c r="C37" i="19" s="1"/>
  <c r="E328" i="18"/>
  <c r="E325" i="18"/>
  <c r="D324" i="18"/>
  <c r="D326" i="18"/>
  <c r="C324" i="18"/>
  <c r="C326" i="18" s="1"/>
  <c r="E318" i="18"/>
  <c r="E315" i="18"/>
  <c r="D314" i="18"/>
  <c r="D316" i="18" s="1"/>
  <c r="C314" i="18"/>
  <c r="C316" i="18"/>
  <c r="C320" i="18"/>
  <c r="E308" i="18"/>
  <c r="E305" i="18"/>
  <c r="D301" i="18"/>
  <c r="C301" i="18"/>
  <c r="D293" i="18"/>
  <c r="E293" i="18"/>
  <c r="C293" i="18"/>
  <c r="D292" i="18"/>
  <c r="E292" i="18" s="1"/>
  <c r="C292" i="18"/>
  <c r="D291" i="18"/>
  <c r="E291" i="18" s="1"/>
  <c r="C291" i="18"/>
  <c r="D290" i="18"/>
  <c r="E290" i="18" s="1"/>
  <c r="C290" i="18"/>
  <c r="D288" i="18"/>
  <c r="C288" i="18"/>
  <c r="E288" i="18" s="1"/>
  <c r="D287" i="18"/>
  <c r="C287" i="18"/>
  <c r="E287" i="18" s="1"/>
  <c r="D282" i="18"/>
  <c r="E282" i="18" s="1"/>
  <c r="C282" i="18"/>
  <c r="D281" i="18"/>
  <c r="E281" i="18" s="1"/>
  <c r="C281" i="18"/>
  <c r="D280" i="18"/>
  <c r="C280" i="18"/>
  <c r="E280" i="18" s="1"/>
  <c r="D279" i="18"/>
  <c r="C279" i="18"/>
  <c r="D278" i="18"/>
  <c r="C278" i="18"/>
  <c r="E278" i="18"/>
  <c r="D277" i="18"/>
  <c r="E277" i="18" s="1"/>
  <c r="C277" i="18"/>
  <c r="D276" i="18"/>
  <c r="C276" i="18"/>
  <c r="E276" i="18" s="1"/>
  <c r="E270" i="18"/>
  <c r="D265" i="18"/>
  <c r="D302" i="18"/>
  <c r="C265" i="18"/>
  <c r="C302" i="18" s="1"/>
  <c r="D262" i="18"/>
  <c r="C262" i="18"/>
  <c r="E262" i="18" s="1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 s="1"/>
  <c r="C228" i="18"/>
  <c r="D227" i="18"/>
  <c r="C227" i="18"/>
  <c r="E227" i="18" s="1"/>
  <c r="D221" i="18"/>
  <c r="D245" i="18" s="1"/>
  <c r="C221" i="18"/>
  <c r="C245" i="18" s="1"/>
  <c r="D220" i="18"/>
  <c r="D244" i="18"/>
  <c r="C220" i="18"/>
  <c r="C244" i="18"/>
  <c r="E244" i="18" s="1"/>
  <c r="D219" i="18"/>
  <c r="D217" i="18"/>
  <c r="C219" i="18"/>
  <c r="C243" i="18"/>
  <c r="D218" i="18"/>
  <c r="D242" i="18"/>
  <c r="C218" i="18"/>
  <c r="D216" i="18"/>
  <c r="D240" i="18" s="1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D260" i="18" s="1"/>
  <c r="C195" i="18"/>
  <c r="C260" i="18"/>
  <c r="E194" i="18"/>
  <c r="E193" i="18"/>
  <c r="E192" i="18"/>
  <c r="E191" i="18"/>
  <c r="E190" i="18"/>
  <c r="D189" i="18"/>
  <c r="E189" i="18" s="1"/>
  <c r="D188" i="18"/>
  <c r="D261" i="18"/>
  <c r="C188" i="18"/>
  <c r="E186" i="18"/>
  <c r="E185" i="18"/>
  <c r="D179" i="18"/>
  <c r="C179" i="18"/>
  <c r="D178" i="18"/>
  <c r="C178" i="18"/>
  <c r="E178" i="18"/>
  <c r="D177" i="18"/>
  <c r="E177" i="18" s="1"/>
  <c r="C177" i="18"/>
  <c r="D176" i="18"/>
  <c r="C176" i="18"/>
  <c r="E176" i="18" s="1"/>
  <c r="D174" i="18"/>
  <c r="C174" i="18"/>
  <c r="E174" i="18"/>
  <c r="D173" i="18"/>
  <c r="E173" i="18" s="1"/>
  <c r="C173" i="18"/>
  <c r="D167" i="18"/>
  <c r="C167" i="18"/>
  <c r="E167" i="18"/>
  <c r="D166" i="18"/>
  <c r="C166" i="18"/>
  <c r="D165" i="18"/>
  <c r="C165" i="18"/>
  <c r="E165" i="18" s="1"/>
  <c r="D164" i="18"/>
  <c r="C164" i="18"/>
  <c r="E164" i="18" s="1"/>
  <c r="D162" i="18"/>
  <c r="E162" i="18"/>
  <c r="C162" i="18"/>
  <c r="D161" i="18"/>
  <c r="E161" i="18" s="1"/>
  <c r="C161" i="18"/>
  <c r="E155" i="18"/>
  <c r="E154" i="18"/>
  <c r="E153" i="18"/>
  <c r="E152" i="18"/>
  <c r="D151" i="18"/>
  <c r="D156" i="18"/>
  <c r="C151" i="18"/>
  <c r="C156" i="18" s="1"/>
  <c r="C157" i="18" s="1"/>
  <c r="E150" i="18"/>
  <c r="E149" i="18"/>
  <c r="D144" i="18"/>
  <c r="D168" i="18" s="1"/>
  <c r="E143" i="18"/>
  <c r="E142" i="18"/>
  <c r="E141" i="18"/>
  <c r="E140" i="18"/>
  <c r="D139" i="18"/>
  <c r="D175" i="18" s="1"/>
  <c r="C139" i="18"/>
  <c r="C163" i="18" s="1"/>
  <c r="E138" i="18"/>
  <c r="E137" i="18"/>
  <c r="D75" i="18"/>
  <c r="C75" i="18"/>
  <c r="E75" i="18" s="1"/>
  <c r="D74" i="18"/>
  <c r="C74" i="18"/>
  <c r="E74" i="18"/>
  <c r="D73" i="18"/>
  <c r="C73" i="18"/>
  <c r="E73" i="18" s="1"/>
  <c r="D72" i="18"/>
  <c r="E72" i="18" s="1"/>
  <c r="C72" i="18"/>
  <c r="D70" i="18"/>
  <c r="C70" i="18"/>
  <c r="D69" i="18"/>
  <c r="E69" i="18"/>
  <c r="C69" i="18"/>
  <c r="D65" i="18"/>
  <c r="E64" i="18"/>
  <c r="E63" i="18"/>
  <c r="E62" i="18"/>
  <c r="E61" i="18"/>
  <c r="D60" i="18"/>
  <c r="D71" i="18" s="1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 s="1"/>
  <c r="D41" i="18"/>
  <c r="E41" i="18" s="1"/>
  <c r="C41" i="18"/>
  <c r="D40" i="18"/>
  <c r="C40" i="18"/>
  <c r="E40" i="18"/>
  <c r="D39" i="18"/>
  <c r="E39" i="18"/>
  <c r="C39" i="18"/>
  <c r="D38" i="18"/>
  <c r="C38" i="18"/>
  <c r="E38" i="18" s="1"/>
  <c r="D37" i="18"/>
  <c r="C37" i="18"/>
  <c r="E37" i="18" s="1"/>
  <c r="D36" i="18"/>
  <c r="C36" i="18"/>
  <c r="E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F335" i="17"/>
  <c r="E335" i="17"/>
  <c r="E334" i="17"/>
  <c r="F334" i="17" s="1"/>
  <c r="E333" i="17"/>
  <c r="F333" i="17" s="1"/>
  <c r="F332" i="17"/>
  <c r="E332" i="17"/>
  <c r="F331" i="17"/>
  <c r="E331" i="17"/>
  <c r="E330" i="17"/>
  <c r="F330" i="17" s="1"/>
  <c r="E329" i="17"/>
  <c r="F329" i="17" s="1"/>
  <c r="F316" i="17"/>
  <c r="E316" i="17"/>
  <c r="D311" i="17"/>
  <c r="E311" i="17" s="1"/>
  <c r="C311" i="17"/>
  <c r="F311" i="17" s="1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 s="1"/>
  <c r="E306" i="17" s="1"/>
  <c r="F249" i="17"/>
  <c r="E249" i="17"/>
  <c r="E248" i="17"/>
  <c r="F248" i="17" s="1"/>
  <c r="F245" i="17"/>
  <c r="E245" i="17"/>
  <c r="F244" i="17"/>
  <c r="E244" i="17"/>
  <c r="F243" i="17"/>
  <c r="E243" i="17"/>
  <c r="D238" i="17"/>
  <c r="C238" i="17"/>
  <c r="D237" i="17"/>
  <c r="D239" i="17" s="1"/>
  <c r="C237" i="17"/>
  <c r="E234" i="17"/>
  <c r="F234" i="17" s="1"/>
  <c r="F233" i="17"/>
  <c r="E233" i="17"/>
  <c r="D230" i="17"/>
  <c r="E230" i="17" s="1"/>
  <c r="F230" i="17" s="1"/>
  <c r="C230" i="17"/>
  <c r="D229" i="17"/>
  <c r="C229" i="17"/>
  <c r="E229" i="17" s="1"/>
  <c r="E228" i="17"/>
  <c r="F228" i="17" s="1"/>
  <c r="D226" i="17"/>
  <c r="D227" i="17" s="1"/>
  <c r="C226" i="17"/>
  <c r="C227" i="17"/>
  <c r="E225" i="17"/>
  <c r="F225" i="17" s="1"/>
  <c r="E224" i="17"/>
  <c r="F224" i="17" s="1"/>
  <c r="D223" i="17"/>
  <c r="E223" i="17" s="1"/>
  <c r="C223" i="17"/>
  <c r="F223" i="17" s="1"/>
  <c r="E222" i="17"/>
  <c r="F222" i="17" s="1"/>
  <c r="E221" i="17"/>
  <c r="F221" i="17" s="1"/>
  <c r="D204" i="17"/>
  <c r="E204" i="17" s="1"/>
  <c r="C204" i="17"/>
  <c r="C285" i="17"/>
  <c r="D203" i="17"/>
  <c r="C203" i="17"/>
  <c r="D198" i="17"/>
  <c r="C198" i="17"/>
  <c r="C200" i="17" s="1"/>
  <c r="D191" i="17"/>
  <c r="D280" i="17"/>
  <c r="C191" i="17"/>
  <c r="C280" i="17" s="1"/>
  <c r="D189" i="17"/>
  <c r="D278" i="17"/>
  <c r="E278" i="17" s="1"/>
  <c r="C189" i="17"/>
  <c r="C278" i="17"/>
  <c r="D188" i="17"/>
  <c r="C188" i="17"/>
  <c r="C277" i="17" s="1"/>
  <c r="D180" i="17"/>
  <c r="C180" i="17"/>
  <c r="D179" i="17"/>
  <c r="C179" i="17"/>
  <c r="D171" i="17"/>
  <c r="C171" i="17"/>
  <c r="D170" i="17"/>
  <c r="E170" i="17" s="1"/>
  <c r="C170" i="17"/>
  <c r="E169" i="17"/>
  <c r="F169" i="17" s="1"/>
  <c r="E168" i="17"/>
  <c r="F168" i="17"/>
  <c r="D165" i="17"/>
  <c r="C165" i="17"/>
  <c r="D164" i="17"/>
  <c r="C164" i="17"/>
  <c r="E163" i="17"/>
  <c r="F163" i="17" s="1"/>
  <c r="D158" i="17"/>
  <c r="D159" i="17"/>
  <c r="E159" i="17"/>
  <c r="F159" i="17" s="1"/>
  <c r="C158" i="17"/>
  <c r="C159" i="17" s="1"/>
  <c r="E157" i="17"/>
  <c r="F157" i="17" s="1"/>
  <c r="E156" i="17"/>
  <c r="F156" i="17"/>
  <c r="D155" i="17"/>
  <c r="C155" i="17"/>
  <c r="E154" i="17"/>
  <c r="F154" i="17" s="1"/>
  <c r="E153" i="17"/>
  <c r="F153" i="17" s="1"/>
  <c r="D145" i="17"/>
  <c r="C145" i="17"/>
  <c r="D144" i="17"/>
  <c r="D146" i="17"/>
  <c r="E146" i="17" s="1"/>
  <c r="C144" i="17"/>
  <c r="C146" i="17"/>
  <c r="D136" i="17"/>
  <c r="D137" i="17" s="1"/>
  <c r="D138" i="17" s="1"/>
  <c r="E138" i="17" s="1"/>
  <c r="F138" i="17" s="1"/>
  <c r="C136" i="17"/>
  <c r="C137" i="17"/>
  <c r="D135" i="17"/>
  <c r="C135" i="17"/>
  <c r="E134" i="17"/>
  <c r="F134" i="17"/>
  <c r="E133" i="17"/>
  <c r="F133" i="17" s="1"/>
  <c r="D130" i="17"/>
  <c r="C130" i="17"/>
  <c r="D129" i="17"/>
  <c r="C129" i="17"/>
  <c r="E128" i="17"/>
  <c r="F128" i="17"/>
  <c r="D123" i="17"/>
  <c r="C123" i="17"/>
  <c r="E122" i="17"/>
  <c r="F122" i="17"/>
  <c r="E121" i="17"/>
  <c r="F121" i="17" s="1"/>
  <c r="D120" i="17"/>
  <c r="C120" i="17"/>
  <c r="E120" i="17" s="1"/>
  <c r="E119" i="17"/>
  <c r="F119" i="17"/>
  <c r="E118" i="17"/>
  <c r="F118" i="17"/>
  <c r="D110" i="17"/>
  <c r="E110" i="17" s="1"/>
  <c r="F110" i="17" s="1"/>
  <c r="C110" i="17"/>
  <c r="D109" i="17"/>
  <c r="C109" i="17"/>
  <c r="C111" i="17"/>
  <c r="D101" i="17"/>
  <c r="D102" i="17" s="1"/>
  <c r="C101" i="17"/>
  <c r="C102" i="17"/>
  <c r="D100" i="17"/>
  <c r="C100" i="17"/>
  <c r="E100" i="17"/>
  <c r="E99" i="17"/>
  <c r="F99" i="17"/>
  <c r="E98" i="17"/>
  <c r="F98" i="17" s="1"/>
  <c r="D95" i="17"/>
  <c r="E95" i="17" s="1"/>
  <c r="C95" i="17"/>
  <c r="D94" i="17"/>
  <c r="C94" i="17"/>
  <c r="E94" i="17" s="1"/>
  <c r="E93" i="17"/>
  <c r="F93" i="17" s="1"/>
  <c r="D88" i="17"/>
  <c r="D89" i="17" s="1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 s="1"/>
  <c r="C76" i="17"/>
  <c r="C77" i="17"/>
  <c r="F74" i="17"/>
  <c r="E74" i="17"/>
  <c r="F73" i="17"/>
  <c r="E73" i="17"/>
  <c r="D67" i="17"/>
  <c r="E67" i="17" s="1"/>
  <c r="C67" i="17"/>
  <c r="D66" i="17"/>
  <c r="D68" i="17"/>
  <c r="E68" i="17"/>
  <c r="F68" i="17" s="1"/>
  <c r="C66" i="17"/>
  <c r="C68" i="17"/>
  <c r="D59" i="17"/>
  <c r="D60" i="17" s="1"/>
  <c r="C59" i="17"/>
  <c r="C60" i="17"/>
  <c r="D58" i="17"/>
  <c r="C58" i="17"/>
  <c r="F57" i="17"/>
  <c r="E57" i="17"/>
  <c r="E56" i="17"/>
  <c r="F56" i="17" s="1"/>
  <c r="D53" i="17"/>
  <c r="E53" i="17" s="1"/>
  <c r="C53" i="17"/>
  <c r="D52" i="17"/>
  <c r="C52" i="17"/>
  <c r="F51" i="17"/>
  <c r="E51" i="17"/>
  <c r="D47" i="17"/>
  <c r="D48" i="17"/>
  <c r="C47" i="17"/>
  <c r="C48" i="17" s="1"/>
  <c r="E46" i="17"/>
  <c r="F46" i="17" s="1"/>
  <c r="E45" i="17"/>
  <c r="F45" i="17" s="1"/>
  <c r="D44" i="17"/>
  <c r="E44" i="17"/>
  <c r="F44" i="17" s="1"/>
  <c r="C44" i="17"/>
  <c r="E43" i="17"/>
  <c r="F43" i="17" s="1"/>
  <c r="E42" i="17"/>
  <c r="F42" i="17" s="1"/>
  <c r="D36" i="17"/>
  <c r="E36" i="17"/>
  <c r="F36" i="17" s="1"/>
  <c r="C36" i="17"/>
  <c r="D35" i="17"/>
  <c r="D37" i="17"/>
  <c r="C35" i="17"/>
  <c r="D30" i="17"/>
  <c r="D31" i="17" s="1"/>
  <c r="C30" i="17"/>
  <c r="C31" i="17" s="1"/>
  <c r="D29" i="17"/>
  <c r="C29" i="17"/>
  <c r="E29" i="17" s="1"/>
  <c r="F28" i="17"/>
  <c r="E28" i="17"/>
  <c r="F27" i="17"/>
  <c r="E27" i="17"/>
  <c r="D24" i="17"/>
  <c r="C24" i="17"/>
  <c r="E24" i="17" s="1"/>
  <c r="D23" i="17"/>
  <c r="E23" i="17" s="1"/>
  <c r="F23" i="17" s="1"/>
  <c r="C23" i="17"/>
  <c r="E22" i="17"/>
  <c r="F22" i="17" s="1"/>
  <c r="D20" i="17"/>
  <c r="E20" i="17"/>
  <c r="F20" i="17"/>
  <c r="C20" i="17"/>
  <c r="F19" i="17"/>
  <c r="E19" i="17"/>
  <c r="E18" i="17"/>
  <c r="F18" i="17" s="1"/>
  <c r="D17" i="17"/>
  <c r="E17" i="17" s="1"/>
  <c r="F17" i="17" s="1"/>
  <c r="C17" i="17"/>
  <c r="F16" i="17"/>
  <c r="E16" i="17"/>
  <c r="E15" i="17"/>
  <c r="F15" i="17" s="1"/>
  <c r="D21" i="16"/>
  <c r="E21" i="16" s="1"/>
  <c r="F21" i="16" s="1"/>
  <c r="C21" i="16"/>
  <c r="F20" i="16"/>
  <c r="E20" i="16"/>
  <c r="D17" i="16"/>
  <c r="C17" i="16"/>
  <c r="F16" i="16"/>
  <c r="E16" i="16"/>
  <c r="D13" i="16"/>
  <c r="E13" i="16" s="1"/>
  <c r="C13" i="16"/>
  <c r="F13" i="16" s="1"/>
  <c r="F12" i="16"/>
  <c r="E12" i="16"/>
  <c r="D107" i="15"/>
  <c r="E107" i="15" s="1"/>
  <c r="F107" i="15"/>
  <c r="C107" i="15"/>
  <c r="E106" i="15"/>
  <c r="F106" i="15" s="1"/>
  <c r="E105" i="15"/>
  <c r="F105" i="15" s="1"/>
  <c r="F104" i="15"/>
  <c r="E104" i="15"/>
  <c r="D100" i="15"/>
  <c r="E100" i="15" s="1"/>
  <c r="C100" i="15"/>
  <c r="F100" i="15" s="1"/>
  <c r="F99" i="15"/>
  <c r="E99" i="15"/>
  <c r="F98" i="15"/>
  <c r="E98" i="15"/>
  <c r="F97" i="15"/>
  <c r="E97" i="15"/>
  <c r="E96" i="15"/>
  <c r="F96" i="15" s="1"/>
  <c r="F95" i="15"/>
  <c r="E95" i="15"/>
  <c r="D92" i="15"/>
  <c r="E92" i="15" s="1"/>
  <c r="F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 s="1"/>
  <c r="F74" i="15"/>
  <c r="E74" i="15"/>
  <c r="F73" i="15"/>
  <c r="E73" i="15"/>
  <c r="E75" i="15"/>
  <c r="D70" i="15"/>
  <c r="E70" i="15"/>
  <c r="F70" i="15" s="1"/>
  <c r="C70" i="15"/>
  <c r="F69" i="15"/>
  <c r="E69" i="15"/>
  <c r="E68" i="15"/>
  <c r="F68" i="15" s="1"/>
  <c r="D65" i="15"/>
  <c r="E65" i="15"/>
  <c r="F65" i="15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E60" i="15"/>
  <c r="D55" i="15"/>
  <c r="E55" i="15"/>
  <c r="F55" i="15"/>
  <c r="C55" i="15"/>
  <c r="F54" i="15"/>
  <c r="E54" i="15"/>
  <c r="E53" i="15"/>
  <c r="F53" i="15" s="1"/>
  <c r="D50" i="15"/>
  <c r="E50" i="15"/>
  <c r="F50" i="15"/>
  <c r="C50" i="15"/>
  <c r="F49" i="15"/>
  <c r="E49" i="15"/>
  <c r="E48" i="15"/>
  <c r="F48" i="15" s="1"/>
  <c r="D45" i="15"/>
  <c r="E45" i="15" s="1"/>
  <c r="F45" i="15" s="1"/>
  <c r="C45" i="15"/>
  <c r="F44" i="15"/>
  <c r="E44" i="15"/>
  <c r="E43" i="15"/>
  <c r="F43" i="15" s="1"/>
  <c r="D37" i="15"/>
  <c r="E37" i="15"/>
  <c r="F37" i="15" s="1"/>
  <c r="C37" i="15"/>
  <c r="F36" i="15"/>
  <c r="E36" i="15"/>
  <c r="F35" i="15"/>
  <c r="E35" i="15"/>
  <c r="E34" i="15"/>
  <c r="F34" i="15" s="1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 s="1"/>
  <c r="F23" i="15"/>
  <c r="C23" i="15"/>
  <c r="F22" i="15"/>
  <c r="E22" i="15"/>
  <c r="E21" i="15"/>
  <c r="F21" i="15" s="1"/>
  <c r="E20" i="15"/>
  <c r="F20" i="15" s="1"/>
  <c r="F19" i="15"/>
  <c r="E19" i="15"/>
  <c r="D16" i="15"/>
  <c r="E16" i="15" s="1"/>
  <c r="C16" i="15"/>
  <c r="F16" i="15" s="1"/>
  <c r="F15" i="15"/>
  <c r="E15" i="15"/>
  <c r="F14" i="15"/>
  <c r="E14" i="15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D17" i="14"/>
  <c r="D33" i="14" s="1"/>
  <c r="D36" i="14" s="1"/>
  <c r="D38" i="14" s="1"/>
  <c r="D40" i="14"/>
  <c r="C17" i="14"/>
  <c r="C31" i="14"/>
  <c r="H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 s="1"/>
  <c r="D50" i="13"/>
  <c r="C42" i="13"/>
  <c r="E46" i="13"/>
  <c r="E48" i="13" s="1"/>
  <c r="E42" i="13" s="1"/>
  <c r="E59" i="13"/>
  <c r="E61" i="13" s="1"/>
  <c r="E57" i="13" s="1"/>
  <c r="D46" i="13"/>
  <c r="D59" i="13" s="1"/>
  <c r="D61" i="13" s="1"/>
  <c r="D57" i="13" s="1"/>
  <c r="C46" i="13"/>
  <c r="C48" i="13" s="1"/>
  <c r="C59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C25" i="13"/>
  <c r="C27" i="13" s="1"/>
  <c r="C15" i="13"/>
  <c r="C24" i="13" s="1"/>
  <c r="E13" i="13"/>
  <c r="D13" i="13"/>
  <c r="D25" i="13"/>
  <c r="D27" i="13" s="1"/>
  <c r="C13" i="13"/>
  <c r="D47" i="12"/>
  <c r="C47" i="12"/>
  <c r="E46" i="12"/>
  <c r="F46" i="12" s="1"/>
  <c r="F45" i="12"/>
  <c r="E45" i="12"/>
  <c r="D40" i="12"/>
  <c r="C40" i="12"/>
  <c r="E39" i="12"/>
  <c r="F39" i="12" s="1"/>
  <c r="E38" i="12"/>
  <c r="F38" i="12" s="1"/>
  <c r="E37" i="12"/>
  <c r="F37" i="12" s="1"/>
  <c r="D32" i="12"/>
  <c r="E32" i="12" s="1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F18" i="12"/>
  <c r="E18" i="12"/>
  <c r="E16" i="12"/>
  <c r="F16" i="12" s="1"/>
  <c r="D15" i="12"/>
  <c r="D17" i="12" s="1"/>
  <c r="C15" i="12"/>
  <c r="C17" i="12"/>
  <c r="F14" i="12"/>
  <c r="E14" i="12"/>
  <c r="E13" i="12"/>
  <c r="F13" i="12" s="1"/>
  <c r="F12" i="12"/>
  <c r="E12" i="12"/>
  <c r="E11" i="12"/>
  <c r="F11" i="12" s="1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F64" i="11"/>
  <c r="E64" i="11"/>
  <c r="E63" i="11"/>
  <c r="F63" i="11" s="1"/>
  <c r="D61" i="11"/>
  <c r="C61" i="11"/>
  <c r="C65" i="11" s="1"/>
  <c r="F60" i="11"/>
  <c r="E60" i="11"/>
  <c r="F59" i="11"/>
  <c r="E59" i="11"/>
  <c r="D56" i="11"/>
  <c r="C56" i="11"/>
  <c r="F55" i="11"/>
  <c r="E55" i="11"/>
  <c r="F54" i="11"/>
  <c r="E54" i="11"/>
  <c r="F53" i="11"/>
  <c r="E53" i="11"/>
  <c r="F52" i="11"/>
  <c r="E52" i="11"/>
  <c r="F51" i="11"/>
  <c r="E51" i="11"/>
  <c r="E50" i="11"/>
  <c r="F50" i="11"/>
  <c r="A50" i="11"/>
  <c r="A51" i="11" s="1"/>
  <c r="A52" i="11"/>
  <c r="A53" i="11" s="1"/>
  <c r="A54" i="11" s="1"/>
  <c r="A55" i="11" s="1"/>
  <c r="E49" i="11"/>
  <c r="F49" i="11" s="1"/>
  <c r="E40" i="11"/>
  <c r="F40" i="11" s="1"/>
  <c r="D38" i="11"/>
  <c r="D41" i="11" s="1"/>
  <c r="D43" i="11" s="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E21" i="11"/>
  <c r="F21" i="11" s="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F14" i="11"/>
  <c r="E14" i="11"/>
  <c r="E13" i="11"/>
  <c r="F13" i="11" s="1"/>
  <c r="F120" i="10"/>
  <c r="D120" i="10"/>
  <c r="E120" i="10"/>
  <c r="C120" i="10"/>
  <c r="F119" i="10"/>
  <c r="D119" i="10"/>
  <c r="E119" i="10" s="1"/>
  <c r="C119" i="10"/>
  <c r="F118" i="10"/>
  <c r="D118" i="10"/>
  <c r="E118" i="10"/>
  <c r="C118" i="10"/>
  <c r="F117" i="10"/>
  <c r="D117" i="10"/>
  <c r="E117" i="10" s="1"/>
  <c r="C117" i="10"/>
  <c r="F116" i="10"/>
  <c r="D116" i="10"/>
  <c r="E116" i="10"/>
  <c r="C116" i="10"/>
  <c r="F115" i="10"/>
  <c r="D115" i="10"/>
  <c r="E115" i="10" s="1"/>
  <c r="C115" i="10"/>
  <c r="F114" i="10"/>
  <c r="D114" i="10"/>
  <c r="E114" i="10"/>
  <c r="C114" i="10"/>
  <c r="F113" i="10"/>
  <c r="D113" i="10"/>
  <c r="D122" i="10" s="1"/>
  <c r="C113" i="10"/>
  <c r="C122" i="10"/>
  <c r="F122" i="10" s="1"/>
  <c r="F112" i="10"/>
  <c r="D112" i="10"/>
  <c r="D121" i="10" s="1"/>
  <c r="C112" i="10"/>
  <c r="C121" i="10"/>
  <c r="F121" i="10"/>
  <c r="F108" i="10"/>
  <c r="D108" i="10"/>
  <c r="E108" i="10" s="1"/>
  <c r="C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3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 s="1"/>
  <c r="C60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C205" i="9"/>
  <c r="D204" i="9"/>
  <c r="E204" i="9" s="1"/>
  <c r="C204" i="9"/>
  <c r="D203" i="9"/>
  <c r="C203" i="9"/>
  <c r="D202" i="9"/>
  <c r="E202" i="9"/>
  <c r="C202" i="9"/>
  <c r="D201" i="9"/>
  <c r="E201" i="9" s="1"/>
  <c r="C201" i="9"/>
  <c r="D200" i="9"/>
  <c r="C200" i="9"/>
  <c r="D199" i="9"/>
  <c r="E199" i="9" s="1"/>
  <c r="C199" i="9"/>
  <c r="D198" i="9"/>
  <c r="E198" i="9" s="1"/>
  <c r="F198" i="9" s="1"/>
  <c r="C198" i="9"/>
  <c r="D193" i="9"/>
  <c r="F193" i="9"/>
  <c r="C193" i="9"/>
  <c r="E193" i="9" s="1"/>
  <c r="D192" i="9"/>
  <c r="E192" i="9"/>
  <c r="F192" i="9" s="1"/>
  <c r="C192" i="9"/>
  <c r="E191" i="9"/>
  <c r="F191" i="9" s="1"/>
  <c r="F190" i="9"/>
  <c r="E190" i="9"/>
  <c r="F189" i="9"/>
  <c r="E189" i="9"/>
  <c r="F188" i="9"/>
  <c r="E188" i="9"/>
  <c r="E187" i="9"/>
  <c r="F187" i="9" s="1"/>
  <c r="F186" i="9"/>
  <c r="E186" i="9"/>
  <c r="F185" i="9"/>
  <c r="E185" i="9"/>
  <c r="F184" i="9"/>
  <c r="E184" i="9"/>
  <c r="E183" i="9"/>
  <c r="F183" i="9" s="1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C154" i="9"/>
  <c r="E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F141" i="9" s="1"/>
  <c r="D140" i="9"/>
  <c r="E140" i="9"/>
  <c r="F140" i="9" s="1"/>
  <c r="C140" i="9"/>
  <c r="F139" i="9"/>
  <c r="E139" i="9"/>
  <c r="E138" i="9"/>
  <c r="F138" i="9" s="1"/>
  <c r="E137" i="9"/>
  <c r="F137" i="9" s="1"/>
  <c r="F136" i="9"/>
  <c r="E136" i="9"/>
  <c r="E135" i="9"/>
  <c r="F135" i="9" s="1"/>
  <c r="E134" i="9"/>
  <c r="F134" i="9" s="1"/>
  <c r="E133" i="9"/>
  <c r="F133" i="9" s="1"/>
  <c r="F132" i="9"/>
  <c r="E132" i="9"/>
  <c r="F131" i="9"/>
  <c r="E131" i="9"/>
  <c r="D128" i="9"/>
  <c r="E128" i="9" s="1"/>
  <c r="C128" i="9"/>
  <c r="D127" i="9"/>
  <c r="C127" i="9"/>
  <c r="F126" i="9"/>
  <c r="E126" i="9"/>
  <c r="E125" i="9"/>
  <c r="F125" i="9" s="1"/>
  <c r="F124" i="9"/>
  <c r="E124" i="9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D115" i="9"/>
  <c r="E115" i="9"/>
  <c r="F115" i="9"/>
  <c r="C115" i="9"/>
  <c r="D114" i="9"/>
  <c r="F114" i="9"/>
  <c r="C114" i="9"/>
  <c r="E114" i="9" s="1"/>
  <c r="E113" i="9"/>
  <c r="F113" i="9" s="1"/>
  <c r="F112" i="9"/>
  <c r="E112" i="9"/>
  <c r="E111" i="9"/>
  <c r="F111" i="9" s="1"/>
  <c r="E110" i="9"/>
  <c r="F110" i="9" s="1"/>
  <c r="E109" i="9"/>
  <c r="F109" i="9" s="1"/>
  <c r="F108" i="9"/>
  <c r="E108" i="9"/>
  <c r="F107" i="9"/>
  <c r="E107" i="9"/>
  <c r="E106" i="9"/>
  <c r="F106" i="9" s="1"/>
  <c r="E105" i="9"/>
  <c r="F105" i="9" s="1"/>
  <c r="D102" i="9"/>
  <c r="E102" i="9" s="1"/>
  <c r="F102" i="9"/>
  <c r="C102" i="9"/>
  <c r="D101" i="9"/>
  <c r="E101" i="9" s="1"/>
  <c r="C101" i="9"/>
  <c r="F100" i="9"/>
  <c r="E100" i="9"/>
  <c r="E99" i="9"/>
  <c r="F99" i="9" s="1"/>
  <c r="E98" i="9"/>
  <c r="F98" i="9" s="1"/>
  <c r="E97" i="9"/>
  <c r="F97" i="9" s="1"/>
  <c r="E96" i="9"/>
  <c r="F96" i="9" s="1"/>
  <c r="F95" i="9"/>
  <c r="E95" i="9"/>
  <c r="E94" i="9"/>
  <c r="F94" i="9" s="1"/>
  <c r="E93" i="9"/>
  <c r="F93" i="9" s="1"/>
  <c r="E92" i="9"/>
  <c r="F92" i="9" s="1"/>
  <c r="D89" i="9"/>
  <c r="E89" i="9"/>
  <c r="C89" i="9"/>
  <c r="D88" i="9"/>
  <c r="C88" i="9"/>
  <c r="F87" i="9"/>
  <c r="E87" i="9"/>
  <c r="F86" i="9"/>
  <c r="E86" i="9"/>
  <c r="E85" i="9"/>
  <c r="F85" i="9" s="1"/>
  <c r="F84" i="9"/>
  <c r="E84" i="9"/>
  <c r="F83" i="9"/>
  <c r="E83" i="9"/>
  <c r="E82" i="9"/>
  <c r="F82" i="9" s="1"/>
  <c r="E81" i="9"/>
  <c r="F81" i="9" s="1"/>
  <c r="F80" i="9"/>
  <c r="E80" i="9"/>
  <c r="F79" i="9"/>
  <c r="E79" i="9"/>
  <c r="D76" i="9"/>
  <c r="E76" i="9"/>
  <c r="C76" i="9"/>
  <c r="D75" i="9"/>
  <c r="E75" i="9"/>
  <c r="F75" i="9"/>
  <c r="C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F67" i="9"/>
  <c r="E67" i="9"/>
  <c r="E66" i="9"/>
  <c r="F66" i="9" s="1"/>
  <c r="D63" i="9"/>
  <c r="C63" i="9"/>
  <c r="D62" i="9"/>
  <c r="E62" i="9" s="1"/>
  <c r="C62" i="9"/>
  <c r="F61" i="9"/>
  <c r="E61" i="9"/>
  <c r="E60" i="9"/>
  <c r="F60" i="9" s="1"/>
  <c r="E59" i="9"/>
  <c r="F59" i="9" s="1"/>
  <c r="F58" i="9"/>
  <c r="E58" i="9"/>
  <c r="F57" i="9"/>
  <c r="E57" i="9"/>
  <c r="E56" i="9"/>
  <c r="F56" i="9" s="1"/>
  <c r="F55" i="9"/>
  <c r="E55" i="9"/>
  <c r="F54" i="9"/>
  <c r="E54" i="9"/>
  <c r="F53" i="9"/>
  <c r="E53" i="9"/>
  <c r="D50" i="9"/>
  <c r="C50" i="9"/>
  <c r="E50" i="9" s="1"/>
  <c r="F50" i="9" s="1"/>
  <c r="D49" i="9"/>
  <c r="E49" i="9"/>
  <c r="C49" i="9"/>
  <c r="F49" i="9" s="1"/>
  <c r="E48" i="9"/>
  <c r="F48" i="9" s="1"/>
  <c r="F47" i="9"/>
  <c r="E47" i="9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F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 s="1"/>
  <c r="C164" i="8"/>
  <c r="E162" i="8"/>
  <c r="E166" i="8" s="1"/>
  <c r="E153" i="8" s="1"/>
  <c r="D162" i="8"/>
  <c r="C162" i="8"/>
  <c r="C166" i="8" s="1"/>
  <c r="C154" i="8" s="1"/>
  <c r="E161" i="8"/>
  <c r="D161" i="8"/>
  <c r="C161" i="8"/>
  <c r="E160" i="8"/>
  <c r="C160" i="8"/>
  <c r="E147" i="8"/>
  <c r="E143" i="8" s="1"/>
  <c r="D147" i="8"/>
  <c r="D143" i="8"/>
  <c r="C147" i="8"/>
  <c r="E145" i="8"/>
  <c r="D145" i="8"/>
  <c r="C145" i="8"/>
  <c r="E144" i="8"/>
  <c r="D144" i="8"/>
  <c r="C144" i="8"/>
  <c r="C143" i="8"/>
  <c r="C149" i="8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E109" i="8" s="1"/>
  <c r="E106" i="8" s="1"/>
  <c r="D107" i="8"/>
  <c r="C107" i="8"/>
  <c r="C109" i="8" s="1"/>
  <c r="C106" i="8" s="1"/>
  <c r="C104" i="8"/>
  <c r="E102" i="8"/>
  <c r="E104" i="8" s="1"/>
  <c r="D102" i="8"/>
  <c r="D104" i="8"/>
  <c r="C102" i="8"/>
  <c r="E100" i="8"/>
  <c r="D100" i="8"/>
  <c r="C100" i="8"/>
  <c r="E95" i="8"/>
  <c r="E94" i="8" s="1"/>
  <c r="D95" i="8"/>
  <c r="C95" i="8"/>
  <c r="C94" i="8"/>
  <c r="D94" i="8"/>
  <c r="E89" i="8"/>
  <c r="E90" i="8" s="1"/>
  <c r="D89" i="8"/>
  <c r="C89" i="8"/>
  <c r="C90" i="8" s="1"/>
  <c r="E87" i="8"/>
  <c r="D87" i="8"/>
  <c r="C87" i="8"/>
  <c r="E84" i="8"/>
  <c r="E79" i="8" s="1"/>
  <c r="D84" i="8"/>
  <c r="D79" i="8" s="1"/>
  <c r="C84" i="8"/>
  <c r="C79" i="8" s="1"/>
  <c r="E83" i="8"/>
  <c r="D83" i="8"/>
  <c r="C83" i="8"/>
  <c r="E77" i="8"/>
  <c r="E71" i="8"/>
  <c r="E75" i="8"/>
  <c r="E88" i="8"/>
  <c r="E86" i="8"/>
  <c r="D75" i="8"/>
  <c r="D88" i="8"/>
  <c r="D90" i="8" s="1"/>
  <c r="D86" i="8" s="1"/>
  <c r="C75" i="8"/>
  <c r="C77" i="8" s="1"/>
  <c r="C71" i="8" s="1"/>
  <c r="C88" i="8"/>
  <c r="C86" i="8"/>
  <c r="E74" i="8"/>
  <c r="D74" i="8"/>
  <c r="C74" i="8"/>
  <c r="E67" i="8"/>
  <c r="D67" i="8"/>
  <c r="C67" i="8"/>
  <c r="D43" i="8"/>
  <c r="E38" i="8"/>
  <c r="D38" i="8"/>
  <c r="C38" i="8"/>
  <c r="C57" i="8"/>
  <c r="C62" i="8" s="1"/>
  <c r="E33" i="8"/>
  <c r="E34" i="8" s="1"/>
  <c r="D33" i="8"/>
  <c r="D34" i="8" s="1"/>
  <c r="E26" i="8"/>
  <c r="D26" i="8"/>
  <c r="C26" i="8"/>
  <c r="D15" i="8"/>
  <c r="D24" i="8"/>
  <c r="E13" i="8"/>
  <c r="E25" i="8"/>
  <c r="E27" i="8" s="1"/>
  <c r="E21" i="8" s="1"/>
  <c r="D13" i="8"/>
  <c r="D25" i="8"/>
  <c r="D27" i="8"/>
  <c r="C13" i="8"/>
  <c r="C25" i="8" s="1"/>
  <c r="C27" i="8" s="1"/>
  <c r="F186" i="7"/>
  <c r="E186" i="7"/>
  <c r="D183" i="7"/>
  <c r="D188" i="7"/>
  <c r="E188" i="7"/>
  <c r="C183" i="7"/>
  <c r="C188" i="7"/>
  <c r="F182" i="7"/>
  <c r="E182" i="7"/>
  <c r="E181" i="7"/>
  <c r="F181" i="7" s="1"/>
  <c r="F180" i="7"/>
  <c r="E180" i="7"/>
  <c r="F179" i="7"/>
  <c r="E179" i="7"/>
  <c r="E178" i="7"/>
  <c r="F178" i="7" s="1"/>
  <c r="E177" i="7"/>
  <c r="F177" i="7" s="1"/>
  <c r="E176" i="7"/>
  <c r="F176" i="7" s="1"/>
  <c r="E175" i="7"/>
  <c r="F175" i="7" s="1"/>
  <c r="E174" i="7"/>
  <c r="F174" i="7" s="1"/>
  <c r="E173" i="7"/>
  <c r="F173" i="7" s="1"/>
  <c r="E172" i="7"/>
  <c r="F172" i="7" s="1"/>
  <c r="F171" i="7"/>
  <c r="E171" i="7"/>
  <c r="E170" i="7"/>
  <c r="F170" i="7" s="1"/>
  <c r="D167" i="7"/>
  <c r="C167" i="7"/>
  <c r="F166" i="7"/>
  <c r="E166" i="7"/>
  <c r="E165" i="7"/>
  <c r="F165" i="7" s="1"/>
  <c r="F164" i="7"/>
  <c r="E164" i="7"/>
  <c r="E163" i="7"/>
  <c r="F163" i="7" s="1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E150" i="7"/>
  <c r="F150" i="7" s="1"/>
  <c r="E149" i="7"/>
  <c r="F149" i="7" s="1"/>
  <c r="F148" i="7"/>
  <c r="E148" i="7"/>
  <c r="F147" i="7"/>
  <c r="E147" i="7"/>
  <c r="F146" i="7"/>
  <c r="E146" i="7"/>
  <c r="E145" i="7"/>
  <c r="F145" i="7" s="1"/>
  <c r="F144" i="7"/>
  <c r="E144" i="7"/>
  <c r="E143" i="7"/>
  <c r="F143" i="7" s="1"/>
  <c r="F142" i="7"/>
  <c r="E142" i="7"/>
  <c r="E141" i="7"/>
  <c r="F141" i="7" s="1"/>
  <c r="F140" i="7"/>
  <c r="E140" i="7"/>
  <c r="E139" i="7"/>
  <c r="F139" i="7" s="1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E129" i="7"/>
  <c r="F129" i="7" s="1"/>
  <c r="E128" i="7"/>
  <c r="F128" i="7" s="1"/>
  <c r="F127" i="7"/>
  <c r="E127" i="7"/>
  <c r="E126" i="7"/>
  <c r="F126" i="7" s="1"/>
  <c r="E125" i="7"/>
  <c r="F125" i="7" s="1"/>
  <c r="E124" i="7"/>
  <c r="F124" i="7" s="1"/>
  <c r="D121" i="7"/>
  <c r="E121" i="7" s="1"/>
  <c r="C121" i="7"/>
  <c r="F120" i="7"/>
  <c r="E120" i="7"/>
  <c r="E119" i="7"/>
  <c r="F119" i="7" s="1"/>
  <c r="F118" i="7"/>
  <c r="E118" i="7"/>
  <c r="E117" i="7"/>
  <c r="F117" i="7" s="1"/>
  <c r="F116" i="7"/>
  <c r="E116" i="7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F108" i="7"/>
  <c r="E108" i="7"/>
  <c r="E107" i="7"/>
  <c r="F107" i="7" s="1"/>
  <c r="F106" i="7"/>
  <c r="E106" i="7"/>
  <c r="E105" i="7"/>
  <c r="F105" i="7" s="1"/>
  <c r="F104" i="7"/>
  <c r="E104" i="7"/>
  <c r="E103" i="7"/>
  <c r="F103" i="7" s="1"/>
  <c r="F93" i="7"/>
  <c r="E93" i="7"/>
  <c r="D90" i="7"/>
  <c r="C90" i="7"/>
  <c r="F89" i="7"/>
  <c r="E89" i="7"/>
  <c r="E88" i="7"/>
  <c r="F88" i="7" s="1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E80" i="7"/>
  <c r="F80" i="7" s="1"/>
  <c r="E79" i="7"/>
  <c r="F79" i="7" s="1"/>
  <c r="F78" i="7"/>
  <c r="E78" i="7"/>
  <c r="F77" i="7"/>
  <c r="E77" i="7"/>
  <c r="E76" i="7"/>
  <c r="F76" i="7" s="1"/>
  <c r="F75" i="7"/>
  <c r="E75" i="7"/>
  <c r="F74" i="7"/>
  <c r="E74" i="7"/>
  <c r="F73" i="7"/>
  <c r="E73" i="7"/>
  <c r="E72" i="7"/>
  <c r="F72" i="7" s="1"/>
  <c r="E71" i="7"/>
  <c r="F71" i="7" s="1"/>
  <c r="F70" i="7"/>
  <c r="E70" i="7"/>
  <c r="F69" i="7"/>
  <c r="E69" i="7"/>
  <c r="E68" i="7"/>
  <c r="F68" i="7" s="1"/>
  <c r="F67" i="7"/>
  <c r="E67" i="7"/>
  <c r="F66" i="7"/>
  <c r="E66" i="7"/>
  <c r="F65" i="7"/>
  <c r="E65" i="7"/>
  <c r="E64" i="7"/>
  <c r="F64" i="7" s="1"/>
  <c r="E63" i="7"/>
  <c r="F63" i="7" s="1"/>
  <c r="F62" i="7"/>
  <c r="E62" i="7"/>
  <c r="D59" i="7"/>
  <c r="E59" i="7" s="1"/>
  <c r="C59" i="7"/>
  <c r="F59" i="7" s="1"/>
  <c r="F58" i="7"/>
  <c r="E58" i="7"/>
  <c r="F57" i="7"/>
  <c r="E57" i="7"/>
  <c r="F56" i="7"/>
  <c r="E56" i="7"/>
  <c r="E55" i="7"/>
  <c r="F55" i="7" s="1"/>
  <c r="E54" i="7"/>
  <c r="F54" i="7" s="1"/>
  <c r="F53" i="7"/>
  <c r="E53" i="7"/>
  <c r="F50" i="7"/>
  <c r="E50" i="7"/>
  <c r="E47" i="7"/>
  <c r="F47" i="7" s="1"/>
  <c r="F44" i="7"/>
  <c r="E44" i="7"/>
  <c r="D41" i="7"/>
  <c r="C41" i="7"/>
  <c r="E40" i="7"/>
  <c r="F40" i="7" s="1"/>
  <c r="E39" i="7"/>
  <c r="F39" i="7" s="1"/>
  <c r="F38" i="7"/>
  <c r="E38" i="7"/>
  <c r="D35" i="7"/>
  <c r="C35" i="7"/>
  <c r="E34" i="7"/>
  <c r="F34" i="7" s="1"/>
  <c r="F33" i="7"/>
  <c r="E33" i="7"/>
  <c r="D30" i="7"/>
  <c r="C30" i="7"/>
  <c r="F29" i="7"/>
  <c r="E29" i="7"/>
  <c r="F28" i="7"/>
  <c r="E28" i="7"/>
  <c r="F27" i="7"/>
  <c r="E27" i="7"/>
  <c r="D24" i="7"/>
  <c r="C24" i="7"/>
  <c r="E24" i="7" s="1"/>
  <c r="F24" i="7" s="1"/>
  <c r="F23" i="7"/>
  <c r="E23" i="7"/>
  <c r="F22" i="7"/>
  <c r="E22" i="7"/>
  <c r="E21" i="7"/>
  <c r="F21" i="7" s="1"/>
  <c r="D18" i="7"/>
  <c r="E18" i="7"/>
  <c r="F18" i="7" s="1"/>
  <c r="C18" i="7"/>
  <c r="F17" i="7"/>
  <c r="E17" i="7"/>
  <c r="E16" i="7"/>
  <c r="F16" i="7" s="1"/>
  <c r="E15" i="7"/>
  <c r="F15" i="7" s="1"/>
  <c r="D179" i="6"/>
  <c r="C179" i="6"/>
  <c r="E178" i="6"/>
  <c r="F178" i="6" s="1"/>
  <c r="F177" i="6"/>
  <c r="E177" i="6"/>
  <c r="F176" i="6"/>
  <c r="E176" i="6"/>
  <c r="E175" i="6"/>
  <c r="F175" i="6" s="1"/>
  <c r="E174" i="6"/>
  <c r="F174" i="6" s="1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C166" i="6"/>
  <c r="E165" i="6"/>
  <c r="F165" i="6"/>
  <c r="F164" i="6"/>
  <c r="E164" i="6"/>
  <c r="F163" i="6"/>
  <c r="E163" i="6"/>
  <c r="F162" i="6"/>
  <c r="E162" i="6"/>
  <c r="E161" i="6"/>
  <c r="F161" i="6"/>
  <c r="E160" i="6"/>
  <c r="F160" i="6"/>
  <c r="E159" i="6"/>
  <c r="F159" i="6" s="1"/>
  <c r="F158" i="6"/>
  <c r="E158" i="6"/>
  <c r="E157" i="6"/>
  <c r="F157" i="6"/>
  <c r="E156" i="6"/>
  <c r="F156" i="6" s="1"/>
  <c r="E155" i="6"/>
  <c r="F155" i="6" s="1"/>
  <c r="D153" i="6"/>
  <c r="C153" i="6"/>
  <c r="E152" i="6"/>
  <c r="F152" i="6"/>
  <c r="F151" i="6"/>
  <c r="E151" i="6"/>
  <c r="E150" i="6"/>
  <c r="F150" i="6" s="1"/>
  <c r="E149" i="6"/>
  <c r="F149" i="6" s="1"/>
  <c r="E148" i="6"/>
  <c r="F148" i="6"/>
  <c r="E147" i="6"/>
  <c r="F147" i="6"/>
  <c r="E146" i="6"/>
  <c r="F146" i="6" s="1"/>
  <c r="F145" i="6"/>
  <c r="E145" i="6"/>
  <c r="E144" i="6"/>
  <c r="F144" i="6"/>
  <c r="E143" i="6"/>
  <c r="F143" i="6" s="1"/>
  <c r="E142" i="6"/>
  <c r="F142" i="6" s="1"/>
  <c r="D137" i="6"/>
  <c r="C137" i="6"/>
  <c r="E136" i="6"/>
  <c r="F136" i="6"/>
  <c r="F135" i="6"/>
  <c r="E135" i="6"/>
  <c r="E134" i="6"/>
  <c r="F134" i="6" s="1"/>
  <c r="E133" i="6"/>
  <c r="F133" i="6" s="1"/>
  <c r="E132" i="6"/>
  <c r="F132" i="6"/>
  <c r="E131" i="6"/>
  <c r="F131" i="6"/>
  <c r="E130" i="6"/>
  <c r="F130" i="6" s="1"/>
  <c r="F129" i="6"/>
  <c r="E129" i="6"/>
  <c r="E128" i="6"/>
  <c r="F128" i="6"/>
  <c r="E127" i="6"/>
  <c r="F127" i="6" s="1"/>
  <c r="E126" i="6"/>
  <c r="F126" i="6" s="1"/>
  <c r="D124" i="6"/>
  <c r="C124" i="6"/>
  <c r="E123" i="6"/>
  <c r="F123" i="6"/>
  <c r="F122" i="6"/>
  <c r="E122" i="6"/>
  <c r="E121" i="6"/>
  <c r="F121" i="6" s="1"/>
  <c r="E120" i="6"/>
  <c r="F120" i="6" s="1"/>
  <c r="E119" i="6"/>
  <c r="F119" i="6"/>
  <c r="E118" i="6"/>
  <c r="F118" i="6"/>
  <c r="E117" i="6"/>
  <c r="F117" i="6" s="1"/>
  <c r="F116" i="6"/>
  <c r="E116" i="6"/>
  <c r="E115" i="6"/>
  <c r="F115" i="6"/>
  <c r="E114" i="6"/>
  <c r="F114" i="6" s="1"/>
  <c r="E113" i="6"/>
  <c r="F113" i="6" s="1"/>
  <c r="D111" i="6"/>
  <c r="C111" i="6"/>
  <c r="E110" i="6"/>
  <c r="F110" i="6"/>
  <c r="F109" i="6"/>
  <c r="E109" i="6"/>
  <c r="E108" i="6"/>
  <c r="F108" i="6" s="1"/>
  <c r="E107" i="6"/>
  <c r="F107" i="6" s="1"/>
  <c r="E106" i="6"/>
  <c r="F106" i="6"/>
  <c r="E105" i="6"/>
  <c r="F105" i="6"/>
  <c r="E104" i="6"/>
  <c r="F104" i="6" s="1"/>
  <c r="F103" i="6"/>
  <c r="E103" i="6"/>
  <c r="E102" i="6"/>
  <c r="F102" i="6"/>
  <c r="E101" i="6"/>
  <c r="F101" i="6" s="1"/>
  <c r="E100" i="6"/>
  <c r="F100" i="6" s="1"/>
  <c r="D94" i="6"/>
  <c r="C94" i="6"/>
  <c r="D93" i="6"/>
  <c r="C93" i="6"/>
  <c r="F93" i="6"/>
  <c r="D92" i="6"/>
  <c r="E92" i="6" s="1"/>
  <c r="F92" i="6" s="1"/>
  <c r="C92" i="6"/>
  <c r="D91" i="6"/>
  <c r="C91" i="6"/>
  <c r="D90" i="6"/>
  <c r="C90" i="6"/>
  <c r="D89" i="6"/>
  <c r="C89" i="6"/>
  <c r="E89" i="6" s="1"/>
  <c r="D88" i="6"/>
  <c r="E88" i="6" s="1"/>
  <c r="F88" i="6" s="1"/>
  <c r="C88" i="6"/>
  <c r="D87" i="6"/>
  <c r="C87" i="6"/>
  <c r="F87" i="6" s="1"/>
  <c r="D86" i="6"/>
  <c r="C86" i="6"/>
  <c r="D85" i="6"/>
  <c r="C85" i="6"/>
  <c r="D84" i="6"/>
  <c r="D95" i="6" s="1"/>
  <c r="C84" i="6"/>
  <c r="D81" i="6"/>
  <c r="C81" i="6"/>
  <c r="E80" i="6"/>
  <c r="F80" i="6" s="1"/>
  <c r="F79" i="6"/>
  <c r="E79" i="6"/>
  <c r="E78" i="6"/>
  <c r="F78" i="6"/>
  <c r="E77" i="6"/>
  <c r="F77" i="6"/>
  <c r="E76" i="6"/>
  <c r="F76" i="6" s="1"/>
  <c r="E75" i="6"/>
  <c r="F75" i="6"/>
  <c r="E74" i="6"/>
  <c r="F74" i="6"/>
  <c r="F73" i="6"/>
  <c r="E73" i="6"/>
  <c r="E72" i="6"/>
  <c r="F72" i="6" s="1"/>
  <c r="E71" i="6"/>
  <c r="F71" i="6" s="1"/>
  <c r="E70" i="6"/>
  <c r="F70" i="6"/>
  <c r="D68" i="6"/>
  <c r="C68" i="6"/>
  <c r="E67" i="6"/>
  <c r="F67" i="6" s="1"/>
  <c r="F66" i="6"/>
  <c r="E66" i="6"/>
  <c r="E65" i="6"/>
  <c r="F65" i="6"/>
  <c r="E64" i="6"/>
  <c r="F64" i="6" s="1"/>
  <c r="E63" i="6"/>
  <c r="F63" i="6"/>
  <c r="E62" i="6"/>
  <c r="F62" i="6"/>
  <c r="E61" i="6"/>
  <c r="F61" i="6"/>
  <c r="F60" i="6"/>
  <c r="E60" i="6"/>
  <c r="E59" i="6"/>
  <c r="F59" i="6"/>
  <c r="E58" i="6"/>
  <c r="F58" i="6"/>
  <c r="E57" i="6"/>
  <c r="F57" i="6"/>
  <c r="D51" i="6"/>
  <c r="E51" i="6"/>
  <c r="C51" i="6"/>
  <c r="D50" i="6"/>
  <c r="C50" i="6"/>
  <c r="F50" i="6" s="1"/>
  <c r="D49" i="6"/>
  <c r="F49" i="6"/>
  <c r="C49" i="6"/>
  <c r="E49" i="6" s="1"/>
  <c r="D48" i="6"/>
  <c r="E48" i="6" s="1"/>
  <c r="C48" i="6"/>
  <c r="D47" i="6"/>
  <c r="C47" i="6"/>
  <c r="D46" i="6"/>
  <c r="C46" i="6"/>
  <c r="D45" i="6"/>
  <c r="C45" i="6"/>
  <c r="D44" i="6"/>
  <c r="C44" i="6"/>
  <c r="F44" i="6" s="1"/>
  <c r="D43" i="6"/>
  <c r="E43" i="6" s="1"/>
  <c r="F43" i="6"/>
  <c r="C43" i="6"/>
  <c r="D42" i="6"/>
  <c r="C42" i="6"/>
  <c r="D41" i="6"/>
  <c r="C41" i="6"/>
  <c r="D38" i="6"/>
  <c r="E38" i="6" s="1"/>
  <c r="C38" i="6"/>
  <c r="F37" i="6"/>
  <c r="E37" i="6"/>
  <c r="F36" i="6"/>
  <c r="E36" i="6"/>
  <c r="E35" i="6"/>
  <c r="F35" i="6" s="1"/>
  <c r="E34" i="6"/>
  <c r="F34" i="6" s="1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C25" i="6"/>
  <c r="F25" i="6" s="1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F16" i="6"/>
  <c r="E16" i="6"/>
  <c r="F15" i="6"/>
  <c r="E15" i="6"/>
  <c r="E14" i="6"/>
  <c r="F14" i="6" s="1"/>
  <c r="E51" i="5"/>
  <c r="F51" i="5" s="1"/>
  <c r="D48" i="5"/>
  <c r="C48" i="5"/>
  <c r="F47" i="5"/>
  <c r="E47" i="5"/>
  <c r="F46" i="5"/>
  <c r="E46" i="5"/>
  <c r="D41" i="5"/>
  <c r="E41" i="5"/>
  <c r="C41" i="5"/>
  <c r="F40" i="5"/>
  <c r="E40" i="5"/>
  <c r="F39" i="5"/>
  <c r="E39" i="5"/>
  <c r="E38" i="5"/>
  <c r="F38" i="5" s="1"/>
  <c r="D33" i="5"/>
  <c r="E33" i="5" s="1"/>
  <c r="F33" i="5" s="1"/>
  <c r="C33" i="5"/>
  <c r="F32" i="5"/>
  <c r="E32" i="5"/>
  <c r="E31" i="5"/>
  <c r="F31" i="5" s="1"/>
  <c r="E30" i="5"/>
  <c r="F30" i="5" s="1"/>
  <c r="F29" i="5"/>
  <c r="E29" i="5"/>
  <c r="F28" i="5"/>
  <c r="E28" i="5"/>
  <c r="E27" i="5"/>
  <c r="F27" i="5" s="1"/>
  <c r="F26" i="5"/>
  <c r="E26" i="5"/>
  <c r="F25" i="5"/>
  <c r="E25" i="5"/>
  <c r="F24" i="5"/>
  <c r="E24" i="5"/>
  <c r="E20" i="5"/>
  <c r="F20" i="5" s="1"/>
  <c r="E19" i="5"/>
  <c r="F19" i="5" s="1"/>
  <c r="F17" i="5"/>
  <c r="E17" i="5"/>
  <c r="D16" i="5"/>
  <c r="D18" i="5" s="1"/>
  <c r="C16" i="5"/>
  <c r="C18" i="5"/>
  <c r="F15" i="5"/>
  <c r="E15" i="5"/>
  <c r="F14" i="5"/>
  <c r="E14" i="5"/>
  <c r="F13" i="5"/>
  <c r="E13" i="5"/>
  <c r="E12" i="5"/>
  <c r="F12" i="5" s="1"/>
  <c r="D73" i="4"/>
  <c r="C73" i="4"/>
  <c r="E72" i="4"/>
  <c r="F72" i="4" s="1"/>
  <c r="E71" i="4"/>
  <c r="F71" i="4" s="1"/>
  <c r="E70" i="4"/>
  <c r="F70" i="4"/>
  <c r="F67" i="4"/>
  <c r="E67" i="4"/>
  <c r="E64" i="4"/>
  <c r="F64" i="4" s="1"/>
  <c r="E63" i="4"/>
  <c r="F63" i="4" s="1"/>
  <c r="D61" i="4"/>
  <c r="D65" i="4"/>
  <c r="C61" i="4"/>
  <c r="E60" i="4"/>
  <c r="F60" i="4" s="1"/>
  <c r="E59" i="4"/>
  <c r="F59" i="4"/>
  <c r="D56" i="4"/>
  <c r="D75" i="4" s="1"/>
  <c r="C56" i="4"/>
  <c r="E55" i="4"/>
  <c r="F55" i="4" s="1"/>
  <c r="F54" i="4"/>
  <c r="E54" i="4"/>
  <c r="E53" i="4"/>
  <c r="F53" i="4" s="1"/>
  <c r="E52" i="4"/>
  <c r="F52" i="4" s="1"/>
  <c r="E51" i="4"/>
  <c r="F51" i="4" s="1"/>
  <c r="F50" i="4"/>
  <c r="E50" i="4"/>
  <c r="A50" i="4"/>
  <c r="A51" i="4" s="1"/>
  <c r="A52" i="4" s="1"/>
  <c r="A53" i="4" s="1"/>
  <c r="A54" i="4"/>
  <c r="A55" i="4" s="1"/>
  <c r="E49" i="4"/>
  <c r="F49" i="4" s="1"/>
  <c r="E40" i="4"/>
  <c r="F40" i="4" s="1"/>
  <c r="D38" i="4"/>
  <c r="D41" i="4"/>
  <c r="C38" i="4"/>
  <c r="C41" i="4" s="1"/>
  <c r="E37" i="4"/>
  <c r="F37" i="4"/>
  <c r="E36" i="4"/>
  <c r="F36" i="4"/>
  <c r="E33" i="4"/>
  <c r="F33" i="4"/>
  <c r="E32" i="4"/>
  <c r="F32" i="4" s="1"/>
  <c r="E31" i="4"/>
  <c r="F31" i="4"/>
  <c r="D29" i="4"/>
  <c r="C29" i="4"/>
  <c r="E28" i="4"/>
  <c r="F28" i="4"/>
  <c r="F27" i="4"/>
  <c r="E27" i="4"/>
  <c r="F26" i="4"/>
  <c r="E26" i="4"/>
  <c r="E25" i="4"/>
  <c r="F25" i="4"/>
  <c r="D22" i="4"/>
  <c r="C22" i="4"/>
  <c r="E21" i="4"/>
  <c r="F21" i="4" s="1"/>
  <c r="E20" i="4"/>
  <c r="F20" i="4"/>
  <c r="E19" i="4"/>
  <c r="F19" i="4"/>
  <c r="F18" i="4"/>
  <c r="E18" i="4"/>
  <c r="E17" i="4"/>
  <c r="F17" i="4" s="1"/>
  <c r="F16" i="4"/>
  <c r="E16" i="4"/>
  <c r="E15" i="4"/>
  <c r="F15" i="4"/>
  <c r="E14" i="4"/>
  <c r="F14" i="4"/>
  <c r="E13" i="4"/>
  <c r="F13" i="4" s="1"/>
  <c r="D108" i="22"/>
  <c r="D109" i="22"/>
  <c r="D22" i="22"/>
  <c r="C23" i="22"/>
  <c r="E23" i="22"/>
  <c r="C34" i="22"/>
  <c r="E34" i="22"/>
  <c r="D101" i="22"/>
  <c r="D103" i="22" s="1"/>
  <c r="C103" i="22"/>
  <c r="E22" i="22"/>
  <c r="F25" i="20"/>
  <c r="F16" i="20"/>
  <c r="E19" i="20"/>
  <c r="F19" i="20"/>
  <c r="C20" i="20"/>
  <c r="E20" i="20" s="1"/>
  <c r="E25" i="20"/>
  <c r="E36" i="20"/>
  <c r="F36" i="20" s="1"/>
  <c r="C40" i="20"/>
  <c r="E44" i="20"/>
  <c r="F44" i="20"/>
  <c r="E45" i="20"/>
  <c r="F45" i="20"/>
  <c r="C46" i="20"/>
  <c r="C38" i="19"/>
  <c r="C127" i="19"/>
  <c r="C129" i="19"/>
  <c r="C133" i="19" s="1"/>
  <c r="E294" i="17"/>
  <c r="F294" i="17" s="1"/>
  <c r="E295" i="17"/>
  <c r="E296" i="17"/>
  <c r="F296" i="17"/>
  <c r="E297" i="17"/>
  <c r="E298" i="17"/>
  <c r="F298" i="17" s="1"/>
  <c r="E299" i="17"/>
  <c r="C22" i="19"/>
  <c r="E85" i="17"/>
  <c r="F85" i="17" s="1"/>
  <c r="D192" i="17"/>
  <c r="E129" i="17"/>
  <c r="F129" i="17" s="1"/>
  <c r="E135" i="17"/>
  <c r="E145" i="17"/>
  <c r="F145" i="17" s="1"/>
  <c r="E155" i="17"/>
  <c r="C284" i="18"/>
  <c r="E55" i="18"/>
  <c r="D66" i="18"/>
  <c r="D241" i="18"/>
  <c r="D283" i="18"/>
  <c r="E283" i="18" s="1"/>
  <c r="D22" i="18"/>
  <c r="E21" i="18"/>
  <c r="C33" i="18"/>
  <c r="E33" i="18"/>
  <c r="E32" i="18"/>
  <c r="D43" i="18"/>
  <c r="E54" i="18"/>
  <c r="C289" i="18"/>
  <c r="E289" i="18" s="1"/>
  <c r="C71" i="18"/>
  <c r="C65" i="18"/>
  <c r="E60" i="18"/>
  <c r="E70" i="18"/>
  <c r="D157" i="18"/>
  <c r="E157" i="18" s="1"/>
  <c r="E156" i="18"/>
  <c r="C283" i="18"/>
  <c r="D294" i="18"/>
  <c r="C144" i="18"/>
  <c r="E144" i="18"/>
  <c r="D145" i="18"/>
  <c r="E151" i="18"/>
  <c r="C175" i="18"/>
  <c r="E175" i="18"/>
  <c r="D180" i="18"/>
  <c r="C261" i="18"/>
  <c r="C189" i="18"/>
  <c r="E188" i="18"/>
  <c r="E195" i="18"/>
  <c r="D234" i="18"/>
  <c r="D211" i="18"/>
  <c r="D181" i="18" s="1"/>
  <c r="D239" i="18"/>
  <c r="E239" i="18" s="1"/>
  <c r="E215" i="18"/>
  <c r="E220" i="18"/>
  <c r="E245" i="18"/>
  <c r="D253" i="18"/>
  <c r="E139" i="18"/>
  <c r="E261" i="18"/>
  <c r="C229" i="18"/>
  <c r="E229" i="18" s="1"/>
  <c r="C210" i="18"/>
  <c r="E205" i="18"/>
  <c r="C240" i="18"/>
  <c r="E240" i="18" s="1"/>
  <c r="C222" i="18"/>
  <c r="E216" i="18"/>
  <c r="C242" i="18"/>
  <c r="E242" i="18"/>
  <c r="C217" i="18"/>
  <c r="E217" i="18" s="1"/>
  <c r="C241" i="18"/>
  <c r="E241" i="18" s="1"/>
  <c r="E218" i="18"/>
  <c r="D243" i="18"/>
  <c r="E243" i="18" s="1"/>
  <c r="E219" i="18"/>
  <c r="C253" i="18"/>
  <c r="E253" i="18" s="1"/>
  <c r="D320" i="18"/>
  <c r="E320" i="18"/>
  <c r="E316" i="18"/>
  <c r="D330" i="18"/>
  <c r="E221" i="18"/>
  <c r="D222" i="18"/>
  <c r="C223" i="18"/>
  <c r="E265" i="18"/>
  <c r="E314" i="18"/>
  <c r="E233" i="18"/>
  <c r="E301" i="18"/>
  <c r="C32" i="17"/>
  <c r="C160" i="17"/>
  <c r="C61" i="17"/>
  <c r="C138" i="17"/>
  <c r="F146" i="17"/>
  <c r="D32" i="17"/>
  <c r="E31" i="17"/>
  <c r="F31" i="17" s="1"/>
  <c r="D160" i="17"/>
  <c r="E160" i="17" s="1"/>
  <c r="D90" i="17"/>
  <c r="E48" i="17"/>
  <c r="F48" i="17" s="1"/>
  <c r="D61" i="17"/>
  <c r="E60" i="17"/>
  <c r="F60" i="17"/>
  <c r="C103" i="17"/>
  <c r="E137" i="17"/>
  <c r="F137" i="17" s="1"/>
  <c r="C21" i="17"/>
  <c r="E30" i="17"/>
  <c r="F30" i="17"/>
  <c r="E35" i="17"/>
  <c r="F35" i="17"/>
  <c r="C37" i="17"/>
  <c r="E47" i="17"/>
  <c r="F47" i="17"/>
  <c r="E59" i="17"/>
  <c r="F59" i="17" s="1"/>
  <c r="E66" i="17"/>
  <c r="F66" i="17" s="1"/>
  <c r="E76" i="17"/>
  <c r="F76" i="17" s="1"/>
  <c r="F94" i="17"/>
  <c r="F95" i="17"/>
  <c r="F100" i="17"/>
  <c r="F120" i="17"/>
  <c r="D124" i="17"/>
  <c r="F135" i="17"/>
  <c r="F155" i="17"/>
  <c r="D172" i="17"/>
  <c r="C279" i="17"/>
  <c r="E227" i="17"/>
  <c r="F227" i="17"/>
  <c r="D21" i="17"/>
  <c r="E88" i="17"/>
  <c r="F88" i="17" s="1"/>
  <c r="E109" i="17"/>
  <c r="F109" i="17" s="1"/>
  <c r="C193" i="17"/>
  <c r="C192" i="17"/>
  <c r="E123" i="17"/>
  <c r="F123" i="17" s="1"/>
  <c r="C124" i="17"/>
  <c r="E136" i="17"/>
  <c r="F136" i="17"/>
  <c r="E144" i="17"/>
  <c r="F144" i="17"/>
  <c r="E158" i="17"/>
  <c r="F158" i="17"/>
  <c r="D277" i="17"/>
  <c r="D261" i="17"/>
  <c r="D214" i="17"/>
  <c r="D206" i="17"/>
  <c r="E206" i="17" s="1"/>
  <c r="F206" i="17" s="1"/>
  <c r="D190" i="17"/>
  <c r="E188" i="17"/>
  <c r="F188" i="17"/>
  <c r="C288" i="17"/>
  <c r="E189" i="17"/>
  <c r="F189" i="17"/>
  <c r="C190" i="17"/>
  <c r="E190" i="17" s="1"/>
  <c r="E191" i="17"/>
  <c r="F191" i="17"/>
  <c r="C205" i="17"/>
  <c r="C206" i="17"/>
  <c r="C214" i="17"/>
  <c r="C304" i="17" s="1"/>
  <c r="C215" i="17"/>
  <c r="E226" i="17"/>
  <c r="F226" i="17"/>
  <c r="E237" i="17"/>
  <c r="F237" i="17"/>
  <c r="E250" i="17"/>
  <c r="F250" i="17"/>
  <c r="C255" i="17"/>
  <c r="C261" i="17"/>
  <c r="C262" i="17"/>
  <c r="C264" i="17"/>
  <c r="C267" i="17"/>
  <c r="C269" i="17"/>
  <c r="F278" i="17"/>
  <c r="E280" i="17"/>
  <c r="F280" i="17"/>
  <c r="D290" i="17"/>
  <c r="D274" i="17"/>
  <c r="D199" i="17"/>
  <c r="D200" i="17"/>
  <c r="D283" i="17"/>
  <c r="D267" i="17"/>
  <c r="D285" i="17"/>
  <c r="D269" i="17"/>
  <c r="E269" i="17"/>
  <c r="D205" i="17"/>
  <c r="E205" i="17"/>
  <c r="D215" i="17"/>
  <c r="D262" i="17"/>
  <c r="D264" i="17"/>
  <c r="F295" i="17"/>
  <c r="F297" i="17"/>
  <c r="F299" i="17"/>
  <c r="F36" i="14"/>
  <c r="F38" i="14"/>
  <c r="F40" i="14" s="1"/>
  <c r="I17" i="14"/>
  <c r="D31" i="14"/>
  <c r="F31" i="14"/>
  <c r="C33" i="14"/>
  <c r="C36" i="14"/>
  <c r="C38" i="14" s="1"/>
  <c r="C40" i="14"/>
  <c r="G33" i="14"/>
  <c r="H17" i="14"/>
  <c r="C20" i="13"/>
  <c r="C21" i="13"/>
  <c r="D15" i="13"/>
  <c r="D48" i="13"/>
  <c r="D42" i="13" s="1"/>
  <c r="D20" i="12"/>
  <c r="E15" i="12"/>
  <c r="F15" i="12" s="1"/>
  <c r="E22" i="11"/>
  <c r="F22" i="11"/>
  <c r="E38" i="11"/>
  <c r="F38" i="11"/>
  <c r="C43" i="11"/>
  <c r="E56" i="11"/>
  <c r="F56" i="11"/>
  <c r="E121" i="10"/>
  <c r="E112" i="10"/>
  <c r="E113" i="10"/>
  <c r="D208" i="9"/>
  <c r="C21" i="8"/>
  <c r="E157" i="8"/>
  <c r="E154" i="8"/>
  <c r="D21" i="8"/>
  <c r="D20" i="8"/>
  <c r="C153" i="8"/>
  <c r="C152" i="8"/>
  <c r="C43" i="8"/>
  <c r="D49" i="8"/>
  <c r="C53" i="8"/>
  <c r="E53" i="8"/>
  <c r="D77" i="8"/>
  <c r="D71" i="8"/>
  <c r="C15" i="8"/>
  <c r="C17" i="8" s="1"/>
  <c r="E15" i="8"/>
  <c r="E17" i="8" s="1"/>
  <c r="D17" i="8"/>
  <c r="C49" i="8"/>
  <c r="E90" i="7"/>
  <c r="E183" i="7"/>
  <c r="F183" i="7" s="1"/>
  <c r="E41" i="6"/>
  <c r="F41" i="6" s="1"/>
  <c r="F51" i="6"/>
  <c r="E68" i="6"/>
  <c r="F68" i="6" s="1"/>
  <c r="F81" i="6"/>
  <c r="E81" i="6"/>
  <c r="F166" i="6"/>
  <c r="F86" i="6"/>
  <c r="F94" i="6"/>
  <c r="E84" i="6"/>
  <c r="F84" i="6" s="1"/>
  <c r="E86" i="6"/>
  <c r="E87" i="6"/>
  <c r="F89" i="6"/>
  <c r="E90" i="6"/>
  <c r="F90" i="6"/>
  <c r="E91" i="6"/>
  <c r="F91" i="6"/>
  <c r="E93" i="6"/>
  <c r="E94" i="6"/>
  <c r="E111" i="6"/>
  <c r="F111" i="6" s="1"/>
  <c r="E124" i="6"/>
  <c r="F124" i="6" s="1"/>
  <c r="E137" i="6"/>
  <c r="F137" i="6" s="1"/>
  <c r="E153" i="6"/>
  <c r="F153" i="6"/>
  <c r="D21" i="5"/>
  <c r="E18" i="5"/>
  <c r="F18" i="5" s="1"/>
  <c r="C21" i="5"/>
  <c r="F21" i="5" s="1"/>
  <c r="E16" i="5"/>
  <c r="F16" i="5"/>
  <c r="F73" i="4"/>
  <c r="E22" i="4"/>
  <c r="F22" i="4" s="1"/>
  <c r="E29" i="4"/>
  <c r="F29" i="4"/>
  <c r="E38" i="4"/>
  <c r="F38" i="4" s="1"/>
  <c r="E56" i="4"/>
  <c r="F56" i="4" s="1"/>
  <c r="E61" i="4"/>
  <c r="E73" i="4"/>
  <c r="C54" i="22"/>
  <c r="C46" i="22"/>
  <c r="C40" i="22"/>
  <c r="C36" i="22"/>
  <c r="C30" i="22"/>
  <c r="E53" i="22"/>
  <c r="E39" i="22"/>
  <c r="E29" i="22"/>
  <c r="D45" i="22"/>
  <c r="D39" i="22"/>
  <c r="D35" i="22"/>
  <c r="F20" i="20"/>
  <c r="E39" i="20"/>
  <c r="F39" i="20" s="1"/>
  <c r="D235" i="18"/>
  <c r="E260" i="18"/>
  <c r="E222" i="18"/>
  <c r="D246" i="18"/>
  <c r="D252" i="18"/>
  <c r="D223" i="18"/>
  <c r="D169" i="18"/>
  <c r="C180" i="18"/>
  <c r="C145" i="18"/>
  <c r="C168" i="18"/>
  <c r="E168" i="18" s="1"/>
  <c r="D44" i="18"/>
  <c r="D95" i="18" s="1"/>
  <c r="D295" i="18"/>
  <c r="D255" i="17"/>
  <c r="E255" i="17" s="1"/>
  <c r="F255" i="17" s="1"/>
  <c r="F269" i="17"/>
  <c r="C271" i="17"/>
  <c r="C268" i="17"/>
  <c r="D254" i="17"/>
  <c r="D216" i="17"/>
  <c r="E214" i="17"/>
  <c r="E277" i="17"/>
  <c r="F277" i="17" s="1"/>
  <c r="D287" i="17"/>
  <c r="D284" i="17"/>
  <c r="D279" i="17"/>
  <c r="E279" i="17"/>
  <c r="C194" i="17"/>
  <c r="C196" i="17" s="1"/>
  <c r="D49" i="17"/>
  <c r="D161" i="17"/>
  <c r="E161" i="17" s="1"/>
  <c r="F161" i="17" s="1"/>
  <c r="D126" i="17"/>
  <c r="D91" i="17"/>
  <c r="D92" i="17" s="1"/>
  <c r="E21" i="17"/>
  <c r="F21" i="17"/>
  <c r="D173" i="17"/>
  <c r="C161" i="17"/>
  <c r="C49" i="17"/>
  <c r="E49" i="17" s="1"/>
  <c r="C282" i="17"/>
  <c r="D207" i="17"/>
  <c r="D208" i="17" s="1"/>
  <c r="E61" i="17"/>
  <c r="F61" i="17" s="1"/>
  <c r="E37" i="17"/>
  <c r="F37" i="17"/>
  <c r="F160" i="17"/>
  <c r="C140" i="17"/>
  <c r="C105" i="17"/>
  <c r="C62" i="17"/>
  <c r="D300" i="17"/>
  <c r="E264" i="17"/>
  <c r="F264" i="17" s="1"/>
  <c r="C270" i="17"/>
  <c r="F205" i="17"/>
  <c r="F190" i="17"/>
  <c r="C266" i="17"/>
  <c r="C265" i="17"/>
  <c r="D125" i="17"/>
  <c r="C139" i="17"/>
  <c r="C104" i="17"/>
  <c r="G36" i="14"/>
  <c r="G38" i="14"/>
  <c r="G40" i="14"/>
  <c r="I33" i="14"/>
  <c r="I36" i="14"/>
  <c r="I38" i="14" s="1"/>
  <c r="I40" i="14"/>
  <c r="H33" i="14"/>
  <c r="H36" i="14"/>
  <c r="H38" i="14" s="1"/>
  <c r="H40" i="14" s="1"/>
  <c r="D34" i="12"/>
  <c r="E41" i="11"/>
  <c r="F41" i="11"/>
  <c r="E43" i="11"/>
  <c r="F43" i="11" s="1"/>
  <c r="E24" i="8"/>
  <c r="E20" i="8"/>
  <c r="D28" i="8"/>
  <c r="D22" i="8" s="1"/>
  <c r="D112" i="8"/>
  <c r="D111" i="8"/>
  <c r="C24" i="8"/>
  <c r="C20" i="8" s="1"/>
  <c r="E21" i="5"/>
  <c r="C35" i="5"/>
  <c r="C43" i="4"/>
  <c r="C56" i="22"/>
  <c r="C48" i="22"/>
  <c r="C38" i="22"/>
  <c r="E55" i="22"/>
  <c r="E47" i="22"/>
  <c r="D247" i="18"/>
  <c r="E223" i="18"/>
  <c r="D258" i="18"/>
  <c r="D101" i="18"/>
  <c r="D99" i="18"/>
  <c r="D88" i="18"/>
  <c r="D86" i="18"/>
  <c r="D84" i="18"/>
  <c r="D96" i="18"/>
  <c r="D89" i="18"/>
  <c r="D87" i="18"/>
  <c r="D85" i="18"/>
  <c r="D83" i="18"/>
  <c r="C169" i="18"/>
  <c r="E169" i="18" s="1"/>
  <c r="D254" i="18"/>
  <c r="C141" i="17"/>
  <c r="C281" i="17"/>
  <c r="D162" i="17"/>
  <c r="E162" i="17" s="1"/>
  <c r="F162" i="17" s="1"/>
  <c r="C63" i="17"/>
  <c r="C106" i="17"/>
  <c r="C162" i="17"/>
  <c r="D127" i="17"/>
  <c r="D50" i="17"/>
  <c r="C195" i="17"/>
  <c r="D42" i="12"/>
  <c r="D49" i="12" s="1"/>
  <c r="D99" i="8"/>
  <c r="D101" i="8" s="1"/>
  <c r="D98" i="8" s="1"/>
  <c r="C112" i="8"/>
  <c r="C111" i="8" s="1"/>
  <c r="C28" i="8"/>
  <c r="C22" i="8" s="1"/>
  <c r="C43" i="5"/>
  <c r="D90" i="18"/>
  <c r="C322" i="17"/>
  <c r="C50" i="5"/>
  <c r="D91" i="18"/>
  <c r="E102" i="17" l="1"/>
  <c r="F102" i="17" s="1"/>
  <c r="D103" i="17"/>
  <c r="E103" i="17" s="1"/>
  <c r="F103" i="17" s="1"/>
  <c r="E28" i="8"/>
  <c r="E112" i="8"/>
  <c r="E111" i="8" s="1"/>
  <c r="D209" i="17"/>
  <c r="F262" i="17"/>
  <c r="C272" i="17"/>
  <c r="C273" i="17" s="1"/>
  <c r="C263" i="17"/>
  <c r="C126" i="17"/>
  <c r="C125" i="17"/>
  <c r="E101" i="22"/>
  <c r="E102" i="22"/>
  <c r="E101" i="17"/>
  <c r="F101" i="17" s="1"/>
  <c r="E130" i="17"/>
  <c r="F130" i="17"/>
  <c r="E179" i="17"/>
  <c r="F179" i="17" s="1"/>
  <c r="D181" i="17"/>
  <c r="F124" i="17"/>
  <c r="E254" i="17"/>
  <c r="C113" i="22"/>
  <c r="C41" i="20"/>
  <c r="F41" i="20" s="1"/>
  <c r="E40" i="20"/>
  <c r="E41" i="20" s="1"/>
  <c r="D43" i="4"/>
  <c r="E43" i="4" s="1"/>
  <c r="F43" i="4" s="1"/>
  <c r="E41" i="4"/>
  <c r="F41" i="4" s="1"/>
  <c r="E44" i="6"/>
  <c r="E180" i="17"/>
  <c r="F180" i="17" s="1"/>
  <c r="E145" i="18"/>
  <c r="D17" i="13"/>
  <c r="D28" i="13" s="1"/>
  <c r="D70" i="13" s="1"/>
  <c r="D72" i="13" s="1"/>
  <c r="D69" i="13" s="1"/>
  <c r="D24" i="13"/>
  <c r="D20" i="13" s="1"/>
  <c r="E124" i="17"/>
  <c r="D65" i="11"/>
  <c r="E61" i="11"/>
  <c r="F61" i="11" s="1"/>
  <c r="C90" i="17"/>
  <c r="E90" i="17" s="1"/>
  <c r="C91" i="17"/>
  <c r="D271" i="17"/>
  <c r="D268" i="17"/>
  <c r="E268" i="17" s="1"/>
  <c r="F268" i="17" s="1"/>
  <c r="C66" i="18"/>
  <c r="E65" i="18"/>
  <c r="D22" i="13"/>
  <c r="D21" i="13"/>
  <c r="E261" i="17"/>
  <c r="F261" i="17" s="1"/>
  <c r="C294" i="18"/>
  <c r="E294" i="18" s="1"/>
  <c r="C216" i="17"/>
  <c r="E32" i="17"/>
  <c r="F32" i="17" s="1"/>
  <c r="D210" i="17"/>
  <c r="D140" i="17"/>
  <c r="D175" i="17"/>
  <c r="E210" i="18"/>
  <c r="C211" i="18"/>
  <c r="E71" i="18"/>
  <c r="C76" i="18"/>
  <c r="C77" i="18" s="1"/>
  <c r="C138" i="8"/>
  <c r="C139" i="8"/>
  <c r="C135" i="8"/>
  <c r="C136" i="8"/>
  <c r="C137" i="8"/>
  <c r="F36" i="9"/>
  <c r="E36" i="9"/>
  <c r="C20" i="12"/>
  <c r="E17" i="12"/>
  <c r="F17" i="12" s="1"/>
  <c r="E109" i="22"/>
  <c r="E108" i="22"/>
  <c r="D263" i="17"/>
  <c r="C140" i="8"/>
  <c r="E285" i="17"/>
  <c r="F285" i="17" s="1"/>
  <c r="D288" i="17"/>
  <c r="D286" i="17"/>
  <c r="F279" i="17"/>
  <c r="C155" i="8"/>
  <c r="C158" i="8" s="1"/>
  <c r="C156" i="8"/>
  <c r="C157" i="8"/>
  <c r="E21" i="21"/>
  <c r="F21" i="21"/>
  <c r="C99" i="8"/>
  <c r="C101" i="8" s="1"/>
  <c r="C98" i="8" s="1"/>
  <c r="E215" i="17"/>
  <c r="F215" i="17" s="1"/>
  <c r="E37" i="22"/>
  <c r="E112" i="22"/>
  <c r="E262" i="17"/>
  <c r="D272" i="17"/>
  <c r="D270" i="17"/>
  <c r="E270" i="17" s="1"/>
  <c r="F270" i="17" s="1"/>
  <c r="E267" i="17"/>
  <c r="F267" i="17" s="1"/>
  <c r="F188" i="7"/>
  <c r="E302" i="18"/>
  <c r="C303" i="18"/>
  <c r="C306" i="18" s="1"/>
  <c r="C310" i="18" s="1"/>
  <c r="F36" i="10"/>
  <c r="E36" i="10"/>
  <c r="E40" i="12"/>
  <c r="F40" i="12"/>
  <c r="E41" i="7"/>
  <c r="F41" i="7" s="1"/>
  <c r="D95" i="7"/>
  <c r="E91" i="17"/>
  <c r="C50" i="17"/>
  <c r="F49" i="17"/>
  <c r="E50" i="17"/>
  <c r="D35" i="5"/>
  <c r="D62" i="17"/>
  <c r="C234" i="18"/>
  <c r="E234" i="18" s="1"/>
  <c r="I31" i="14"/>
  <c r="D104" i="17"/>
  <c r="E104" i="17" s="1"/>
  <c r="F104" i="17" s="1"/>
  <c r="D193" i="17"/>
  <c r="E192" i="17"/>
  <c r="F192" i="17" s="1"/>
  <c r="E30" i="22"/>
  <c r="E40" i="22"/>
  <c r="E46" i="22"/>
  <c r="E36" i="22"/>
  <c r="E111" i="22"/>
  <c r="E54" i="22"/>
  <c r="C95" i="6"/>
  <c r="E200" i="17"/>
  <c r="F200" i="17" s="1"/>
  <c r="E35" i="22"/>
  <c r="E110" i="22"/>
  <c r="E45" i="22"/>
  <c r="F61" i="4"/>
  <c r="C65" i="4"/>
  <c r="C95" i="7"/>
  <c r="D139" i="17"/>
  <c r="E139" i="17" s="1"/>
  <c r="F139" i="17" s="1"/>
  <c r="D207" i="9"/>
  <c r="E207" i="9" s="1"/>
  <c r="E324" i="18"/>
  <c r="D57" i="8"/>
  <c r="D62" i="8" s="1"/>
  <c r="D53" i="8"/>
  <c r="F203" i="9"/>
  <c r="F29" i="11"/>
  <c r="E29" i="11"/>
  <c r="E47" i="12"/>
  <c r="F47" i="12" s="1"/>
  <c r="E31" i="14"/>
  <c r="E33" i="14"/>
  <c r="E36" i="14" s="1"/>
  <c r="E38" i="14" s="1"/>
  <c r="E40" i="14" s="1"/>
  <c r="F165" i="17"/>
  <c r="C283" i="17"/>
  <c r="C254" i="17"/>
  <c r="C60" i="19"/>
  <c r="C64" i="19"/>
  <c r="D53" i="22"/>
  <c r="D29" i="22"/>
  <c r="D100" i="18"/>
  <c r="D97" i="18"/>
  <c r="F214" i="17"/>
  <c r="C17" i="13"/>
  <c r="C28" i="13" s="1"/>
  <c r="F41" i="5"/>
  <c r="E48" i="5"/>
  <c r="F48" i="5" s="1"/>
  <c r="E46" i="6"/>
  <c r="F46" i="6" s="1"/>
  <c r="E49" i="8"/>
  <c r="E57" i="8"/>
  <c r="E62" i="8" s="1"/>
  <c r="E43" i="8"/>
  <c r="E63" i="9"/>
  <c r="F63" i="9"/>
  <c r="E200" i="9"/>
  <c r="F200" i="9" s="1"/>
  <c r="C181" i="17"/>
  <c r="E203" i="17"/>
  <c r="F203" i="17" s="1"/>
  <c r="E238" i="17"/>
  <c r="F238" i="17" s="1"/>
  <c r="E43" i="20"/>
  <c r="E46" i="20" s="1"/>
  <c r="F46" i="20" s="1"/>
  <c r="F43" i="20"/>
  <c r="D291" i="17"/>
  <c r="D174" i="17"/>
  <c r="D110" i="22"/>
  <c r="F90" i="7"/>
  <c r="C252" i="18"/>
  <c r="C254" i="18" s="1"/>
  <c r="E254" i="18" s="1"/>
  <c r="E180" i="18"/>
  <c r="E22" i="18"/>
  <c r="D284" i="18"/>
  <c r="E284" i="18" s="1"/>
  <c r="D52" i="6"/>
  <c r="E85" i="6"/>
  <c r="F85" i="6" s="1"/>
  <c r="E35" i="7"/>
  <c r="F35" i="7" s="1"/>
  <c r="E149" i="8"/>
  <c r="F24" i="10"/>
  <c r="E24" i="10"/>
  <c r="E58" i="17"/>
  <c r="F58" i="17" s="1"/>
  <c r="E156" i="8"/>
  <c r="E152" i="8"/>
  <c r="E155" i="8"/>
  <c r="E206" i="9"/>
  <c r="F206" i="9" s="1"/>
  <c r="E198" i="17"/>
  <c r="C290" i="17"/>
  <c r="F198" i="17"/>
  <c r="C199" i="17"/>
  <c r="C330" i="18"/>
  <c r="E330" i="18" s="1"/>
  <c r="E326" i="18"/>
  <c r="D98" i="18"/>
  <c r="C274" i="17"/>
  <c r="C246" i="18"/>
  <c r="E246" i="18" s="1"/>
  <c r="E42" i="6"/>
  <c r="F42" i="6" s="1"/>
  <c r="E179" i="6"/>
  <c r="F179" i="6" s="1"/>
  <c r="C172" i="17"/>
  <c r="E171" i="17"/>
  <c r="F171" i="17"/>
  <c r="C52" i="6"/>
  <c r="F121" i="7"/>
  <c r="D149" i="8"/>
  <c r="F62" i="9"/>
  <c r="F89" i="9"/>
  <c r="E153" i="9"/>
  <c r="F199" i="9"/>
  <c r="C208" i="9"/>
  <c r="E17" i="16"/>
  <c r="F17" i="16"/>
  <c r="E165" i="17"/>
  <c r="E47" i="6"/>
  <c r="F47" i="6" s="1"/>
  <c r="E50" i="6"/>
  <c r="E30" i="7"/>
  <c r="F30" i="7" s="1"/>
  <c r="E130" i="7"/>
  <c r="F130" i="7" s="1"/>
  <c r="E167" i="7"/>
  <c r="F167" i="7" s="1"/>
  <c r="F24" i="9"/>
  <c r="E37" i="9"/>
  <c r="F76" i="9"/>
  <c r="F179" i="9"/>
  <c r="E179" i="9"/>
  <c r="E122" i="10"/>
  <c r="E89" i="17"/>
  <c r="F89" i="17" s="1"/>
  <c r="E166" i="18"/>
  <c r="C33" i="22"/>
  <c r="C22" i="22"/>
  <c r="F38" i="6"/>
  <c r="F48" i="6"/>
  <c r="D166" i="8"/>
  <c r="E15" i="13"/>
  <c r="E25" i="13"/>
  <c r="E27" i="13" s="1"/>
  <c r="F29" i="17"/>
  <c r="E52" i="17"/>
  <c r="F52" i="17" s="1"/>
  <c r="E307" i="17"/>
  <c r="F307" i="17" s="1"/>
  <c r="E179" i="18"/>
  <c r="D23" i="22"/>
  <c r="D33" i="22"/>
  <c r="D34" i="22"/>
  <c r="E45" i="6"/>
  <c r="F45" i="6" s="1"/>
  <c r="E88" i="9"/>
  <c r="F88" i="9"/>
  <c r="F166" i="9"/>
  <c r="E166" i="9"/>
  <c r="F24" i="17"/>
  <c r="E164" i="17"/>
  <c r="F164" i="17" s="1"/>
  <c r="F202" i="9"/>
  <c r="F205" i="9"/>
  <c r="E35" i="10"/>
  <c r="F84" i="10"/>
  <c r="E84" i="10"/>
  <c r="F170" i="17"/>
  <c r="E127" i="9"/>
  <c r="F127" i="9" s="1"/>
  <c r="E203" i="9"/>
  <c r="F107" i="10"/>
  <c r="E107" i="10"/>
  <c r="C61" i="13"/>
  <c r="C57" i="13" s="1"/>
  <c r="F53" i="17"/>
  <c r="E279" i="18"/>
  <c r="D303" i="18"/>
  <c r="F101" i="9"/>
  <c r="F128" i="9"/>
  <c r="E180" i="9"/>
  <c r="C207" i="9"/>
  <c r="F204" i="9"/>
  <c r="E95" i="10"/>
  <c r="F32" i="12"/>
  <c r="F67" i="17"/>
  <c r="F229" i="17"/>
  <c r="C239" i="17"/>
  <c r="C43" i="18"/>
  <c r="D163" i="18"/>
  <c r="E163" i="18" s="1"/>
  <c r="F201" i="9"/>
  <c r="F59" i="10"/>
  <c r="E59" i="10"/>
  <c r="E83" i="10"/>
  <c r="C75" i="11"/>
  <c r="D111" i="17"/>
  <c r="E111" i="17" s="1"/>
  <c r="F111" i="17" s="1"/>
  <c r="F204" i="17"/>
  <c r="D76" i="18"/>
  <c r="C65" i="19"/>
  <c r="C114" i="19" s="1"/>
  <c r="C116" i="19" s="1"/>
  <c r="C119" i="19" s="1"/>
  <c r="C123" i="19" s="1"/>
  <c r="D46" i="20"/>
  <c r="C77" i="22"/>
  <c r="C284" i="17" l="1"/>
  <c r="C286" i="17"/>
  <c r="C287" i="17"/>
  <c r="F283" i="17"/>
  <c r="E283" i="17"/>
  <c r="E48" i="22"/>
  <c r="E38" i="22"/>
  <c r="E113" i="22"/>
  <c r="E56" i="22"/>
  <c r="C235" i="18"/>
  <c r="E235" i="18" s="1"/>
  <c r="E211" i="18"/>
  <c r="C92" i="17"/>
  <c r="F91" i="17"/>
  <c r="E181" i="17"/>
  <c r="F181" i="17" s="1"/>
  <c r="E158" i="8"/>
  <c r="E35" i="5"/>
  <c r="F35" i="5" s="1"/>
  <c r="D43" i="5"/>
  <c r="E22" i="8"/>
  <c r="E99" i="8"/>
  <c r="E101" i="8" s="1"/>
  <c r="E98" i="8" s="1"/>
  <c r="E21" i="13"/>
  <c r="E208" i="9"/>
  <c r="F208" i="9"/>
  <c r="E52" i="6"/>
  <c r="F52" i="6" s="1"/>
  <c r="E95" i="6"/>
  <c r="F95" i="6" s="1"/>
  <c r="C141" i="8"/>
  <c r="F254" i="17"/>
  <c r="F50" i="17"/>
  <c r="C70" i="17"/>
  <c r="C127" i="18"/>
  <c r="C122" i="18"/>
  <c r="C128" i="18" s="1"/>
  <c r="C125" i="18"/>
  <c r="C121" i="18"/>
  <c r="C124" i="18"/>
  <c r="C114" i="18"/>
  <c r="C109" i="18"/>
  <c r="C111" i="18"/>
  <c r="C126" i="18"/>
  <c r="C112" i="18"/>
  <c r="C110" i="18"/>
  <c r="C115" i="18"/>
  <c r="C113" i="18"/>
  <c r="C123" i="18"/>
  <c r="D211" i="17"/>
  <c r="E125" i="17"/>
  <c r="F125" i="17"/>
  <c r="E76" i="18"/>
  <c r="D259" i="18"/>
  <c r="F207" i="9"/>
  <c r="C45" i="22"/>
  <c r="C110" i="22"/>
  <c r="C39" i="22"/>
  <c r="C53" i="22"/>
  <c r="C29" i="22"/>
  <c r="C35" i="22"/>
  <c r="D137" i="8"/>
  <c r="D136" i="8"/>
  <c r="D140" i="8"/>
  <c r="D138" i="8"/>
  <c r="D139" i="8"/>
  <c r="D135" i="8"/>
  <c r="D141" i="8" s="1"/>
  <c r="E135" i="8"/>
  <c r="E139" i="8"/>
  <c r="E140" i="8"/>
  <c r="E138" i="8"/>
  <c r="E136" i="8"/>
  <c r="E137" i="8"/>
  <c r="F126" i="17"/>
  <c r="C127" i="17"/>
  <c r="E126" i="17"/>
  <c r="C259" i="18"/>
  <c r="C263" i="18" s="1"/>
  <c r="E43" i="18"/>
  <c r="C44" i="18"/>
  <c r="E216" i="17"/>
  <c r="F216" i="17" s="1"/>
  <c r="E239" i="17"/>
  <c r="F239" i="17" s="1"/>
  <c r="E263" i="17"/>
  <c r="F263" i="17" s="1"/>
  <c r="D112" i="22"/>
  <c r="D47" i="22"/>
  <c r="D37" i="22"/>
  <c r="D55" i="22"/>
  <c r="E95" i="7"/>
  <c r="D306" i="18"/>
  <c r="E303" i="18"/>
  <c r="D30" i="22"/>
  <c r="D36" i="22"/>
  <c r="D111" i="22"/>
  <c r="D40" i="22"/>
  <c r="D54" i="22"/>
  <c r="D46" i="22"/>
  <c r="C295" i="18"/>
  <c r="E295" i="18" s="1"/>
  <c r="C247" i="18"/>
  <c r="E247" i="18" s="1"/>
  <c r="E66" i="18"/>
  <c r="E65" i="11"/>
  <c r="F65" i="11" s="1"/>
  <c r="D75" i="11"/>
  <c r="E75" i="11" s="1"/>
  <c r="F75" i="11" s="1"/>
  <c r="E274" i="17"/>
  <c r="F274" i="17" s="1"/>
  <c r="C300" i="17"/>
  <c r="D105" i="17"/>
  <c r="E252" i="18"/>
  <c r="D63" i="17"/>
  <c r="E62" i="17"/>
  <c r="F62" i="17" s="1"/>
  <c r="C181" i="18"/>
  <c r="E181" i="18" s="1"/>
  <c r="F90" i="17"/>
  <c r="D305" i="17"/>
  <c r="F95" i="7"/>
  <c r="D282" i="17"/>
  <c r="E193" i="17"/>
  <c r="F193" i="17" s="1"/>
  <c r="D266" i="17"/>
  <c r="D194" i="17"/>
  <c r="E24" i="13"/>
  <c r="E20" i="13" s="1"/>
  <c r="E17" i="13"/>
  <c r="E28" i="13" s="1"/>
  <c r="E70" i="13" s="1"/>
  <c r="E72" i="13" s="1"/>
  <c r="E69" i="13" s="1"/>
  <c r="C75" i="4"/>
  <c r="E65" i="4"/>
  <c r="F65" i="4" s="1"/>
  <c r="D176" i="17"/>
  <c r="C109" i="22"/>
  <c r="C108" i="22"/>
  <c r="C111" i="22"/>
  <c r="D153" i="8"/>
  <c r="D157" i="8"/>
  <c r="D152" i="8"/>
  <c r="D158" i="8" s="1"/>
  <c r="D155" i="8"/>
  <c r="D156" i="8"/>
  <c r="D154" i="8"/>
  <c r="C173" i="17"/>
  <c r="C207" i="17"/>
  <c r="E172" i="17"/>
  <c r="F172" i="17"/>
  <c r="F290" i="17"/>
  <c r="E290" i="17"/>
  <c r="C22" i="13"/>
  <c r="C70" i="13"/>
  <c r="C72" i="13" s="1"/>
  <c r="C69" i="13" s="1"/>
  <c r="D77" i="18"/>
  <c r="E199" i="17"/>
  <c r="F199" i="17" s="1"/>
  <c r="E272" i="17"/>
  <c r="F272" i="17" s="1"/>
  <c r="E288" i="17"/>
  <c r="F288" i="17" s="1"/>
  <c r="D289" i="17"/>
  <c r="E20" i="12"/>
  <c r="F20" i="12"/>
  <c r="C34" i="12"/>
  <c r="D141" i="17"/>
  <c r="E140" i="17"/>
  <c r="F140" i="17" s="1"/>
  <c r="D102" i="18"/>
  <c r="D273" i="17"/>
  <c r="E273" i="17" s="1"/>
  <c r="F273" i="17" s="1"/>
  <c r="D304" i="17"/>
  <c r="E271" i="17"/>
  <c r="F271" i="17" s="1"/>
  <c r="F40" i="20"/>
  <c r="E103" i="22"/>
  <c r="E75" i="4" l="1"/>
  <c r="F75" i="4" s="1"/>
  <c r="D103" i="18"/>
  <c r="D309" i="17"/>
  <c r="D183" i="17"/>
  <c r="D323" i="17"/>
  <c r="E266" i="17"/>
  <c r="F266" i="17" s="1"/>
  <c r="D265" i="17"/>
  <c r="E265" i="17" s="1"/>
  <c r="F265" i="17" s="1"/>
  <c r="D263" i="18"/>
  <c r="E259" i="18"/>
  <c r="C129" i="18"/>
  <c r="F300" i="17"/>
  <c r="E300" i="17"/>
  <c r="C197" i="17"/>
  <c r="C148" i="17"/>
  <c r="E127" i="17"/>
  <c r="F127" i="17" s="1"/>
  <c r="E141" i="8"/>
  <c r="C116" i="18"/>
  <c r="E304" i="17"/>
  <c r="F304" i="17" s="1"/>
  <c r="C55" i="22"/>
  <c r="C37" i="22"/>
  <c r="C47" i="22"/>
  <c r="C112" i="22"/>
  <c r="C113" i="17"/>
  <c r="C324" i="17"/>
  <c r="E92" i="17"/>
  <c r="F92" i="17" s="1"/>
  <c r="E63" i="17"/>
  <c r="F63" i="17" s="1"/>
  <c r="D70" i="17"/>
  <c r="E70" i="17" s="1"/>
  <c r="F70" i="17" s="1"/>
  <c r="D111" i="18"/>
  <c r="E111" i="18" s="1"/>
  <c r="D110" i="18"/>
  <c r="D127" i="18"/>
  <c r="E127" i="18" s="1"/>
  <c r="D115" i="18"/>
  <c r="E115" i="18" s="1"/>
  <c r="D114" i="18"/>
  <c r="E114" i="18" s="1"/>
  <c r="D124" i="18"/>
  <c r="E124" i="18" s="1"/>
  <c r="E77" i="18"/>
  <c r="D113" i="18"/>
  <c r="E113" i="18" s="1"/>
  <c r="D121" i="18"/>
  <c r="D122" i="18"/>
  <c r="D126" i="18"/>
  <c r="E126" i="18" s="1"/>
  <c r="D112" i="18"/>
  <c r="E112" i="18" s="1"/>
  <c r="D125" i="18"/>
  <c r="E125" i="18" s="1"/>
  <c r="D123" i="18"/>
  <c r="E123" i="18" s="1"/>
  <c r="D109" i="18"/>
  <c r="E282" i="17"/>
  <c r="F282" i="17" s="1"/>
  <c r="D281" i="17"/>
  <c r="E281" i="17" s="1"/>
  <c r="F281" i="17" s="1"/>
  <c r="C289" i="17"/>
  <c r="C291" i="17"/>
  <c r="F287" i="17"/>
  <c r="E287" i="17"/>
  <c r="D50" i="5"/>
  <c r="E50" i="5" s="1"/>
  <c r="F50" i="5" s="1"/>
  <c r="E43" i="5"/>
  <c r="F43" i="5" s="1"/>
  <c r="F286" i="17"/>
  <c r="C208" i="17"/>
  <c r="F207" i="17"/>
  <c r="E207" i="17"/>
  <c r="D113" i="22"/>
  <c r="D48" i="22"/>
  <c r="D38" i="22"/>
  <c r="D56" i="22"/>
  <c r="C85" i="18"/>
  <c r="E85" i="18" s="1"/>
  <c r="C258" i="18"/>
  <c r="C89" i="18"/>
  <c r="E89" i="18" s="1"/>
  <c r="C86" i="18"/>
  <c r="E86" i="18" s="1"/>
  <c r="C101" i="18"/>
  <c r="E101" i="18" s="1"/>
  <c r="C97" i="18"/>
  <c r="E97" i="18" s="1"/>
  <c r="E44" i="18"/>
  <c r="C96" i="18"/>
  <c r="C83" i="18"/>
  <c r="C87" i="18"/>
  <c r="E87" i="18" s="1"/>
  <c r="C99" i="18"/>
  <c r="E99" i="18" s="1"/>
  <c r="C100" i="18"/>
  <c r="E100" i="18" s="1"/>
  <c r="C84" i="18"/>
  <c r="C98" i="18"/>
  <c r="E98" i="18" s="1"/>
  <c r="C95" i="18"/>
  <c r="C88" i="18"/>
  <c r="E88" i="18" s="1"/>
  <c r="C117" i="18"/>
  <c r="C131" i="18" s="1"/>
  <c r="E284" i="17"/>
  <c r="F284" i="17" s="1"/>
  <c r="E141" i="17"/>
  <c r="F141" i="17" s="1"/>
  <c r="D322" i="17"/>
  <c r="E322" i="17" s="1"/>
  <c r="F322" i="17" s="1"/>
  <c r="D148" i="17"/>
  <c r="E148" i="17" s="1"/>
  <c r="F173" i="17"/>
  <c r="C174" i="17"/>
  <c r="C175" i="17"/>
  <c r="E173" i="17"/>
  <c r="D106" i="17"/>
  <c r="E105" i="17"/>
  <c r="F105" i="17" s="1"/>
  <c r="C42" i="12"/>
  <c r="E34" i="12"/>
  <c r="F34" i="12" s="1"/>
  <c r="D196" i="17"/>
  <c r="D195" i="17"/>
  <c r="E195" i="17" s="1"/>
  <c r="F195" i="17" s="1"/>
  <c r="E194" i="17"/>
  <c r="F194" i="17" s="1"/>
  <c r="E286" i="17"/>
  <c r="E306" i="18"/>
  <c r="D310" i="18"/>
  <c r="E310" i="18" s="1"/>
  <c r="E22" i="13"/>
  <c r="C176" i="17" l="1"/>
  <c r="E175" i="17"/>
  <c r="F175" i="17" s="1"/>
  <c r="F174" i="17"/>
  <c r="E174" i="17"/>
  <c r="E121" i="18"/>
  <c r="D105" i="18"/>
  <c r="E106" i="17"/>
  <c r="F106" i="17" s="1"/>
  <c r="D113" i="17"/>
  <c r="E113" i="17" s="1"/>
  <c r="F113" i="17" s="1"/>
  <c r="D324" i="17"/>
  <c r="C264" i="18"/>
  <c r="C266" i="18" s="1"/>
  <c r="C267" i="18" s="1"/>
  <c r="E258" i="18"/>
  <c r="C209" i="17"/>
  <c r="C210" i="17"/>
  <c r="F208" i="17"/>
  <c r="E208" i="17"/>
  <c r="C305" i="17"/>
  <c r="E291" i="17"/>
  <c r="F291" i="17" s="1"/>
  <c r="D128" i="18"/>
  <c r="E128" i="18" s="1"/>
  <c r="E122" i="18"/>
  <c r="C49" i="12"/>
  <c r="E42" i="12"/>
  <c r="F42" i="12" s="1"/>
  <c r="D310" i="17"/>
  <c r="E83" i="18"/>
  <c r="C91" i="18"/>
  <c r="D116" i="18"/>
  <c r="E116" i="18" s="1"/>
  <c r="E110" i="18"/>
  <c r="D197" i="17"/>
  <c r="E197" i="17" s="1"/>
  <c r="F197" i="17" s="1"/>
  <c r="E196" i="17"/>
  <c r="F196" i="17" s="1"/>
  <c r="C102" i="18"/>
  <c r="E102" i="18" s="1"/>
  <c r="E96" i="18"/>
  <c r="E263" i="18"/>
  <c r="D264" i="18"/>
  <c r="C103" i="18"/>
  <c r="E103" i="18" s="1"/>
  <c r="E95" i="18"/>
  <c r="E109" i="18"/>
  <c r="F148" i="17"/>
  <c r="C90" i="18"/>
  <c r="E90" i="18" s="1"/>
  <c r="E84" i="18"/>
  <c r="E289" i="17"/>
  <c r="F289" i="17" s="1"/>
  <c r="C268" i="18" l="1"/>
  <c r="C269" i="18"/>
  <c r="E324" i="17"/>
  <c r="F324" i="17" s="1"/>
  <c r="D325" i="17"/>
  <c r="E264" i="18"/>
  <c r="D266" i="18"/>
  <c r="D117" i="18"/>
  <c r="F305" i="17"/>
  <c r="C309" i="17"/>
  <c r="E305" i="17"/>
  <c r="D129" i="18"/>
  <c r="E129" i="18" s="1"/>
  <c r="E210" i="17"/>
  <c r="F210" i="17" s="1"/>
  <c r="F49" i="12"/>
  <c r="E49" i="12"/>
  <c r="C105" i="18"/>
  <c r="E91" i="18"/>
  <c r="E209" i="17"/>
  <c r="F209" i="17" s="1"/>
  <c r="E105" i="18"/>
  <c r="C183" i="17"/>
  <c r="C323" i="17"/>
  <c r="C211" i="17"/>
  <c r="E176" i="17"/>
  <c r="F176" i="17" s="1"/>
  <c r="D312" i="17"/>
  <c r="E183" i="17" l="1"/>
  <c r="F183" i="17" s="1"/>
  <c r="E211" i="17"/>
  <c r="F211" i="17" s="1"/>
  <c r="E323" i="17"/>
  <c r="F323" i="17" s="1"/>
  <c r="C325" i="17"/>
  <c r="E117" i="18"/>
  <c r="D131" i="18"/>
  <c r="E131" i="18" s="1"/>
  <c r="E266" i="18"/>
  <c r="D267" i="18"/>
  <c r="E325" i="17"/>
  <c r="D313" i="17"/>
  <c r="F309" i="17"/>
  <c r="C310" i="17"/>
  <c r="E309" i="17"/>
  <c r="C271" i="18"/>
  <c r="C312" i="17" l="1"/>
  <c r="E310" i="17"/>
  <c r="F310" i="17" s="1"/>
  <c r="F325" i="17"/>
  <c r="D314" i="17"/>
  <c r="D251" i="17"/>
  <c r="D256" i="17"/>
  <c r="D315" i="17"/>
  <c r="D268" i="18"/>
  <c r="D269" i="18"/>
  <c r="E269" i="18" s="1"/>
  <c r="E267" i="18"/>
  <c r="D318" i="17" l="1"/>
  <c r="D271" i="18"/>
  <c r="E271" i="18" s="1"/>
  <c r="E268" i="18"/>
  <c r="D257" i="17"/>
  <c r="C313" i="17"/>
  <c r="E312" i="17"/>
  <c r="F312" i="17" s="1"/>
  <c r="C315" i="17" l="1"/>
  <c r="C251" i="17"/>
  <c r="C314" i="17"/>
  <c r="C256" i="17"/>
  <c r="E313" i="17"/>
  <c r="F313" i="17" s="1"/>
  <c r="C257" i="17" l="1"/>
  <c r="E256" i="17"/>
  <c r="F256" i="17" s="1"/>
  <c r="C318" i="17"/>
  <c r="E314" i="17"/>
  <c r="F314" i="17" s="1"/>
  <c r="E251" i="17"/>
  <c r="F251" i="17" s="1"/>
  <c r="E315" i="17"/>
  <c r="F315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<sst xmlns="http://schemas.openxmlformats.org/spreadsheetml/2006/main" count="2333" uniqueCount="1008">
  <si>
    <t>NORWALK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</si>
  <si>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</si>
  <si>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</si>
  <si>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</si>
  <si>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</si>
  <si>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</si>
  <si>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</si>
  <si>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</si>
  <si>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</si>
  <si>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</si>
  <si>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</si>
  <si>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</si>
  <si>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</si>
  <si>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</si>
  <si>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</si>
  <si>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</si>
  <si>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</si>
  <si>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</si>
  <si>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</si>
  <si>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</si>
  <si>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</si>
  <si>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</si>
  <si>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</si>
  <si>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</si>
  <si>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</si>
  <si>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</si>
  <si>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</si>
  <si>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</si>
  <si>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</si>
  <si>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</si>
  <si>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</si>
  <si>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</si>
  <si>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</si>
  <si>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</si>
  <si>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</si>
  <si>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</si>
  <si>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</si>
  <si>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</si>
  <si>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</si>
  <si>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</si>
  <si>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</si>
  <si>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</si>
  <si>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</si>
  <si>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</si>
  <si>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</si>
  <si>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</si>
  <si>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</si>
  <si>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</si>
  <si>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</si>
  <si>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</si>
  <si>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</si>
  <si>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</si>
  <si>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</si>
  <si>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</si>
  <si>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</si>
  <si>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</si>
  <si>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</si>
  <si>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</si>
  <si>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</si>
  <si>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</si>
  <si>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</si>
  <si>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</si>
  <si>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</si>
  <si>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</si>
  <si>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</si>
  <si>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</si>
  <si>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</si>
  <si>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</si>
  <si>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</si>
  <si>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</si>
  <si>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</si>
  <si>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</si>
  <si>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</si>
  <si>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</si>
  <si>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</si>
  <si>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</si>
  <si>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</si>
  <si>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</si>
  <si>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</si>
  <si>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</si>
  <si>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</si>
  <si>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</si>
  <si>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</si>
  <si>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</si>
  <si>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</si>
  <si>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</si>
  <si>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</si>
  <si>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</si>
  <si>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</si>
  <si>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</si>
  <si>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</si>
  <si>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</si>
  <si>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</si>
  <si>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</si>
  <si>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</si>
  <si>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</si>
  <si>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</si>
  <si>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</si>
  <si>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</si>
  <si>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</si>
  <si>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</si>
  <si>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</si>
  <si>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</si>
  <si>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</si>
  <si>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</si>
  <si>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</si>
  <si>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</si>
  <si>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</si>
  <si>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</si>
  <si>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</si>
  <si>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</si>
  <si>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</si>
  <si>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</si>
  <si>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</si>
  <si>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</si>
  <si>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</si>
  <si>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</si>
  <si>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</si>
  <si>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</si>
  <si>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</si>
  <si>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</si>
  <si>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</si>
  <si>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</si>
  <si>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</si>
  <si>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</si>
  <si>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</si>
  <si>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</si>
  <si>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</si>
  <si>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</si>
  <si>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</si>
  <si>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</si>
  <si>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</si>
  <si>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</si>
  <si>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</si>
  <si>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</si>
  <si>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</si>
  <si>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</si>
  <si>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</si>
  <si>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</si>
  <si>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</si>
  <si>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</si>
  <si>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</si>
  <si>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</si>
  <si>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</si>
  <si>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</si>
  <si>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</si>
  <si>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</si>
  <si>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</si>
  <si>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</si>
  <si>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</si>
  <si>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</si>
  <si>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</si>
  <si>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</si>
  <si>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</si>
  <si>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</si>
  <si>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</si>
  <si>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</si>
  <si>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</si>
  <si>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</si>
  <si>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</si>
  <si>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</si>
  <si>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</si>
  <si>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</si>
  <si>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</si>
  <si>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</si>
  <si>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</si>
  <si>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</si>
  <si>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</si>
  <si>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</si>
  <si>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</si>
  <si>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</si>
  <si>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</si>
  <si>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</si>
  <si>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</si>
  <si>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</si>
  <si>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</si>
  <si>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</si>
  <si>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</si>
  <si>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</si>
  <si>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</si>
  <si>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</si>
  <si>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</si>
  <si>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</si>
  <si>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</si>
  <si>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</si>
  <si>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</si>
  <si>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</si>
  <si>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</si>
  <si>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</si>
  <si>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</si>
  <si>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</si>
  <si>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</si>
  <si>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</si>
  <si>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</si>
  <si>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</si>
  <si>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</si>
  <si>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</si>
  <si>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</si>
  <si>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</si>
  <si>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</si>
  <si>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</si>
  <si>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</si>
  <si>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</si>
  <si>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</si>
  <si>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</si>
  <si>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</si>
  <si>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</si>
  <si>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</si>
  <si>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</si>
  <si>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</si>
  <si>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</si>
  <si>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</si>
  <si>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</si>
  <si>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</si>
  <si>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</si>
  <si>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</si>
  <si>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</si>
  <si>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</si>
  <si>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</si>
  <si>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</si>
  <si>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</si>
  <si>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</si>
  <si>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</si>
  <si>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</si>
  <si>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</si>
  <si>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</si>
  <si>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</si>
  <si>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</si>
  <si>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</si>
  <si>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</si>
  <si>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</si>
  <si>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</si>
  <si>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</si>
  <si>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</si>
  <si>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</si>
  <si>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</si>
  <si>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</si>
  <si>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</si>
  <si>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</si>
  <si>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</si>
  <si>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</si>
  <si>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</si>
  <si>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</si>
  <si>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</si>
  <si>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</si>
  <si>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</si>
  <si>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</si>
  <si>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</si>
  <si>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</si>
  <si>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</si>
  <si>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</si>
  <si>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</si>
  <si>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</si>
  <si>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</si>
  <si>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</si>
  <si>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</si>
  <si>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</si>
  <si>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</si>
  <si>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</si>
  <si>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</si>
  <si>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</si>
  <si>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</si>
  <si>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</si>
  <si>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</si>
  <si>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</si>
  <si>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</si>
  <si>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</si>
  <si>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</si>
  <si>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</si>
  <si>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</si>
  <si>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</si>
  <si>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</si>
  <si>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</si>
  <si>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</si>
  <si>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</si>
  <si>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</si>
  <si>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</si>
  <si>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</si>
  <si>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</si>
  <si>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</si>
  <si>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</si>
  <si>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</si>
  <si>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</si>
  <si>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</si>
  <si>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</si>
  <si>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</si>
  <si>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</si>
  <si>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</si>
  <si>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</si>
  <si>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</si>
  <si>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</si>
  <si>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</si>
  <si>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</si>
  <si>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</si>
  <si>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</si>
  <si>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</si>
  <si>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</si>
  <si>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</si>
  <si>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</si>
  <si>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</si>
  <si>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</si>
  <si>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</si>
  <si>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</si>
  <si>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</si>
  <si>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</si>
  <si>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</si>
  <si>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</si>
  <si>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</si>
  <si>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</si>
  <si>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</si>
  <si>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</si>
  <si>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</si>
  <si>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</si>
  <si>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</si>
  <si>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</si>
  <si>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</si>
  <si>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</si>
  <si>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</si>
  <si>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</si>
  <si>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</si>
  <si>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</si>
  <si>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</si>
  <si>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</si>
  <si>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</si>
  <si>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</si>
  <si>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</si>
  <si>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</si>
  <si>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</si>
  <si>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</si>
  <si>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</si>
  <si>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</si>
  <si>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</si>
  <si>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</si>
  <si>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</si>
  <si>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</si>
  <si>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</si>
  <si>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</si>
  <si>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</si>
  <si>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</si>
  <si>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</si>
  <si>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</si>
  <si>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</si>
  <si>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</si>
  <si>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</si>
  <si>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</si>
  <si>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</si>
  <si>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</si>
  <si>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</si>
  <si>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</si>
  <si>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</si>
  <si>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</si>
  <si>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</si>
  <si>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</si>
  <si>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</si>
  <si>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</si>
  <si>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</si>
  <si>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</si>
  <si>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</si>
  <si>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</si>
  <si>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</si>
  <si>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</si>
  <si>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</si>
  <si>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</si>
  <si>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</si>
  <si>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</si>
  <si>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</si>
  <si>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</si>
  <si>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</si>
  <si>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</si>
  <si>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</si>
  <si>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</si>
  <si>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</si>
  <si>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</si>
  <si>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</si>
  <si>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</si>
  <si>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</si>
  <si>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</si>
  <si>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</si>
  <si>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</si>
  <si>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</si>
  <si>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</si>
  <si>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</si>
  <si>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</si>
  <si>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</si>
  <si>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</si>
  <si>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</si>
  <si>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</si>
  <si>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</si>
  <si>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</si>
  <si>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</si>
  <si>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</si>
  <si>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</si>
  <si>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</si>
  <si>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</si>
  <si>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</si>
  <si>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</si>
  <si>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</si>
  <si>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</si>
  <si>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</si>
  <si>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</si>
  <si>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</si>
  <si>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</si>
  <si>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</si>
  <si>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</si>
  <si>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</si>
  <si>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</si>
  <si>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</si>
  <si>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</si>
  <si>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</si>
  <si>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</si>
  <si>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</si>
  <si>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</si>
  <si>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</si>
  <si>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</si>
  <si>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</si>
  <si>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</si>
  <si>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</si>
  <si>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</si>
  <si>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</si>
  <si>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</si>
  <si>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</si>
  <si>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</si>
  <si>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</si>
  <si>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</si>
  <si>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</si>
  <si>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</si>
  <si>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</si>
  <si>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</si>
  <si>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</si>
  <si>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</si>
  <si>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</si>
  <si>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</si>
  <si>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</si>
  <si>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</si>
  <si>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</si>
  <si>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</si>
  <si>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</si>
  <si>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</si>
  <si>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</si>
  <si>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</si>
  <si>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</si>
  <si>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</si>
  <si>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</si>
  <si>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</si>
  <si>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</si>
  <si>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</si>
  <si>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</si>
  <si>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</si>
  <si>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</si>
  <si>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</si>
  <si>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</si>
  <si>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</si>
  <si>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</si>
  <si>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</si>
  <si>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</si>
  <si>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</si>
  <si>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</si>
  <si>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</si>
  <si>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</si>
  <si>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</si>
  <si>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</si>
  <si>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</si>
  <si>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</si>
  <si>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</si>
  <si>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</si>
  <si>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</si>
  <si>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</si>
  <si>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</si>
  <si>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</si>
  <si>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</si>
  <si>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</si>
  <si>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</si>
  <si>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</si>
  <si>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</si>
  <si>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</si>
  <si>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</si>
  <si>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</si>
  <si>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</si>
  <si>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</si>
  <si>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</si>
  <si>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</si>
  <si>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</si>
  <si>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</si>
  <si>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</si>
  <si>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</si>
  <si>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</si>
  <si>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</si>
  <si>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</si>
  <si>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</si>
  <si>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</si>
  <si>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</si>
  <si>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</si>
  <si>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</si>
  <si>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</si>
  <si>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</si>
  <si>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</si>
  <si>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</si>
  <si>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</si>
  <si>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</si>
  <si>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</si>
  <si>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</si>
  <si>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</si>
  <si>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</si>
  <si>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</si>
  <si>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</si>
  <si>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</si>
  <si>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</si>
  <si>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</si>
  <si>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</si>
  <si>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</si>
  <si>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</si>
  <si>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</si>
  <si>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</si>
  <si>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</si>
  <si>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</si>
  <si>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</si>
  <si>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</si>
  <si>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</si>
  <si>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</si>
  <si>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</si>
  <si>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</si>
  <si>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</si>
  <si>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</si>
  <si>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</si>
  <si>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</si>
  <si>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</si>
  <si>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</si>
  <si>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</si>
  <si>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</si>
  <si>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</si>
  <si>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</si>
  <si>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</si>
  <si>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</si>
  <si>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</si>
  <si>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</si>
  <si>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</si>
  <si>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</si>
  <si>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</si>
  <si>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</si>
  <si>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</si>
  <si>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</si>
  <si>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</si>
  <si>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</si>
  <si>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</si>
  <si>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</si>
  <si>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</si>
  <si>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</si>
  <si>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</si>
  <si>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</si>
  <si>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</si>
  <si>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</si>
  <si>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</si>
  <si>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</si>
  <si>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</si>
  <si>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</si>
  <si>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</si>
  <si>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</si>
  <si>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</si>
  <si>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</si>
  <si>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</si>
  <si>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</si>
  <si>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</si>
  <si>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</si>
  <si>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</si>
  <si>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</si>
  <si>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</si>
  <si>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</si>
  <si>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</si>
  <si>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</si>
  <si>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</si>
  <si>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</si>
  <si>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</si>
  <si>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</si>
  <si>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</si>
  <si>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</si>
  <si>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</si>
  <si>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</si>
  <si>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</si>
  <si>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</si>
  <si>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</si>
  <si>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</si>
  <si>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</si>
  <si>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</si>
  <si>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</si>
  <si>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</si>
  <si>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</si>
  <si>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</si>
  <si>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</si>
  <si>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</si>
  <si>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</si>
  <si>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</si>
  <si>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</si>
  <si>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</si>
  <si>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</si>
  <si>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</si>
  <si>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</si>
  <si>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</si>
  <si>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</si>
  <si>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</si>
  <si>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</si>
  <si>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</si>
  <si>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</si>
  <si>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</si>
  <si>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</si>
  <si>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</si>
  <si>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</si>
  <si>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</si>
  <si>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</si>
  <si>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</si>
  <si>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</si>
  <si>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</si>
  <si>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</si>
  <si>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</si>
  <si>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</si>
  <si>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</si>
  <si>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</si>
  <si>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</si>
  <si>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</si>
  <si>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</si>
  <si>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</si>
  <si>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</si>
  <si>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Norwalk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</si>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</sst>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74550518</v>
      </c>
      <c r="D13" s="22">
        <v>43468380</v>
      </c>
      <c r="E13" s="22">
        <f t="shared" ref="E13:E22" si="0">D13-C13</f>
        <v>-31082138</v>
      </c>
      <c r="F13" s="23">
        <f t="shared" ref="F13:F22" si="1">IF(C13=0,0,E13/C13)</f>
        <v>-0.416927190230925</v>
      </c>
    </row>
    <row r="14" spans="1:8" ht="24" customHeight="1" x14ac:dyDescent="0.2">
      <c r="A14" s="20">
        <v>2</v>
      </c>
      <c r="B14" s="21" t="s">
        <v>17</v>
      </c>
      <c r="C14" s="22">
        <v>8764926</v>
      </c>
      <c r="D14" s="22">
        <v>8795652</v>
      </c>
      <c r="E14" s="22">
        <f t="shared" si="0"/>
        <v>30726</v>
      </c>
      <c r="F14" s="23">
        <f t="shared" si="1"/>
        <v>3.5055629676736576E-3</v>
      </c>
    </row>
    <row r="15" spans="1:8" ht="24" customHeight="1" x14ac:dyDescent="0.2">
      <c r="A15" s="20">
        <v>3</v>
      </c>
      <c r="B15" s="21" t="s">
        <v>18</v>
      </c>
      <c r="C15" s="22">
        <v>40426872</v>
      </c>
      <c r="D15" s="22">
        <v>44469740</v>
      </c>
      <c r="E15" s="22">
        <f t="shared" si="0"/>
        <v>4042868</v>
      </c>
      <c r="F15" s="23">
        <f t="shared" si="1"/>
        <v>0.10000447227279914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135428</v>
      </c>
      <c r="D17" s="22">
        <v>50088</v>
      </c>
      <c r="E17" s="22">
        <f t="shared" si="0"/>
        <v>-85340</v>
      </c>
      <c r="F17" s="23">
        <f t="shared" si="1"/>
        <v>-0.63015033818708099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1774961</v>
      </c>
      <c r="D19" s="22">
        <v>2725505</v>
      </c>
      <c r="E19" s="22">
        <f t="shared" si="0"/>
        <v>950544</v>
      </c>
      <c r="F19" s="23">
        <f t="shared" si="1"/>
        <v>0.53552951304282181</v>
      </c>
    </row>
    <row r="20" spans="1:11" ht="24" customHeight="1" x14ac:dyDescent="0.2">
      <c r="A20" s="20">
        <v>8</v>
      </c>
      <c r="B20" s="21" t="s">
        <v>23</v>
      </c>
      <c r="C20" s="22">
        <v>1172206</v>
      </c>
      <c r="D20" s="22">
        <v>1488811</v>
      </c>
      <c r="E20" s="22">
        <f t="shared" si="0"/>
        <v>316605</v>
      </c>
      <c r="F20" s="23">
        <f t="shared" si="1"/>
        <v>0.2700933112439281</v>
      </c>
    </row>
    <row r="21" spans="1:11" ht="24" customHeight="1" x14ac:dyDescent="0.2">
      <c r="A21" s="20">
        <v>9</v>
      </c>
      <c r="B21" s="21" t="s">
        <v>24</v>
      </c>
      <c r="C21" s="22">
        <v>2844166</v>
      </c>
      <c r="D21" s="22">
        <v>2799276</v>
      </c>
      <c r="E21" s="22">
        <f t="shared" si="0"/>
        <v>-44890</v>
      </c>
      <c r="F21" s="23">
        <f t="shared" si="1"/>
        <v>-1.5783185650907857E-2</v>
      </c>
    </row>
    <row r="22" spans="1:11" ht="24" customHeight="1" x14ac:dyDescent="0.25">
      <c r="A22" s="24"/>
      <c r="B22" s="25" t="s">
        <v>25</v>
      </c>
      <c r="C22" s="26">
        <f>SUM(C13:C21)</f>
        <v>129669077</v>
      </c>
      <c r="D22" s="26">
        <f>SUM(D13:D21)</f>
        <v>103797452</v>
      </c>
      <c r="E22" s="26">
        <f t="shared" si="0"/>
        <v>-25871625</v>
      </c>
      <c r="F22" s="27">
        <f t="shared" si="1"/>
        <v>-0.19952039143457465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31413244</v>
      </c>
      <c r="D25" s="22">
        <v>16298579</v>
      </c>
      <c r="E25" s="22">
        <f>D25-C25</f>
        <v>-15114665</v>
      </c>
      <c r="F25" s="23">
        <f>IF(C25=0,0,E25/C25)</f>
        <v>-0.48115581440745187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327</v>
      </c>
      <c r="D28" s="22">
        <v>327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31413571</v>
      </c>
      <c r="D29" s="26">
        <f>SUM(D25:D28)</f>
        <v>16298906</v>
      </c>
      <c r="E29" s="26">
        <f>D29-C29</f>
        <v>-15114665</v>
      </c>
      <c r="F29" s="27">
        <f>IF(C29=0,0,E29/C29)</f>
        <v>-0.48115080580937453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47837445</v>
      </c>
      <c r="D31" s="22">
        <v>98322402</v>
      </c>
      <c r="E31" s="22">
        <f>D31-C31</f>
        <v>50484957</v>
      </c>
      <c r="F31" s="23">
        <f>IF(C31=0,0,E31/C31)</f>
        <v>1.055343925663254</v>
      </c>
    </row>
    <row r="32" spans="1:11" ht="24" customHeight="1" x14ac:dyDescent="0.2">
      <c r="A32" s="20">
        <v>6</v>
      </c>
      <c r="B32" s="21" t="s">
        <v>34</v>
      </c>
      <c r="C32" s="22">
        <v>116864243</v>
      </c>
      <c r="D32" s="22">
        <v>120410768</v>
      </c>
      <c r="E32" s="22">
        <f>D32-C32</f>
        <v>3546525</v>
      </c>
      <c r="F32" s="23">
        <f>IF(C32=0,0,E32/C32)</f>
        <v>3.034739205900645E-2</v>
      </c>
    </row>
    <row r="33" spans="1:8" ht="24" customHeight="1" x14ac:dyDescent="0.2">
      <c r="A33" s="20">
        <v>7</v>
      </c>
      <c r="B33" s="21" t="s">
        <v>35</v>
      </c>
      <c r="C33" s="22">
        <v>39259331</v>
      </c>
      <c r="D33" s="22">
        <v>31539592</v>
      </c>
      <c r="E33" s="22">
        <f>D33-C33</f>
        <v>-7719739</v>
      </c>
      <c r="F33" s="23">
        <f>IF(C33=0,0,E33/C33)</f>
        <v>-0.19663450199902796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495235142</v>
      </c>
      <c r="D36" s="22">
        <v>532229436</v>
      </c>
      <c r="E36" s="22">
        <f>D36-C36</f>
        <v>36994294</v>
      </c>
      <c r="F36" s="23">
        <f>IF(C36=0,0,E36/C36)</f>
        <v>7.470046218973693E-2</v>
      </c>
    </row>
    <row r="37" spans="1:8" ht="24" customHeight="1" x14ac:dyDescent="0.2">
      <c r="A37" s="20">
        <v>2</v>
      </c>
      <c r="B37" s="21" t="s">
        <v>39</v>
      </c>
      <c r="C37" s="22">
        <v>328979797</v>
      </c>
      <c r="D37" s="22">
        <v>349245364</v>
      </c>
      <c r="E37" s="22">
        <f>D37-C37</f>
        <v>20265567</v>
      </c>
      <c r="F37" s="23">
        <f>IF(C37=0,0,E37/C37)</f>
        <v>6.1601250851279481E-2</v>
      </c>
    </row>
    <row r="38" spans="1:8" ht="24" customHeight="1" x14ac:dyDescent="0.25">
      <c r="A38" s="24"/>
      <c r="B38" s="25" t="s">
        <v>40</v>
      </c>
      <c r="C38" s="26">
        <f>C36-C37</f>
        <v>166255345</v>
      </c>
      <c r="D38" s="26">
        <f>D36-D37</f>
        <v>182984072</v>
      </c>
      <c r="E38" s="26">
        <f>D38-C38</f>
        <v>16728727</v>
      </c>
      <c r="F38" s="27">
        <f>IF(C38=0,0,E38/C38)</f>
        <v>0.10062068681160295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78197484</v>
      </c>
      <c r="D40" s="22">
        <v>86191894</v>
      </c>
      <c r="E40" s="22">
        <f>D40-C40</f>
        <v>7994410</v>
      </c>
      <c r="F40" s="23">
        <f>IF(C40=0,0,E40/C40)</f>
        <v>0.10223359616020382</v>
      </c>
    </row>
    <row r="41" spans="1:8" ht="24" customHeight="1" x14ac:dyDescent="0.25">
      <c r="A41" s="24"/>
      <c r="B41" s="25" t="s">
        <v>42</v>
      </c>
      <c r="C41" s="26">
        <f>+C38+C40</f>
        <v>244452829</v>
      </c>
      <c r="D41" s="26">
        <f>+D38+D40</f>
        <v>269175966</v>
      </c>
      <c r="E41" s="26">
        <f>D41-C41</f>
        <v>24723137</v>
      </c>
      <c r="F41" s="27">
        <f>IF(C41=0,0,E41/C41)</f>
        <v>0.10113663687647485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609496496</v>
      </c>
      <c r="D43" s="26">
        <f>D22+D29+D31+D32+D33+D41</f>
        <v>639545086</v>
      </c>
      <c r="E43" s="26">
        <f>D43-C43</f>
        <v>30048590</v>
      </c>
      <c r="F43" s="27">
        <f>IF(C43=0,0,E43/C43)</f>
        <v>4.9300677193720895E-2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32811276</v>
      </c>
      <c r="D49" s="22">
        <v>26667858</v>
      </c>
      <c r="E49" s="22">
        <f t="shared" ref="E49:E56" si="2">D49-C49</f>
        <v>-6143418</v>
      </c>
      <c r="F49" s="23">
        <f t="shared" ref="F49:F56" si="3">IF(C49=0,0,E49/C49)</f>
        <v>-0.18723496154187969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18445669</v>
      </c>
      <c r="D50" s="22">
        <v>15029084</v>
      </c>
      <c r="E50" s="22">
        <f t="shared" si="2"/>
        <v>-3416585</v>
      </c>
      <c r="F50" s="23">
        <f t="shared" si="3"/>
        <v>-0.18522423881725297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36052621</v>
      </c>
      <c r="D51" s="22">
        <v>27894498</v>
      </c>
      <c r="E51" s="22">
        <f t="shared" si="2"/>
        <v>-8158123</v>
      </c>
      <c r="F51" s="23">
        <f t="shared" si="3"/>
        <v>-0.22628377004823033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1096562</v>
      </c>
      <c r="D52" s="22">
        <v>7983075</v>
      </c>
      <c r="E52" s="22">
        <f t="shared" si="2"/>
        <v>6886513</v>
      </c>
      <c r="F52" s="23">
        <f t="shared" si="3"/>
        <v>6.2800945135797157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5170000</v>
      </c>
      <c r="D53" s="22">
        <v>5715000</v>
      </c>
      <c r="E53" s="22">
        <f t="shared" si="2"/>
        <v>545000</v>
      </c>
      <c r="F53" s="23">
        <f t="shared" si="3"/>
        <v>0.10541586073500966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1146051</v>
      </c>
      <c r="D54" s="22">
        <v>1054094</v>
      </c>
      <c r="E54" s="22">
        <f t="shared" si="2"/>
        <v>-91957</v>
      </c>
      <c r="F54" s="23">
        <f t="shared" si="3"/>
        <v>-8.0238139489429358E-2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778518</v>
      </c>
      <c r="D55" s="22">
        <v>649481</v>
      </c>
      <c r="E55" s="22">
        <f t="shared" si="2"/>
        <v>-129037</v>
      </c>
      <c r="F55" s="23">
        <f t="shared" si="3"/>
        <v>-0.16574697052605078</v>
      </c>
    </row>
    <row r="56" spans="1:6" ht="24" customHeight="1" x14ac:dyDescent="0.25">
      <c r="A56" s="24"/>
      <c r="B56" s="25" t="s">
        <v>54</v>
      </c>
      <c r="C56" s="26">
        <f>SUM(C49:C55)</f>
        <v>95500697</v>
      </c>
      <c r="D56" s="26">
        <f>SUM(D49:D55)</f>
        <v>84993090</v>
      </c>
      <c r="E56" s="26">
        <f t="shared" si="2"/>
        <v>-10507607</v>
      </c>
      <c r="F56" s="27">
        <f t="shared" si="3"/>
        <v>-0.11002649540871938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118119257</v>
      </c>
      <c r="D59" s="22">
        <v>109637014</v>
      </c>
      <c r="E59" s="22">
        <f>D59-C59</f>
        <v>-8482243</v>
      </c>
      <c r="F59" s="23">
        <f>IF(C59=0,0,E59/C59)</f>
        <v>-7.1810839446780475E-2</v>
      </c>
    </row>
    <row r="60" spans="1:6" ht="24" customHeight="1" x14ac:dyDescent="0.2">
      <c r="A60" s="20">
        <v>2</v>
      </c>
      <c r="B60" s="21" t="s">
        <v>57</v>
      </c>
      <c r="C60" s="22">
        <v>1885030</v>
      </c>
      <c r="D60" s="22">
        <v>726222</v>
      </c>
      <c r="E60" s="22">
        <f>D60-C60</f>
        <v>-1158808</v>
      </c>
      <c r="F60" s="23">
        <f>IF(C60=0,0,E60/C60)</f>
        <v>-0.61474247094210699</v>
      </c>
    </row>
    <row r="61" spans="1:6" ht="24" customHeight="1" x14ac:dyDescent="0.25">
      <c r="A61" s="24"/>
      <c r="B61" s="25" t="s">
        <v>58</v>
      </c>
      <c r="C61" s="26">
        <f>SUM(C59:C60)</f>
        <v>120004287</v>
      </c>
      <c r="D61" s="26">
        <f>SUM(D59:D60)</f>
        <v>110363236</v>
      </c>
      <c r="E61" s="26">
        <f>D61-C61</f>
        <v>-9641051</v>
      </c>
      <c r="F61" s="27">
        <f>IF(C61=0,0,E61/C61)</f>
        <v>-8.0339221547976861E-2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22135436</v>
      </c>
      <c r="D63" s="22">
        <v>40703484</v>
      </c>
      <c r="E63" s="22">
        <f>D63-C63</f>
        <v>18568048</v>
      </c>
      <c r="F63" s="23">
        <f>IF(C63=0,0,E63/C63)</f>
        <v>0.83883814170183957</v>
      </c>
    </row>
    <row r="64" spans="1:6" ht="24" customHeight="1" x14ac:dyDescent="0.2">
      <c r="A64" s="20">
        <v>4</v>
      </c>
      <c r="B64" s="21" t="s">
        <v>60</v>
      </c>
      <c r="C64" s="22">
        <v>58695868</v>
      </c>
      <c r="D64" s="22">
        <v>53771131</v>
      </c>
      <c r="E64" s="22">
        <f>D64-C64</f>
        <v>-4924737</v>
      </c>
      <c r="F64" s="23">
        <f>IF(C64=0,0,E64/C64)</f>
        <v>-8.3902618153632216E-2</v>
      </c>
    </row>
    <row r="65" spans="1:6" ht="24" customHeight="1" x14ac:dyDescent="0.25">
      <c r="A65" s="24"/>
      <c r="B65" s="25" t="s">
        <v>61</v>
      </c>
      <c r="C65" s="26">
        <f>SUM(C61:C64)</f>
        <v>200835591</v>
      </c>
      <c r="D65" s="26">
        <f>SUM(D61:D64)</f>
        <v>204837851</v>
      </c>
      <c r="E65" s="26">
        <f>D65-C65</f>
        <v>4002260</v>
      </c>
      <c r="F65" s="27">
        <f>IF(C65=0,0,E65/C65)</f>
        <v>1.9928041539211044E-2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265968153</v>
      </c>
      <c r="D70" s="22">
        <v>280584110</v>
      </c>
      <c r="E70" s="22">
        <f>D70-C70</f>
        <v>14615957</v>
      </c>
      <c r="F70" s="23">
        <f>IF(C70=0,0,E70/C70)</f>
        <v>5.4953786139951874E-2</v>
      </c>
    </row>
    <row r="71" spans="1:6" ht="24" customHeight="1" x14ac:dyDescent="0.2">
      <c r="A71" s="20">
        <v>2</v>
      </c>
      <c r="B71" s="21" t="s">
        <v>65</v>
      </c>
      <c r="C71" s="22">
        <v>37730403</v>
      </c>
      <c r="D71" s="22">
        <v>59661583</v>
      </c>
      <c r="E71" s="22">
        <f>D71-C71</f>
        <v>21931180</v>
      </c>
      <c r="F71" s="23">
        <f>IF(C71=0,0,E71/C71)</f>
        <v>0.58126015775659756</v>
      </c>
    </row>
    <row r="72" spans="1:6" ht="24" customHeight="1" x14ac:dyDescent="0.2">
      <c r="A72" s="20">
        <v>3</v>
      </c>
      <c r="B72" s="21" t="s">
        <v>66</v>
      </c>
      <c r="C72" s="22">
        <v>9461652</v>
      </c>
      <c r="D72" s="22">
        <v>9468452</v>
      </c>
      <c r="E72" s="22">
        <f>D72-C72</f>
        <v>6800</v>
      </c>
      <c r="F72" s="23">
        <f>IF(C72=0,0,E72/C72)</f>
        <v>7.1869056270511744E-4</v>
      </c>
    </row>
    <row r="73" spans="1:6" ht="24" customHeight="1" x14ac:dyDescent="0.25">
      <c r="A73" s="20"/>
      <c r="B73" s="25" t="s">
        <v>67</v>
      </c>
      <c r="C73" s="26">
        <f>SUM(C70:C72)</f>
        <v>313160208</v>
      </c>
      <c r="D73" s="26">
        <f>SUM(D70:D72)</f>
        <v>349714145</v>
      </c>
      <c r="E73" s="26">
        <f>D73-C73</f>
        <v>36553937</v>
      </c>
      <c r="F73" s="27">
        <f>IF(C73=0,0,E73/C73)</f>
        <v>0.11672599540488235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609496496</v>
      </c>
      <c r="D75" s="26">
        <f>D56+D65+D67+D73</f>
        <v>639545086</v>
      </c>
      <c r="E75" s="26">
        <f>D75-C75</f>
        <v>30048590</v>
      </c>
      <c r="F75" s="27">
        <f>IF(C75=0,0,E75/C75)</f>
        <v>4.9300677193720895E-2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364800437</v>
      </c>
      <c r="D11" s="76">
        <v>961369530</v>
      </c>
      <c r="E11" s="76">
        <v>1123822000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18994632</v>
      </c>
      <c r="D12" s="185">
        <v>32255500</v>
      </c>
      <c r="E12" s="185">
        <v>33617000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383795069</v>
      </c>
      <c r="D13" s="76">
        <f>+D11+D12</f>
        <v>993625030</v>
      </c>
      <c r="E13" s="76">
        <f>+E11+E12</f>
        <v>1157439000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369760151</v>
      </c>
      <c r="D14" s="185">
        <v>961175602</v>
      </c>
      <c r="E14" s="185">
        <v>1144647000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14034918</v>
      </c>
      <c r="D15" s="76">
        <f>+D13-D14</f>
        <v>32449428</v>
      </c>
      <c r="E15" s="76">
        <f>+E13-E14</f>
        <v>12792000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10731419</v>
      </c>
      <c r="D16" s="185">
        <v>316766946</v>
      </c>
      <c r="E16" s="185">
        <v>18590000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24766337</v>
      </c>
      <c r="D17" s="76">
        <f>D15+D16</f>
        <v>349216374</v>
      </c>
      <c r="E17" s="76">
        <f>E15+E16</f>
        <v>31382000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3.5574082924439789E-2</v>
      </c>
      <c r="D20" s="189">
        <f>IF(+D27=0,0,+D24/+D27)</f>
        <v>2.4763146138190334E-2</v>
      </c>
      <c r="E20" s="189">
        <f>IF(+E27=0,0,+E24/+E27)</f>
        <v>1.0877282788094512E-2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2.7200756670107282E-2</v>
      </c>
      <c r="D21" s="189">
        <f>IF(+D27=0,0,+D26/+D27)</f>
        <v>0.2417344976172229</v>
      </c>
      <c r="E21" s="189">
        <f>IF(+E27=0,0,+E26/+E27)</f>
        <v>1.5807433320096698E-2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6.2774839594547077E-2</v>
      </c>
      <c r="D22" s="189">
        <f>IF(+D27=0,0,+D28/+D27)</f>
        <v>0.26649764375541324</v>
      </c>
      <c r="E22" s="189">
        <f>IF(+E27=0,0,+E28/+E27)</f>
        <v>2.668471610819121E-2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14034918</v>
      </c>
      <c r="D24" s="76">
        <f>+D15</f>
        <v>32449428</v>
      </c>
      <c r="E24" s="76">
        <f>+E15</f>
        <v>12792000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383795069</v>
      </c>
      <c r="D25" s="76">
        <f>+D13</f>
        <v>993625030</v>
      </c>
      <c r="E25" s="76">
        <f>+E13</f>
        <v>1157439000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10731419</v>
      </c>
      <c r="D26" s="76">
        <f>+D16</f>
        <v>316766946</v>
      </c>
      <c r="E26" s="76">
        <f>+E16</f>
        <v>18590000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394526488</v>
      </c>
      <c r="D27" s="76">
        <f>SUM(D25:D26)</f>
        <v>1310391976</v>
      </c>
      <c r="E27" s="76">
        <f>SUM(E25:E26)</f>
        <v>1176029000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24766337</v>
      </c>
      <c r="D28" s="76">
        <f>+D17</f>
        <v>349216374</v>
      </c>
      <c r="E28" s="76">
        <f>+E17</f>
        <v>31382000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239539585</v>
      </c>
      <c r="D31" s="76">
        <v>661351254</v>
      </c>
      <c r="E31" s="76">
        <v>603321000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292364747</v>
      </c>
      <c r="D32" s="76">
        <v>797554121</v>
      </c>
      <c r="E32" s="76">
        <v>755290000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88226023</v>
      </c>
      <c r="D33" s="76">
        <f>+D32-C32</f>
        <v>505189374</v>
      </c>
      <c r="E33" s="76">
        <f>+E32-D32</f>
        <v>-42264121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1.4320999999999999</v>
      </c>
      <c r="D34" s="193">
        <f>IF(C32=0,0,+D33/C32)</f>
        <v>1.7279421653391063</v>
      </c>
      <c r="E34" s="193">
        <f>IF(D32=0,0,+E33/D32)</f>
        <v>-5.2992166784879544E-2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2.2835409937702309</v>
      </c>
      <c r="D38" s="338">
        <f>IF(+D40=0,0,+D39/+D40)</f>
        <v>1.6806729621222469</v>
      </c>
      <c r="E38" s="338">
        <f>IF(+E40=0,0,+E39/+E40)</f>
        <v>1.7114923464803051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156109818</v>
      </c>
      <c r="D39" s="341">
        <v>358412968</v>
      </c>
      <c r="E39" s="341">
        <v>333308000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68363046</v>
      </c>
      <c r="D40" s="341">
        <v>213255628</v>
      </c>
      <c r="E40" s="341">
        <v>194747000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120.81831489969881</v>
      </c>
      <c r="D42" s="343">
        <f>IF((D48/365)=0,0,+D45/(D48/365))</f>
        <v>63.660324233648275</v>
      </c>
      <c r="E42" s="343">
        <f>IF((E48/365)=0,0,+E45/(E48/365))</f>
        <v>35.038409596404136</v>
      </c>
    </row>
    <row r="43" spans="1:14" ht="24" customHeight="1" x14ac:dyDescent="0.2">
      <c r="A43" s="339">
        <v>5</v>
      </c>
      <c r="B43" s="344" t="s">
        <v>16</v>
      </c>
      <c r="C43" s="345">
        <v>82407195</v>
      </c>
      <c r="D43" s="345">
        <v>144314483</v>
      </c>
      <c r="E43" s="345">
        <v>89299000</v>
      </c>
    </row>
    <row r="44" spans="1:14" ht="24" customHeight="1" x14ac:dyDescent="0.2">
      <c r="A44" s="339">
        <v>6</v>
      </c>
      <c r="B44" s="346" t="s">
        <v>17</v>
      </c>
      <c r="C44" s="345">
        <v>33656759</v>
      </c>
      <c r="D44" s="345">
        <v>14004464</v>
      </c>
      <c r="E44" s="345">
        <v>13983000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116063954</v>
      </c>
      <c r="D45" s="341">
        <f>+D43+D44</f>
        <v>158318947</v>
      </c>
      <c r="E45" s="341">
        <f>+E43+E44</f>
        <v>103282000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369760151</v>
      </c>
      <c r="D46" s="341">
        <f>+D14</f>
        <v>961175602</v>
      </c>
      <c r="E46" s="341">
        <f>+E14</f>
        <v>1144647000</v>
      </c>
    </row>
    <row r="47" spans="1:14" ht="24" customHeight="1" x14ac:dyDescent="0.2">
      <c r="A47" s="339">
        <v>9</v>
      </c>
      <c r="B47" s="340" t="s">
        <v>356</v>
      </c>
      <c r="C47" s="341">
        <v>19123385</v>
      </c>
      <c r="D47" s="341">
        <v>53445138</v>
      </c>
      <c r="E47" s="341">
        <v>68744000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350636766</v>
      </c>
      <c r="D48" s="341">
        <f>+D46-D47</f>
        <v>907730464</v>
      </c>
      <c r="E48" s="341">
        <f>+E46-E47</f>
        <v>1075903000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23.877913199977883</v>
      </c>
      <c r="D50" s="350">
        <f>IF((D55/365)=0,0,+D54/(D55/365))</f>
        <v>28.474026236300624</v>
      </c>
      <c r="E50" s="350">
        <f>IF((E55/365)=0,0,+E54/(E55/365))</f>
        <v>31.547295746123496</v>
      </c>
    </row>
    <row r="51" spans="1:5" ht="24" customHeight="1" x14ac:dyDescent="0.2">
      <c r="A51" s="339">
        <v>12</v>
      </c>
      <c r="B51" s="344" t="s">
        <v>359</v>
      </c>
      <c r="C51" s="351">
        <v>28873592</v>
      </c>
      <c r="D51" s="351">
        <v>128633349</v>
      </c>
      <c r="E51" s="351">
        <v>143408000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5008734</v>
      </c>
      <c r="D53" s="341">
        <v>53635921</v>
      </c>
      <c r="E53" s="341">
        <v>46275000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23864858</v>
      </c>
      <c r="D54" s="352">
        <f>+D51+D52-D53</f>
        <v>74997428</v>
      </c>
      <c r="E54" s="352">
        <f>+E51+E52-E53</f>
        <v>97133000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364800437</v>
      </c>
      <c r="D55" s="341">
        <f>+D11</f>
        <v>961369530</v>
      </c>
      <c r="E55" s="341">
        <f>+E11</f>
        <v>1123822000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71.163420980217467</v>
      </c>
      <c r="D57" s="355">
        <f>IF((D61/365)=0,0,+D58/(D61/365))</f>
        <v>85.750459312556458</v>
      </c>
      <c r="E57" s="355">
        <f>IF((E61/365)=0,0,+E58/(E61/365))</f>
        <v>66.067902961512331</v>
      </c>
    </row>
    <row r="58" spans="1:5" ht="24" customHeight="1" x14ac:dyDescent="0.2">
      <c r="A58" s="339">
        <v>18</v>
      </c>
      <c r="B58" s="340" t="s">
        <v>54</v>
      </c>
      <c r="C58" s="353">
        <f>+C40</f>
        <v>68363046</v>
      </c>
      <c r="D58" s="353">
        <f>+D40</f>
        <v>213255628</v>
      </c>
      <c r="E58" s="353">
        <f>+E40</f>
        <v>194747000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369760151</v>
      </c>
      <c r="D59" s="353">
        <f t="shared" si="0"/>
        <v>961175602</v>
      </c>
      <c r="E59" s="353">
        <f t="shared" si="0"/>
        <v>1144647000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19123385</v>
      </c>
      <c r="D60" s="356">
        <f t="shared" si="0"/>
        <v>53445138</v>
      </c>
      <c r="E60" s="356">
        <f t="shared" si="0"/>
        <v>68744000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350636766</v>
      </c>
      <c r="D61" s="353">
        <f>+D59-D60</f>
        <v>907730464</v>
      </c>
      <c r="E61" s="353">
        <f>+E59-E60</f>
        <v>1075903000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49.017712213089979</v>
      </c>
      <c r="D65" s="357">
        <f>IF(D67=0,0,(D66/D67)*100)</f>
        <v>48.925563433152533</v>
      </c>
      <c r="E65" s="357">
        <f>IF(E67=0,0,(E66/E67)*100)</f>
        <v>46.855904244693669</v>
      </c>
    </row>
    <row r="66" spans="1:5" ht="24" customHeight="1" x14ac:dyDescent="0.2">
      <c r="A66" s="339">
        <v>2</v>
      </c>
      <c r="B66" s="340" t="s">
        <v>67</v>
      </c>
      <c r="C66" s="353">
        <f>+C32</f>
        <v>292364747</v>
      </c>
      <c r="D66" s="353">
        <f>+D32</f>
        <v>797554121</v>
      </c>
      <c r="E66" s="353">
        <f>+E32</f>
        <v>755290000</v>
      </c>
    </row>
    <row r="67" spans="1:5" ht="24" customHeight="1" x14ac:dyDescent="0.2">
      <c r="A67" s="339">
        <v>3</v>
      </c>
      <c r="B67" s="340" t="s">
        <v>43</v>
      </c>
      <c r="C67" s="353">
        <v>596447149</v>
      </c>
      <c r="D67" s="353">
        <v>1630137836</v>
      </c>
      <c r="E67" s="353">
        <v>1611942000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22.694535960865334</v>
      </c>
      <c r="D69" s="357">
        <f>IF(D75=0,0,(D72/D75)*100)</f>
        <v>69.787529608373944</v>
      </c>
      <c r="E69" s="357">
        <f>IF(E75=0,0,(E72/E75)*100)</f>
        <v>18.214463731521942</v>
      </c>
    </row>
    <row r="70" spans="1:5" ht="24" customHeight="1" x14ac:dyDescent="0.2">
      <c r="A70" s="339">
        <v>5</v>
      </c>
      <c r="B70" s="340" t="s">
        <v>366</v>
      </c>
      <c r="C70" s="353">
        <f>+C28</f>
        <v>24766337</v>
      </c>
      <c r="D70" s="353">
        <f>+D28</f>
        <v>349216374</v>
      </c>
      <c r="E70" s="353">
        <f>+E28</f>
        <v>31382000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19123385</v>
      </c>
      <c r="D71" s="356">
        <f>+D47</f>
        <v>53445138</v>
      </c>
      <c r="E71" s="356">
        <f>+E47</f>
        <v>68744000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43889722</v>
      </c>
      <c r="D72" s="353">
        <f>+D70+D71</f>
        <v>402661512</v>
      </c>
      <c r="E72" s="353">
        <f>+E70+E71</f>
        <v>100126000</v>
      </c>
    </row>
    <row r="73" spans="1:5" ht="24" customHeight="1" x14ac:dyDescent="0.2">
      <c r="A73" s="339">
        <v>8</v>
      </c>
      <c r="B73" s="340" t="s">
        <v>54</v>
      </c>
      <c r="C73" s="341">
        <f>+C40</f>
        <v>68363046</v>
      </c>
      <c r="D73" s="341">
        <f>+D40</f>
        <v>213255628</v>
      </c>
      <c r="E73" s="341">
        <f>+E40</f>
        <v>194747000</v>
      </c>
    </row>
    <row r="74" spans="1:5" ht="24" customHeight="1" x14ac:dyDescent="0.2">
      <c r="A74" s="339">
        <v>9</v>
      </c>
      <c r="B74" s="340" t="s">
        <v>58</v>
      </c>
      <c r="C74" s="353">
        <v>125030298</v>
      </c>
      <c r="D74" s="353">
        <v>363726412</v>
      </c>
      <c r="E74" s="353">
        <v>354959000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193393344</v>
      </c>
      <c r="D75" s="341">
        <f>+D73+D74</f>
        <v>576982040</v>
      </c>
      <c r="E75" s="341">
        <f>+E73+E74</f>
        <v>549706000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29.954907107246566</v>
      </c>
      <c r="D77" s="359">
        <f>IF(D80=0,0,(D78/D80)*100)</f>
        <v>31.321149512458074</v>
      </c>
      <c r="E77" s="359">
        <f>IF(E80=0,0,(E78/E80)*100)</f>
        <v>31.971116389206383</v>
      </c>
    </row>
    <row r="78" spans="1:5" ht="24" customHeight="1" x14ac:dyDescent="0.2">
      <c r="A78" s="339">
        <v>12</v>
      </c>
      <c r="B78" s="340" t="s">
        <v>58</v>
      </c>
      <c r="C78" s="341">
        <f>+C74</f>
        <v>125030298</v>
      </c>
      <c r="D78" s="341">
        <f>+D74</f>
        <v>363726412</v>
      </c>
      <c r="E78" s="341">
        <f>+E74</f>
        <v>354959000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292364747</v>
      </c>
      <c r="D79" s="341">
        <f>+D32</f>
        <v>797554121</v>
      </c>
      <c r="E79" s="341">
        <f>+E32</f>
        <v>755290000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417395045</v>
      </c>
      <c r="D80" s="341">
        <f>+D78+D79</f>
        <v>1161280533</v>
      </c>
      <c r="E80" s="341">
        <f>+E78+E79</f>
        <v>1110249000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FILING&amp;R&amp;8WESTERN CONNECTICUT HEALTH NETWORK,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32874</v>
      </c>
      <c r="D11" s="376">
        <v>9196</v>
      </c>
      <c r="E11" s="376">
        <v>9141</v>
      </c>
      <c r="F11" s="377">
        <v>103</v>
      </c>
      <c r="G11" s="377">
        <v>165</v>
      </c>
      <c r="H11" s="378">
        <f>IF(F11=0,0,$C11/(F11*365))</f>
        <v>0.87442479053065569</v>
      </c>
      <c r="I11" s="378">
        <f>IF(G11=0,0,$C11/(G11*365))</f>
        <v>0.54585305105853055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11498</v>
      </c>
      <c r="D13" s="376">
        <v>1669</v>
      </c>
      <c r="E13" s="376">
        <v>0</v>
      </c>
      <c r="F13" s="377">
        <v>36</v>
      </c>
      <c r="G13" s="377">
        <v>49</v>
      </c>
      <c r="H13" s="378">
        <f>IF(F13=0,0,$C13/(F13*365))</f>
        <v>0.87503805175038052</v>
      </c>
      <c r="I13" s="378">
        <f>IF(G13=0,0,$C13/(G13*365))</f>
        <v>0.64288509924517756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2777</v>
      </c>
      <c r="D16" s="376">
        <v>462</v>
      </c>
      <c r="E16" s="376">
        <v>457</v>
      </c>
      <c r="F16" s="377">
        <v>10</v>
      </c>
      <c r="G16" s="377">
        <v>20</v>
      </c>
      <c r="H16" s="378">
        <f t="shared" si="0"/>
        <v>0.76082191780821917</v>
      </c>
      <c r="I16" s="378">
        <f t="shared" si="0"/>
        <v>0.38041095890410959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2777</v>
      </c>
      <c r="D17" s="381">
        <f>SUM(D15:D16)</f>
        <v>462</v>
      </c>
      <c r="E17" s="381">
        <f>SUM(E15:E16)</f>
        <v>457</v>
      </c>
      <c r="F17" s="381">
        <f>SUM(F15:F16)</f>
        <v>10</v>
      </c>
      <c r="G17" s="381">
        <f>SUM(G15:G16)</f>
        <v>20</v>
      </c>
      <c r="H17" s="382">
        <f t="shared" si="0"/>
        <v>0.76082191780821917</v>
      </c>
      <c r="I17" s="382">
        <f t="shared" si="0"/>
        <v>0.38041095890410959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1342</v>
      </c>
      <c r="D19" s="376">
        <v>85</v>
      </c>
      <c r="E19" s="376">
        <v>85</v>
      </c>
      <c r="F19" s="377">
        <v>6</v>
      </c>
      <c r="G19" s="377">
        <v>12</v>
      </c>
      <c r="H19" s="378">
        <f>IF(F19=0,0,$C19/(F19*365))</f>
        <v>0.61278538812785388</v>
      </c>
      <c r="I19" s="378">
        <f>IF(G19=0,0,$C19/(G19*365))</f>
        <v>0.30639269406392694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4040</v>
      </c>
      <c r="D21" s="376">
        <v>1385</v>
      </c>
      <c r="E21" s="376">
        <v>1377</v>
      </c>
      <c r="F21" s="377">
        <v>15</v>
      </c>
      <c r="G21" s="377">
        <v>32</v>
      </c>
      <c r="H21" s="378">
        <f>IF(F21=0,0,$C21/(F21*365))</f>
        <v>0.73789954337899544</v>
      </c>
      <c r="I21" s="378">
        <f>IF(G21=0,0,$C21/(G21*365))</f>
        <v>0.3458904109589041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3214</v>
      </c>
      <c r="D23" s="376">
        <v>1268</v>
      </c>
      <c r="E23" s="376">
        <v>1359</v>
      </c>
      <c r="F23" s="377">
        <v>10</v>
      </c>
      <c r="G23" s="377">
        <v>20</v>
      </c>
      <c r="H23" s="378">
        <f>IF(F23=0,0,$C23/(F23*365))</f>
        <v>0.88054794520547941</v>
      </c>
      <c r="I23" s="378">
        <f>IF(G23=0,0,$C23/(G23*365))</f>
        <v>0.4402739726027397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1359</v>
      </c>
      <c r="D25" s="376">
        <v>104</v>
      </c>
      <c r="E25" s="376">
        <v>0</v>
      </c>
      <c r="F25" s="377">
        <v>6</v>
      </c>
      <c r="G25" s="377">
        <v>16</v>
      </c>
      <c r="H25" s="378">
        <f>IF(F25=0,0,$C25/(F25*365))</f>
        <v>0.6205479452054794</v>
      </c>
      <c r="I25" s="378">
        <f>IF(G25=0,0,$C25/(G25*365))</f>
        <v>0.2327054794520548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907</v>
      </c>
      <c r="D27" s="376">
        <v>377</v>
      </c>
      <c r="E27" s="376">
        <v>377</v>
      </c>
      <c r="F27" s="377">
        <v>4</v>
      </c>
      <c r="G27" s="377">
        <v>17</v>
      </c>
      <c r="H27" s="378">
        <f>IF(F27=0,0,$C27/(F27*365))</f>
        <v>0.62123287671232874</v>
      </c>
      <c r="I27" s="378">
        <f>IF(G27=0,0,$C27/(G27*365))</f>
        <v>0.14617244157937148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54797</v>
      </c>
      <c r="D31" s="384">
        <f>SUM(D10:D29)-D13-D17-D23</f>
        <v>11609</v>
      </c>
      <c r="E31" s="384">
        <f>SUM(E10:E29)-E17-E23</f>
        <v>11437</v>
      </c>
      <c r="F31" s="384">
        <f>SUM(F10:F29)-F17-F23</f>
        <v>180</v>
      </c>
      <c r="G31" s="384">
        <f>SUM(G10:G29)-G17-G23</f>
        <v>311</v>
      </c>
      <c r="H31" s="385">
        <f>IF(F31=0,0,$C31/(F31*365))</f>
        <v>0.8340487062404871</v>
      </c>
      <c r="I31" s="385">
        <f>IF(G31=0,0,$C31/(G31*365))</f>
        <v>0.48272915473725941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58011</v>
      </c>
      <c r="D33" s="384">
        <f>SUM(D10:D29)-D13-D17</f>
        <v>12877</v>
      </c>
      <c r="E33" s="384">
        <f>SUM(E10:E29)-E17</f>
        <v>12796</v>
      </c>
      <c r="F33" s="384">
        <f>SUM(F10:F29)-F17</f>
        <v>190</v>
      </c>
      <c r="G33" s="384">
        <f>SUM(G10:G29)-G17</f>
        <v>331</v>
      </c>
      <c r="H33" s="385">
        <f>IF(F33=0,0,$C33/(F33*365))</f>
        <v>0.83649603460706556</v>
      </c>
      <c r="I33" s="385">
        <f>IF(G33=0,0,$C33/(G33*365))</f>
        <v>0.48016388693456941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58011</v>
      </c>
      <c r="D36" s="384">
        <f t="shared" si="1"/>
        <v>12877</v>
      </c>
      <c r="E36" s="384">
        <f t="shared" si="1"/>
        <v>12796</v>
      </c>
      <c r="F36" s="384">
        <f t="shared" si="1"/>
        <v>190</v>
      </c>
      <c r="G36" s="384">
        <f t="shared" si="1"/>
        <v>331</v>
      </c>
      <c r="H36" s="387">
        <f t="shared" si="1"/>
        <v>0.83649603460706556</v>
      </c>
      <c r="I36" s="387">
        <f t="shared" si="1"/>
        <v>0.48016388693456941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59071</v>
      </c>
      <c r="D37" s="384">
        <v>13110</v>
      </c>
      <c r="E37" s="384">
        <v>11224</v>
      </c>
      <c r="F37" s="386">
        <v>192</v>
      </c>
      <c r="G37" s="386">
        <v>333</v>
      </c>
      <c r="H37" s="385">
        <f>IF(F37=0,0,$C37/(F37*365))</f>
        <v>0.84290810502283109</v>
      </c>
      <c r="I37" s="385">
        <f>IF(G37=0,0,$C37/(G37*365))</f>
        <v>0.48600106956271338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-1060</v>
      </c>
      <c r="D38" s="384">
        <f t="shared" si="2"/>
        <v>-233</v>
      </c>
      <c r="E38" s="384">
        <f t="shared" si="2"/>
        <v>1572</v>
      </c>
      <c r="F38" s="384">
        <f t="shared" si="2"/>
        <v>-2</v>
      </c>
      <c r="G38" s="384">
        <f t="shared" si="2"/>
        <v>-2</v>
      </c>
      <c r="H38" s="387">
        <f t="shared" si="2"/>
        <v>-6.4120704157655251E-3</v>
      </c>
      <c r="I38" s="387">
        <f t="shared" si="2"/>
        <v>-5.8371826281439776E-3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-1.7944507457127862E-2</v>
      </c>
      <c r="D40" s="389">
        <f t="shared" si="3"/>
        <v>-1.7772692601067886E-2</v>
      </c>
      <c r="E40" s="389">
        <f t="shared" si="3"/>
        <v>0.14005702066999287</v>
      </c>
      <c r="F40" s="389">
        <f t="shared" si="3"/>
        <v>-1.0416666666666666E-2</v>
      </c>
      <c r="G40" s="389">
        <f t="shared" si="3"/>
        <v>-6.006006006006006E-3</v>
      </c>
      <c r="H40" s="389">
        <f t="shared" si="3"/>
        <v>-7.6070812198345715E-3</v>
      </c>
      <c r="I40" s="389">
        <f t="shared" si="3"/>
        <v>-1.201063741155152E-2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366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FILING&amp;RNORWALK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7916</v>
      </c>
      <c r="D12" s="409">
        <v>7614</v>
      </c>
      <c r="E12" s="409">
        <f>+D12-C12</f>
        <v>-302</v>
      </c>
      <c r="F12" s="410">
        <f>IF(C12=0,0,+E12/C12)</f>
        <v>-3.8150581101566446E-2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13272</v>
      </c>
      <c r="D13" s="409">
        <v>11516</v>
      </c>
      <c r="E13" s="409">
        <f>+D13-C13</f>
        <v>-1756</v>
      </c>
      <c r="F13" s="410">
        <f>IF(C13=0,0,+E13/C13)</f>
        <v>-0.13230861965039181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9509</v>
      </c>
      <c r="D14" s="409">
        <v>9627</v>
      </c>
      <c r="E14" s="409">
        <f>+D14-C14</f>
        <v>118</v>
      </c>
      <c r="F14" s="410">
        <f>IF(C14=0,0,+E14/C14)</f>
        <v>1.2409296455989063E-2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30697</v>
      </c>
      <c r="D16" s="401">
        <f>SUM(D12:D15)</f>
        <v>28757</v>
      </c>
      <c r="E16" s="401">
        <f>+D16-C16</f>
        <v>-1940</v>
      </c>
      <c r="F16" s="402">
        <f>IF(C16=0,0,+E16/C16)</f>
        <v>-6.3198358145747147E-2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1270</v>
      </c>
      <c r="D19" s="409">
        <v>1141</v>
      </c>
      <c r="E19" s="409">
        <f>+D19-C19</f>
        <v>-129</v>
      </c>
      <c r="F19" s="410">
        <f>IF(C19=0,0,+E19/C19)</f>
        <v>-0.1015748031496063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9940</v>
      </c>
      <c r="D20" s="409">
        <v>9732</v>
      </c>
      <c r="E20" s="409">
        <f>+D20-C20</f>
        <v>-208</v>
      </c>
      <c r="F20" s="410">
        <f>IF(C20=0,0,+E20/C20)</f>
        <v>-2.0925553319919517E-2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171</v>
      </c>
      <c r="D21" s="409">
        <v>216</v>
      </c>
      <c r="E21" s="409">
        <f>+D21-C21</f>
        <v>45</v>
      </c>
      <c r="F21" s="410">
        <f>IF(C21=0,0,+E21/C21)</f>
        <v>0.26315789473684209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11381</v>
      </c>
      <c r="D23" s="401">
        <f>SUM(D19:D22)</f>
        <v>11089</v>
      </c>
      <c r="E23" s="401">
        <f>+D23-C23</f>
        <v>-292</v>
      </c>
      <c r="F23" s="402">
        <f>IF(C23=0,0,+E23/C23)</f>
        <v>-2.5656796415077763E-2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2</v>
      </c>
      <c r="E33" s="409">
        <f>+D33-C33</f>
        <v>2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536</v>
      </c>
      <c r="D34" s="409">
        <v>473</v>
      </c>
      <c r="E34" s="409">
        <f>+D34-C34</f>
        <v>-63</v>
      </c>
      <c r="F34" s="410">
        <f>IF(C34=0,0,+E34/C34)</f>
        <v>-0.11753731343283583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536</v>
      </c>
      <c r="D37" s="401">
        <f>SUM(D33:D36)</f>
        <v>475</v>
      </c>
      <c r="E37" s="401">
        <f>+D37-C37</f>
        <v>-61</v>
      </c>
      <c r="F37" s="402">
        <f>IF(C37=0,0,+E37/C37)</f>
        <v>-0.11380597014925373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221</v>
      </c>
      <c r="D43" s="409">
        <v>293</v>
      </c>
      <c r="E43" s="409">
        <f>+D43-C43</f>
        <v>72</v>
      </c>
      <c r="F43" s="410">
        <f>IF(C43=0,0,+E43/C43)</f>
        <v>0.32579185520361992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7692</v>
      </c>
      <c r="D44" s="409">
        <v>7530</v>
      </c>
      <c r="E44" s="409">
        <f>+D44-C44</f>
        <v>-162</v>
      </c>
      <c r="F44" s="410">
        <f>IF(C44=0,0,+E44/C44)</f>
        <v>-2.1060842433697349E-2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7913</v>
      </c>
      <c r="D45" s="401">
        <f>SUM(D43:D44)</f>
        <v>7823</v>
      </c>
      <c r="E45" s="401">
        <f>+D45-C45</f>
        <v>-90</v>
      </c>
      <c r="F45" s="402">
        <f>IF(C45=0,0,+E45/C45)</f>
        <v>-1.1373688866422343E-2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135</v>
      </c>
      <c r="D48" s="409">
        <v>104</v>
      </c>
      <c r="E48" s="409">
        <f>+D48-C48</f>
        <v>-31</v>
      </c>
      <c r="F48" s="410">
        <f>IF(C48=0,0,+E48/C48)</f>
        <v>-0.22962962962962963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44</v>
      </c>
      <c r="D49" s="409">
        <v>29</v>
      </c>
      <c r="E49" s="409">
        <f>+D49-C49</f>
        <v>-15</v>
      </c>
      <c r="F49" s="410">
        <f>IF(C49=0,0,+E49/C49)</f>
        <v>-0.34090909090909088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179</v>
      </c>
      <c r="D50" s="401">
        <f>SUM(D48:D49)</f>
        <v>133</v>
      </c>
      <c r="E50" s="401">
        <f>+D50-C50</f>
        <v>-46</v>
      </c>
      <c r="F50" s="402">
        <f>IF(C50=0,0,+E50/C50)</f>
        <v>-0.25698324022346369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65</v>
      </c>
      <c r="D53" s="409">
        <v>49</v>
      </c>
      <c r="E53" s="409">
        <f>+D53-C53</f>
        <v>-16</v>
      </c>
      <c r="F53" s="410">
        <f>IF(C53=0,0,+E53/C53)</f>
        <v>-0.24615384615384617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65</v>
      </c>
      <c r="D55" s="401">
        <f>SUM(D53:D54)</f>
        <v>49</v>
      </c>
      <c r="E55" s="401">
        <f>+D55-C55</f>
        <v>-16</v>
      </c>
      <c r="F55" s="402">
        <f>IF(C55=0,0,+E55/C55)</f>
        <v>-0.24615384615384617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95</v>
      </c>
      <c r="D58" s="409">
        <v>74</v>
      </c>
      <c r="E58" s="409">
        <f>+D58-C58</f>
        <v>-21</v>
      </c>
      <c r="F58" s="410">
        <f>IF(C58=0,0,+E58/C58)</f>
        <v>-0.22105263157894736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221</v>
      </c>
      <c r="D59" s="409">
        <v>219</v>
      </c>
      <c r="E59" s="409">
        <f>+D59-C59</f>
        <v>-2</v>
      </c>
      <c r="F59" s="410">
        <f>IF(C59=0,0,+E59/C59)</f>
        <v>-9.0497737556561094E-3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316</v>
      </c>
      <c r="D60" s="401">
        <f>SUM(D58:D59)</f>
        <v>293</v>
      </c>
      <c r="E60" s="401">
        <f>SUM(E58:E59)</f>
        <v>-23</v>
      </c>
      <c r="F60" s="402">
        <f>IF(C60=0,0,+E60/C60)</f>
        <v>-7.2784810126582278E-2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2821</v>
      </c>
      <c r="D63" s="409">
        <v>2685</v>
      </c>
      <c r="E63" s="409">
        <f>+D63-C63</f>
        <v>-136</v>
      </c>
      <c r="F63" s="410">
        <f>IF(C63=0,0,+E63/C63)</f>
        <v>-4.8209854661467565E-2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7856</v>
      </c>
      <c r="D64" s="409">
        <v>7107</v>
      </c>
      <c r="E64" s="409">
        <f>+D64-C64</f>
        <v>-749</v>
      </c>
      <c r="F64" s="410">
        <f>IF(C64=0,0,+E64/C64)</f>
        <v>-9.5341140529531562E-2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10677</v>
      </c>
      <c r="D65" s="401">
        <f>SUM(D63:D64)</f>
        <v>9792</v>
      </c>
      <c r="E65" s="401">
        <f>+D65-C65</f>
        <v>-885</v>
      </c>
      <c r="F65" s="402">
        <f>IF(C65=0,0,+E65/C65)</f>
        <v>-8.2888451812306821E-2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652</v>
      </c>
      <c r="D68" s="409">
        <v>535</v>
      </c>
      <c r="E68" s="409">
        <f>+D68-C68</f>
        <v>-117</v>
      </c>
      <c r="F68" s="410">
        <f>IF(C68=0,0,+E68/C68)</f>
        <v>-0.17944785276073619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6439</v>
      </c>
      <c r="D69" s="409">
        <v>6297</v>
      </c>
      <c r="E69" s="409">
        <f>+D69-C69</f>
        <v>-142</v>
      </c>
      <c r="F69" s="412">
        <f>IF(C69=0,0,+E69/C69)</f>
        <v>-2.2053113837552415E-2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7091</v>
      </c>
      <c r="D70" s="401">
        <f>SUM(D68:D69)</f>
        <v>6832</v>
      </c>
      <c r="E70" s="401">
        <f>+D70-C70</f>
        <v>-259</v>
      </c>
      <c r="F70" s="402">
        <f>IF(C70=0,0,+E70/C70)</f>
        <v>-3.6525172754195458E-2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8767</v>
      </c>
      <c r="D73" s="376">
        <v>8591</v>
      </c>
      <c r="E73" s="409">
        <f>+D73-C73</f>
        <v>-176</v>
      </c>
      <c r="F73" s="410">
        <f>IF(C73=0,0,+E73/C73)</f>
        <v>-2.0075282308657464E-2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39091</v>
      </c>
      <c r="D74" s="376">
        <v>36759</v>
      </c>
      <c r="E74" s="409">
        <f>+D74-C74</f>
        <v>-2332</v>
      </c>
      <c r="F74" s="410">
        <f>IF(C74=0,0,+E74/C74)</f>
        <v>-5.9655675219359952E-2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47858</v>
      </c>
      <c r="D75" s="401">
        <f>SUM(D73:D74)</f>
        <v>45350</v>
      </c>
      <c r="E75" s="401">
        <f>SUM(E73:E74)</f>
        <v>-2508</v>
      </c>
      <c r="F75" s="402">
        <f>IF(C75=0,0,+E75/C75)</f>
        <v>-5.2405031551673704E-2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1178</v>
      </c>
      <c r="D80" s="376">
        <v>1628</v>
      </c>
      <c r="E80" s="409">
        <f t="shared" si="0"/>
        <v>450</v>
      </c>
      <c r="F80" s="410">
        <f t="shared" si="1"/>
        <v>0.38200339558573854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9142</v>
      </c>
      <c r="D81" s="376">
        <v>10838</v>
      </c>
      <c r="E81" s="409">
        <f t="shared" si="0"/>
        <v>1696</v>
      </c>
      <c r="F81" s="410">
        <f t="shared" si="1"/>
        <v>0.18551739225552397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15</v>
      </c>
      <c r="D86" s="376">
        <v>65</v>
      </c>
      <c r="E86" s="409">
        <f t="shared" si="0"/>
        <v>50</v>
      </c>
      <c r="F86" s="410">
        <f t="shared" si="1"/>
        <v>3.3333333333333335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110</v>
      </c>
      <c r="D88" s="376">
        <v>86</v>
      </c>
      <c r="E88" s="409">
        <f t="shared" si="0"/>
        <v>-24</v>
      </c>
      <c r="F88" s="410">
        <f t="shared" si="1"/>
        <v>-0.21818181818181817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558</v>
      </c>
      <c r="D90" s="376">
        <v>488</v>
      </c>
      <c r="E90" s="409">
        <f t="shared" si="0"/>
        <v>-70</v>
      </c>
      <c r="F90" s="410">
        <f t="shared" si="1"/>
        <v>-0.12544802867383512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7012</v>
      </c>
      <c r="D91" s="376">
        <v>8138</v>
      </c>
      <c r="E91" s="409">
        <f t="shared" si="0"/>
        <v>1126</v>
      </c>
      <c r="F91" s="410">
        <f t="shared" si="1"/>
        <v>0.16058185966913863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18015</v>
      </c>
      <c r="D92" s="381">
        <f>SUM(D79:D91)</f>
        <v>21243</v>
      </c>
      <c r="E92" s="401">
        <f t="shared" si="0"/>
        <v>3228</v>
      </c>
      <c r="F92" s="402">
        <f t="shared" si="1"/>
        <v>0.17918401332223147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9621</v>
      </c>
      <c r="D95" s="414">
        <v>8917</v>
      </c>
      <c r="E95" s="415">
        <f t="shared" ref="E95:E100" si="2">+D95-C95</f>
        <v>-704</v>
      </c>
      <c r="F95" s="412">
        <f t="shared" ref="F95:F100" si="3">IF(C95=0,0,+E95/C95)</f>
        <v>-7.3173266812181684E-2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437</v>
      </c>
      <c r="D96" s="414">
        <v>507</v>
      </c>
      <c r="E96" s="409">
        <f t="shared" si="2"/>
        <v>70</v>
      </c>
      <c r="F96" s="410">
        <f t="shared" si="3"/>
        <v>0.16018306636155608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468</v>
      </c>
      <c r="D97" s="414">
        <v>1274</v>
      </c>
      <c r="E97" s="409">
        <f t="shared" si="2"/>
        <v>806</v>
      </c>
      <c r="F97" s="410">
        <f t="shared" si="3"/>
        <v>1.7222222222222223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7115</v>
      </c>
      <c r="D98" s="414">
        <v>6903</v>
      </c>
      <c r="E98" s="409">
        <f t="shared" si="2"/>
        <v>-212</v>
      </c>
      <c r="F98" s="410">
        <f t="shared" si="3"/>
        <v>-2.9796205200281096E-2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171858</v>
      </c>
      <c r="D99" s="414">
        <v>178692</v>
      </c>
      <c r="E99" s="409">
        <f t="shared" si="2"/>
        <v>6834</v>
      </c>
      <c r="F99" s="410">
        <f t="shared" si="3"/>
        <v>3.9765387703801974E-2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189499</v>
      </c>
      <c r="D100" s="381">
        <f>SUM(D95:D99)</f>
        <v>196293</v>
      </c>
      <c r="E100" s="401">
        <f t="shared" si="2"/>
        <v>6794</v>
      </c>
      <c r="F100" s="402">
        <f t="shared" si="3"/>
        <v>3.5852431938954821E-2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444.9</v>
      </c>
      <c r="D104" s="416">
        <v>445.6</v>
      </c>
      <c r="E104" s="417">
        <f>+D104-C104</f>
        <v>0.70000000000004547</v>
      </c>
      <c r="F104" s="410">
        <f>IF(C104=0,0,+E104/C104)</f>
        <v>1.5733872780401112E-3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90</v>
      </c>
      <c r="D105" s="416">
        <v>90.8</v>
      </c>
      <c r="E105" s="417">
        <f>+D105-C105</f>
        <v>0.79999999999999716</v>
      </c>
      <c r="F105" s="410">
        <f>IF(C105=0,0,+E105/C105)</f>
        <v>8.8888888888888577E-3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1116.0999999999999</v>
      </c>
      <c r="D106" s="416">
        <v>1128.5</v>
      </c>
      <c r="E106" s="417">
        <f>+D106-C106</f>
        <v>12.400000000000091</v>
      </c>
      <c r="F106" s="410">
        <f>IF(C106=0,0,+E106/C106)</f>
        <v>1.1110115581041208E-2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1651</v>
      </c>
      <c r="D107" s="418">
        <f>SUM(D104:D106)</f>
        <v>1664.9</v>
      </c>
      <c r="E107" s="418">
        <f>+D107-C107</f>
        <v>13.900000000000091</v>
      </c>
      <c r="F107" s="402">
        <f>IF(C107=0,0,+E107/C107)</f>
        <v>8.4191399152029629E-3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7856</v>
      </c>
      <c r="D12" s="409">
        <v>7107</v>
      </c>
      <c r="E12" s="409">
        <f>+D12-C12</f>
        <v>-749</v>
      </c>
      <c r="F12" s="410">
        <f>IF(C12=0,0,+E12/C12)</f>
        <v>-9.5341140529531562E-2</v>
      </c>
    </row>
    <row r="13" spans="1:6" ht="15.75" customHeight="1" x14ac:dyDescent="0.25">
      <c r="A13" s="374"/>
      <c r="B13" s="399" t="s">
        <v>622</v>
      </c>
      <c r="C13" s="401">
        <f>SUM(C11:C12)</f>
        <v>7856</v>
      </c>
      <c r="D13" s="401">
        <f>SUM(D11:D12)</f>
        <v>7107</v>
      </c>
      <c r="E13" s="401">
        <f>+D13-C13</f>
        <v>-749</v>
      </c>
      <c r="F13" s="402">
        <f>IF(C13=0,0,+E13/C13)</f>
        <v>-9.5341140529531562E-2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6439</v>
      </c>
      <c r="D16" s="409">
        <v>6297</v>
      </c>
      <c r="E16" s="409">
        <f>+D16-C16</f>
        <v>-142</v>
      </c>
      <c r="F16" s="410">
        <f>IF(C16=0,0,+E16/C16)</f>
        <v>-2.2053113837552415E-2</v>
      </c>
    </row>
    <row r="17" spans="1:6" ht="15.75" customHeight="1" x14ac:dyDescent="0.25">
      <c r="A17" s="374"/>
      <c r="B17" s="399" t="s">
        <v>623</v>
      </c>
      <c r="C17" s="401">
        <f>SUM(C15:C16)</f>
        <v>6439</v>
      </c>
      <c r="D17" s="401">
        <f>SUM(D15:D16)</f>
        <v>6297</v>
      </c>
      <c r="E17" s="401">
        <f>+D17-C17</f>
        <v>-142</v>
      </c>
      <c r="F17" s="402">
        <f>IF(C17=0,0,+E17/C17)</f>
        <v>-2.2053113837552415E-2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39091</v>
      </c>
      <c r="D20" s="409">
        <v>36759</v>
      </c>
      <c r="E20" s="409">
        <f>+D20-C20</f>
        <v>-2332</v>
      </c>
      <c r="F20" s="410">
        <f>IF(C20=0,0,+E20/C20)</f>
        <v>-5.9655675219359952E-2</v>
      </c>
    </row>
    <row r="21" spans="1:6" ht="15.75" customHeight="1" x14ac:dyDescent="0.25">
      <c r="A21" s="374"/>
      <c r="B21" s="399" t="s">
        <v>625</v>
      </c>
      <c r="C21" s="401">
        <f>SUM(C19:C20)</f>
        <v>39091</v>
      </c>
      <c r="D21" s="401">
        <f>SUM(D19:D20)</f>
        <v>36759</v>
      </c>
      <c r="E21" s="401">
        <f>+D21-C21</f>
        <v>-2332</v>
      </c>
      <c r="F21" s="402">
        <f>IF(C21=0,0,+E21/C21)</f>
        <v>-5.9655675219359952E-2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FILING&amp;RNORWALK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242363699</v>
      </c>
      <c r="D15" s="448">
        <v>249847526</v>
      </c>
      <c r="E15" s="448">
        <f t="shared" ref="E15:E24" si="0">D15-C15</f>
        <v>7483827</v>
      </c>
      <c r="F15" s="449">
        <f t="shared" ref="F15:F24" si="1">IF(C15=0,0,E15/C15)</f>
        <v>3.0878498021273394E-2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70241129</v>
      </c>
      <c r="D16" s="448">
        <v>78371312</v>
      </c>
      <c r="E16" s="448">
        <f t="shared" si="0"/>
        <v>8130183</v>
      </c>
      <c r="F16" s="449">
        <f t="shared" si="1"/>
        <v>0.11574675856932766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0.28981703650264884</v>
      </c>
      <c r="D17" s="453">
        <f>IF(LN_IA1=0,0,LN_IA2/LN_IA1)</f>
        <v>0.3136765580780656</v>
      </c>
      <c r="E17" s="454">
        <f t="shared" si="0"/>
        <v>2.3859521575416764E-2</v>
      </c>
      <c r="F17" s="449">
        <f t="shared" si="1"/>
        <v>8.2326152607659756E-2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5620</v>
      </c>
      <c r="D18" s="456">
        <v>5676</v>
      </c>
      <c r="E18" s="456">
        <f t="shared" si="0"/>
        <v>56</v>
      </c>
      <c r="F18" s="449">
        <f t="shared" si="1"/>
        <v>9.9644128113879002E-3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1.4339</v>
      </c>
      <c r="D19" s="459">
        <v>1.41479</v>
      </c>
      <c r="E19" s="460">
        <f t="shared" si="0"/>
        <v>-1.910999999999996E-2</v>
      </c>
      <c r="F19" s="449">
        <f t="shared" si="1"/>
        <v>-1.332728921124204E-2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8058.518</v>
      </c>
      <c r="D20" s="463">
        <f>LN_IA4*LN_IA5</f>
        <v>8030.3480399999999</v>
      </c>
      <c r="E20" s="463">
        <f t="shared" si="0"/>
        <v>-28.169960000000174</v>
      </c>
      <c r="F20" s="449">
        <f t="shared" si="1"/>
        <v>-3.4956750112117604E-3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8716.382962723419</v>
      </c>
      <c r="D21" s="465">
        <f>IF(LN_IA6=0,0,LN_IA2/LN_IA6)</f>
        <v>9759.3916987936682</v>
      </c>
      <c r="E21" s="465">
        <f t="shared" si="0"/>
        <v>1043.0087360702491</v>
      </c>
      <c r="F21" s="449">
        <f t="shared" si="1"/>
        <v>0.1196607285993275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31213</v>
      </c>
      <c r="D22" s="456">
        <v>31093</v>
      </c>
      <c r="E22" s="456">
        <f t="shared" si="0"/>
        <v>-120</v>
      </c>
      <c r="F22" s="449">
        <f t="shared" si="1"/>
        <v>-3.8445519495082176E-3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2250.3805786050684</v>
      </c>
      <c r="D23" s="465">
        <f>IF(LN_IA8=0,0,LN_IA2/LN_IA8)</f>
        <v>2520.5452031003765</v>
      </c>
      <c r="E23" s="465">
        <f t="shared" si="0"/>
        <v>270.16462449530809</v>
      </c>
      <c r="F23" s="449">
        <f t="shared" si="1"/>
        <v>0.12005285997569959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5.5539145907473308</v>
      </c>
      <c r="D24" s="466">
        <f>IF(LN_IA4=0,0,LN_IA8/LN_IA4)</f>
        <v>5.4779774489076818</v>
      </c>
      <c r="E24" s="466">
        <f t="shared" si="0"/>
        <v>-7.5937141839649058E-2</v>
      </c>
      <c r="F24" s="449">
        <f t="shared" si="1"/>
        <v>-1.367272409376951E-2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131993445</v>
      </c>
      <c r="D27" s="448">
        <v>152577669</v>
      </c>
      <c r="E27" s="448">
        <f t="shared" ref="E27:E32" si="2">D27-C27</f>
        <v>20584224</v>
      </c>
      <c r="F27" s="449">
        <f t="shared" ref="F27:F32" si="3">IF(C27=0,0,E27/C27)</f>
        <v>0.15594883518647459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25781556</v>
      </c>
      <c r="D28" s="448">
        <v>28761475</v>
      </c>
      <c r="E28" s="448">
        <f t="shared" si="2"/>
        <v>2979919</v>
      </c>
      <c r="F28" s="449">
        <f t="shared" si="3"/>
        <v>0.11558336510022901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0.19532451781980537</v>
      </c>
      <c r="D29" s="453">
        <f>IF(LN_IA11=0,0,LN_IA12/LN_IA11)</f>
        <v>0.18850383013781657</v>
      </c>
      <c r="E29" s="454">
        <f t="shared" si="2"/>
        <v>-6.8206876819887907E-3</v>
      </c>
      <c r="F29" s="449">
        <f t="shared" si="3"/>
        <v>-3.4919772274984683E-2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0.5446089721546955</v>
      </c>
      <c r="D30" s="453">
        <f>IF(LN_IA1=0,0,LN_IA11/LN_IA1)</f>
        <v>0.61068312919776524</v>
      </c>
      <c r="E30" s="454">
        <f t="shared" si="2"/>
        <v>6.6074157043069737E-2</v>
      </c>
      <c r="F30" s="449">
        <f t="shared" si="3"/>
        <v>0.12132403324472123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3060.7024235093886</v>
      </c>
      <c r="D31" s="463">
        <f>LN_IA14*LN_IA4</f>
        <v>3466.2374413265156</v>
      </c>
      <c r="E31" s="463">
        <f t="shared" si="2"/>
        <v>405.53501781712703</v>
      </c>
      <c r="F31" s="449">
        <f t="shared" si="3"/>
        <v>0.13249736880730217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8423.411502526591</v>
      </c>
      <c r="D32" s="465">
        <f>IF(LN_IA15=0,0,LN_IA12/LN_IA15)</f>
        <v>8297.6066951123503</v>
      </c>
      <c r="E32" s="465">
        <f t="shared" si="2"/>
        <v>-125.80480741424071</v>
      </c>
      <c r="F32" s="449">
        <f t="shared" si="3"/>
        <v>-1.4935137310637826E-2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374357144</v>
      </c>
      <c r="D35" s="448">
        <f>LN_IA1+LN_IA11</f>
        <v>402425195</v>
      </c>
      <c r="E35" s="448">
        <f>D35-C35</f>
        <v>28068051</v>
      </c>
      <c r="F35" s="449">
        <f>IF(C35=0,0,E35/C35)</f>
        <v>7.4976667200987085E-2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96022685</v>
      </c>
      <c r="D36" s="448">
        <f>LN_IA2+LN_IA12</f>
        <v>107132787</v>
      </c>
      <c r="E36" s="448">
        <f>D36-C36</f>
        <v>11110102</v>
      </c>
      <c r="F36" s="449">
        <f>IF(C36=0,0,E36/C36)</f>
        <v>0.11570288833310587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278334459</v>
      </c>
      <c r="D37" s="448">
        <f>LN_IA17-LN_IA18</f>
        <v>295292408</v>
      </c>
      <c r="E37" s="448">
        <f>D37-C37</f>
        <v>16957949</v>
      </c>
      <c r="F37" s="449">
        <f>IF(C37=0,0,E37/C37)</f>
        <v>6.0926516468447767E-2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135016428</v>
      </c>
      <c r="D42" s="448">
        <v>132475987</v>
      </c>
      <c r="E42" s="448">
        <f t="shared" ref="E42:E53" si="4">D42-C42</f>
        <v>-2540441</v>
      </c>
      <c r="F42" s="449">
        <f t="shared" ref="F42:F53" si="5">IF(C42=0,0,E42/C42)</f>
        <v>-1.881579180868272E-2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70572997</v>
      </c>
      <c r="D43" s="448">
        <v>74582875</v>
      </c>
      <c r="E43" s="448">
        <f t="shared" si="4"/>
        <v>4009878</v>
      </c>
      <c r="F43" s="449">
        <f t="shared" si="5"/>
        <v>5.681887082108756E-2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0.52269933403955848</v>
      </c>
      <c r="D44" s="453">
        <f>IF(LN_IB1=0,0,LN_IB2/LN_IB1)</f>
        <v>0.56299165372513893</v>
      </c>
      <c r="E44" s="454">
        <f t="shared" si="4"/>
        <v>4.0292319685580447E-2</v>
      </c>
      <c r="F44" s="449">
        <f t="shared" si="5"/>
        <v>7.7085079435993839E-2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4782</v>
      </c>
      <c r="D45" s="456">
        <v>4515</v>
      </c>
      <c r="E45" s="456">
        <f t="shared" si="4"/>
        <v>-267</v>
      </c>
      <c r="F45" s="449">
        <f t="shared" si="5"/>
        <v>-5.5834378920953574E-2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1.06088</v>
      </c>
      <c r="D46" s="459">
        <v>1.0504100000000001</v>
      </c>
      <c r="E46" s="460">
        <f t="shared" si="4"/>
        <v>-1.0469999999999979E-2</v>
      </c>
      <c r="F46" s="449">
        <f t="shared" si="5"/>
        <v>-9.8691652213256723E-3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5073.1281600000002</v>
      </c>
      <c r="D47" s="463">
        <f>LN_IB4*LN_IB5</f>
        <v>4742.6011500000004</v>
      </c>
      <c r="E47" s="463">
        <f t="shared" si="4"/>
        <v>-330.52700999999979</v>
      </c>
      <c r="F47" s="449">
        <f t="shared" si="5"/>
        <v>-6.5152505431678234E-2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13911.140182983274</v>
      </c>
      <c r="D48" s="465">
        <f>IF(LN_IB6=0,0,LN_IB2/LN_IB6)</f>
        <v>15726.153779556182</v>
      </c>
      <c r="E48" s="465">
        <f t="shared" si="4"/>
        <v>1815.0135965729078</v>
      </c>
      <c r="F48" s="449">
        <f t="shared" si="5"/>
        <v>0.13047195073148019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-5194.7572202598549</v>
      </c>
      <c r="D49" s="465">
        <f>LN_IA7-LN_IB7</f>
        <v>-5966.7620807625135</v>
      </c>
      <c r="E49" s="465">
        <f t="shared" si="4"/>
        <v>-772.00486050265863</v>
      </c>
      <c r="F49" s="449">
        <f t="shared" si="5"/>
        <v>0.14861230809628501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-26353669.138463594</v>
      </c>
      <c r="D50" s="479">
        <f>LN_IB8*LN_IB6</f>
        <v>-28297972.706000693</v>
      </c>
      <c r="E50" s="479">
        <f t="shared" si="4"/>
        <v>-1944303.5675370991</v>
      </c>
      <c r="F50" s="449">
        <f t="shared" si="5"/>
        <v>7.3777338454149355E-2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16795</v>
      </c>
      <c r="D51" s="456">
        <v>16025</v>
      </c>
      <c r="E51" s="456">
        <f t="shared" si="4"/>
        <v>-770</v>
      </c>
      <c r="F51" s="449">
        <f t="shared" si="5"/>
        <v>-4.5846978267341472E-2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4202.024233402798</v>
      </c>
      <c r="D52" s="465">
        <f>IF(LN_IB10=0,0,LN_IB2/LN_IB10)</f>
        <v>4654.1575663026524</v>
      </c>
      <c r="E52" s="465">
        <f t="shared" si="4"/>
        <v>452.13333289985439</v>
      </c>
      <c r="F52" s="449">
        <f t="shared" si="5"/>
        <v>0.10759893512887167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3.5121288163948137</v>
      </c>
      <c r="D53" s="466">
        <f>IF(LN_IB4=0,0,LN_IB10/LN_IB4)</f>
        <v>3.5492801771871538</v>
      </c>
      <c r="E53" s="466">
        <f t="shared" si="4"/>
        <v>3.715136079234016E-2</v>
      </c>
      <c r="F53" s="449">
        <f t="shared" si="5"/>
        <v>1.057801770223106E-2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239643951</v>
      </c>
      <c r="D56" s="448">
        <v>247512854</v>
      </c>
      <c r="E56" s="448">
        <f t="shared" ref="E56:E63" si="6">D56-C56</f>
        <v>7868903</v>
      </c>
      <c r="F56" s="449">
        <f t="shared" ref="F56:F63" si="7">IF(C56=0,0,E56/C56)</f>
        <v>3.283580898730884E-2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124072277</v>
      </c>
      <c r="D57" s="448">
        <v>130180559</v>
      </c>
      <c r="E57" s="448">
        <f t="shared" si="6"/>
        <v>6108282</v>
      </c>
      <c r="F57" s="449">
        <f t="shared" si="7"/>
        <v>4.9231642617472073E-2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0.51773590145824289</v>
      </c>
      <c r="D58" s="453">
        <f>IF(LN_IB13=0,0,LN_IB14/LN_IB13)</f>
        <v>0.5259547409202433</v>
      </c>
      <c r="E58" s="454">
        <f t="shared" si="6"/>
        <v>8.2188394620004157E-3</v>
      </c>
      <c r="F58" s="449">
        <f t="shared" si="7"/>
        <v>1.5874578986798914E-2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1.774924389200994</v>
      </c>
      <c r="D59" s="453">
        <f>IF(LN_IB1=0,0,LN_IB13/LN_IB1)</f>
        <v>1.8683601428838572</v>
      </c>
      <c r="E59" s="454">
        <f t="shared" si="6"/>
        <v>9.3435753682863165E-2</v>
      </c>
      <c r="F59" s="449">
        <f t="shared" si="7"/>
        <v>5.2642103658806852E-2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8487.6884291591541</v>
      </c>
      <c r="D60" s="463">
        <f>LN_IB16*LN_IB4</f>
        <v>8435.6460451206149</v>
      </c>
      <c r="E60" s="463">
        <f t="shared" si="6"/>
        <v>-52.04238403853924</v>
      </c>
      <c r="F60" s="449">
        <f t="shared" si="7"/>
        <v>-6.1315144250287824E-3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14617.911347187777</v>
      </c>
      <c r="D61" s="465">
        <f>IF(LN_IB17=0,0,LN_IB14/LN_IB17)</f>
        <v>15432.197878347401</v>
      </c>
      <c r="E61" s="465">
        <f t="shared" si="6"/>
        <v>814.28653115962334</v>
      </c>
      <c r="F61" s="449">
        <f t="shared" si="7"/>
        <v>5.5704711283276281E-2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-6194.4998446611862</v>
      </c>
      <c r="D62" s="465">
        <f>LN_IA16-LN_IB18</f>
        <v>-7134.5911832350503</v>
      </c>
      <c r="E62" s="465">
        <f t="shared" si="6"/>
        <v>-940.09133857386405</v>
      </c>
      <c r="F62" s="449">
        <f t="shared" si="7"/>
        <v>0.15176226687358699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-52576984.655958928</v>
      </c>
      <c r="D63" s="448">
        <f>LN_IB19*LN_IB17</f>
        <v>-60184885.898409158</v>
      </c>
      <c r="E63" s="448">
        <f t="shared" si="6"/>
        <v>-7607901.2424502298</v>
      </c>
      <c r="F63" s="449">
        <f t="shared" si="7"/>
        <v>0.1447002199200477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374660379</v>
      </c>
      <c r="D66" s="448">
        <f>LN_IB1+LN_IB13</f>
        <v>379988841</v>
      </c>
      <c r="E66" s="448">
        <f>D66-C66</f>
        <v>5328462</v>
      </c>
      <c r="F66" s="449">
        <f>IF(C66=0,0,E66/C66)</f>
        <v>1.4222112341374641E-2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194645274</v>
      </c>
      <c r="D67" s="448">
        <f>LN_IB2+LN_IB14</f>
        <v>204763434</v>
      </c>
      <c r="E67" s="448">
        <f>D67-C67</f>
        <v>10118160</v>
      </c>
      <c r="F67" s="449">
        <f>IF(C67=0,0,E67/C67)</f>
        <v>5.1982561878178457E-2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180015105</v>
      </c>
      <c r="D68" s="448">
        <f>LN_IB21-LN_IB22</f>
        <v>175225407</v>
      </c>
      <c r="E68" s="448">
        <f>D68-C68</f>
        <v>-4789698</v>
      </c>
      <c r="F68" s="449">
        <f>IF(C68=0,0,E68/C68)</f>
        <v>-2.6607200545754203E-2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-78930653.794422522</v>
      </c>
      <c r="D70" s="441">
        <f>LN_IB9+LN_IB20</f>
        <v>-88482858.604409844</v>
      </c>
      <c r="E70" s="448">
        <f>D70-C70</f>
        <v>-9552204.8099873215</v>
      </c>
      <c r="F70" s="449">
        <f>IF(C70=0,0,E70/C70)</f>
        <v>0.12102021649112843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339083715</v>
      </c>
      <c r="D73" s="488">
        <v>346306745</v>
      </c>
      <c r="E73" s="488">
        <f>D73-C73</f>
        <v>7223030</v>
      </c>
      <c r="F73" s="489">
        <f>IF(C73=0,0,E73/C73)</f>
        <v>2.1301612789042374E-2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191908163</v>
      </c>
      <c r="D74" s="488">
        <v>202821840</v>
      </c>
      <c r="E74" s="488">
        <f>D74-C74</f>
        <v>10913677</v>
      </c>
      <c r="F74" s="489">
        <f>IF(C74=0,0,E74/C74)</f>
        <v>5.6869269286893231E-2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147175552</v>
      </c>
      <c r="D76" s="441">
        <f>LN_IB32-LN_IB33</f>
        <v>143484905</v>
      </c>
      <c r="E76" s="488">
        <f>D76-C76</f>
        <v>-3690647</v>
      </c>
      <c r="F76" s="489">
        <f>IF(E76=0,0,E76/C76)</f>
        <v>-2.5076495041785201E-2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0.4340389865080958</v>
      </c>
      <c r="D77" s="453">
        <f>IF(LN_IB32=0,0,LN_IB34/LN_IB32)</f>
        <v>0.41432893546442473</v>
      </c>
      <c r="E77" s="493">
        <f>D77-C77</f>
        <v>-1.9710051043671073E-2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7178824</v>
      </c>
      <c r="D83" s="448">
        <v>5833457</v>
      </c>
      <c r="E83" s="448">
        <f t="shared" ref="E83:E95" si="8">D83-C83</f>
        <v>-1345367</v>
      </c>
      <c r="F83" s="449">
        <f t="shared" ref="F83:F95" si="9">IF(C83=0,0,E83/C83)</f>
        <v>-0.18740771468975978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477473</v>
      </c>
      <c r="D84" s="448">
        <v>251805</v>
      </c>
      <c r="E84" s="448">
        <f t="shared" si="8"/>
        <v>-225668</v>
      </c>
      <c r="F84" s="449">
        <f t="shared" si="9"/>
        <v>-0.47262986598195084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6.6511311602011694E-2</v>
      </c>
      <c r="D85" s="453">
        <f>IF(LN_IC1=0,0,LN_IC2/LN_IC1)</f>
        <v>4.3165656316657516E-2</v>
      </c>
      <c r="E85" s="454">
        <f t="shared" si="8"/>
        <v>-2.3345655285354178E-2</v>
      </c>
      <c r="F85" s="449">
        <f t="shared" si="9"/>
        <v>-0.35100278017443376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231</v>
      </c>
      <c r="D86" s="456">
        <v>203</v>
      </c>
      <c r="E86" s="456">
        <f t="shared" si="8"/>
        <v>-28</v>
      </c>
      <c r="F86" s="449">
        <f t="shared" si="9"/>
        <v>-0.12121212121212122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1.11775</v>
      </c>
      <c r="D87" s="459">
        <v>1.0284199999999999</v>
      </c>
      <c r="E87" s="460">
        <f t="shared" si="8"/>
        <v>-8.9330000000000132E-2</v>
      </c>
      <c r="F87" s="449">
        <f t="shared" si="9"/>
        <v>-7.9919481100425072E-2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258.20024999999998</v>
      </c>
      <c r="D88" s="463">
        <f>LN_IC4*LN_IC5</f>
        <v>208.76925999999997</v>
      </c>
      <c r="E88" s="463">
        <f t="shared" si="8"/>
        <v>-49.430990000000008</v>
      </c>
      <c r="F88" s="449">
        <f t="shared" si="9"/>
        <v>-0.19144439248219167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1849.2352350549622</v>
      </c>
      <c r="D89" s="465">
        <f>IF(LN_IC6=0,0,LN_IC2/LN_IC6)</f>
        <v>1206.140214320825</v>
      </c>
      <c r="E89" s="465">
        <f t="shared" si="8"/>
        <v>-643.09502073413728</v>
      </c>
      <c r="F89" s="449">
        <f t="shared" si="9"/>
        <v>-0.34776269051299113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12061.904947928311</v>
      </c>
      <c r="D90" s="465">
        <f>LN_IB7-LN_IC7</f>
        <v>14520.013565235357</v>
      </c>
      <c r="E90" s="465">
        <f t="shared" si="8"/>
        <v>2458.1086173070453</v>
      </c>
      <c r="F90" s="449">
        <f t="shared" si="9"/>
        <v>0.20379107843402769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6867.1477276684564</v>
      </c>
      <c r="D91" s="465">
        <f>LN_IA7-LN_IC7</f>
        <v>8553.251484472843</v>
      </c>
      <c r="E91" s="465">
        <f t="shared" si="8"/>
        <v>1686.1037568043866</v>
      </c>
      <c r="F91" s="449">
        <f t="shared" si="9"/>
        <v>0.24553188946422375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1773099.2600709272</v>
      </c>
      <c r="D92" s="441">
        <f>LN_IC9*LN_IC6</f>
        <v>1785655.9830072967</v>
      </c>
      <c r="E92" s="441">
        <f t="shared" si="8"/>
        <v>12556.722936369479</v>
      </c>
      <c r="F92" s="449">
        <f t="shared" si="9"/>
        <v>7.08179356854911E-3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847</v>
      </c>
      <c r="D93" s="456">
        <v>784</v>
      </c>
      <c r="E93" s="456">
        <f t="shared" si="8"/>
        <v>-63</v>
      </c>
      <c r="F93" s="449">
        <f t="shared" si="9"/>
        <v>-7.43801652892562E-2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563.72255017709563</v>
      </c>
      <c r="D94" s="499">
        <f>IF(LN_IC11=0,0,LN_IC2/LN_IC11)</f>
        <v>321.17984693877548</v>
      </c>
      <c r="E94" s="499">
        <f t="shared" si="8"/>
        <v>-242.54270323832014</v>
      </c>
      <c r="F94" s="449">
        <f t="shared" si="9"/>
        <v>-0.43025190878407188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3.6666666666666665</v>
      </c>
      <c r="D95" s="466">
        <f>IF(LN_IC4=0,0,LN_IC11/LN_IC4)</f>
        <v>3.8620689655172415</v>
      </c>
      <c r="E95" s="466">
        <f t="shared" si="8"/>
        <v>0.19540229885057503</v>
      </c>
      <c r="F95" s="449">
        <f t="shared" si="9"/>
        <v>5.3291536050156831E-2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28397840</v>
      </c>
      <c r="D98" s="448">
        <v>27848639</v>
      </c>
      <c r="E98" s="448">
        <f t="shared" ref="E98:E106" si="10">D98-C98</f>
        <v>-549201</v>
      </c>
      <c r="F98" s="449">
        <f t="shared" ref="F98:F106" si="11">IF(C98=0,0,E98/C98)</f>
        <v>-1.9339534274437773E-2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2259639</v>
      </c>
      <c r="D99" s="448">
        <v>1689789</v>
      </c>
      <c r="E99" s="448">
        <f t="shared" si="10"/>
        <v>-569850</v>
      </c>
      <c r="F99" s="449">
        <f t="shared" si="11"/>
        <v>-0.25218630055508867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7.9570805385198312E-2</v>
      </c>
      <c r="D100" s="453">
        <f>IF(LN_IC14=0,0,LN_IC15/LN_IC14)</f>
        <v>6.067761516101379E-2</v>
      </c>
      <c r="E100" s="454">
        <f t="shared" si="10"/>
        <v>-1.8893190224184522E-2</v>
      </c>
      <c r="F100" s="449">
        <f t="shared" si="11"/>
        <v>-0.23743872055490112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3.9557788295130232</v>
      </c>
      <c r="D101" s="453">
        <f>IF(LN_IC1=0,0,LN_IC14/LN_IC1)</f>
        <v>4.7739511922347244</v>
      </c>
      <c r="E101" s="454">
        <f t="shared" si="10"/>
        <v>0.81817236272170124</v>
      </c>
      <c r="F101" s="449">
        <f t="shared" si="11"/>
        <v>0.20682965301738634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913.78490961750833</v>
      </c>
      <c r="D102" s="463">
        <f>LN_IC17*LN_IC4</f>
        <v>969.1120920236491</v>
      </c>
      <c r="E102" s="463">
        <f t="shared" si="10"/>
        <v>55.327182406140764</v>
      </c>
      <c r="F102" s="449">
        <f t="shared" si="11"/>
        <v>6.0547270833460787E-2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2472.8346640631639</v>
      </c>
      <c r="D103" s="465">
        <f>IF(LN_IC18=0,0,LN_IC15/LN_IC18)</f>
        <v>1743.6465955877934</v>
      </c>
      <c r="E103" s="465">
        <f t="shared" si="10"/>
        <v>-729.18806847537053</v>
      </c>
      <c r="F103" s="449">
        <f t="shared" si="11"/>
        <v>-0.29487942686682783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12145.076683124613</v>
      </c>
      <c r="D104" s="465">
        <f>LN_IB18-LN_IC19</f>
        <v>13688.551282759607</v>
      </c>
      <c r="E104" s="465">
        <f t="shared" si="10"/>
        <v>1543.4745996349939</v>
      </c>
      <c r="F104" s="449">
        <f t="shared" si="11"/>
        <v>0.12708644333054123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5950.5768384634266</v>
      </c>
      <c r="D105" s="465">
        <f>LN_IA16-LN_IC19</f>
        <v>6553.9600995245564</v>
      </c>
      <c r="E105" s="465">
        <f t="shared" si="10"/>
        <v>603.38326106112982</v>
      </c>
      <c r="F105" s="449">
        <f t="shared" si="11"/>
        <v>0.10139912103327062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5437547.3185073407</v>
      </c>
      <c r="D106" s="448">
        <f>LN_IC21*LN_IC18</f>
        <v>6351521.9830897665</v>
      </c>
      <c r="E106" s="448">
        <f t="shared" si="10"/>
        <v>913974.66458242573</v>
      </c>
      <c r="F106" s="449">
        <f t="shared" si="11"/>
        <v>0.16808583191020773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35576664</v>
      </c>
      <c r="D109" s="448">
        <f>LN_IC1+LN_IC14</f>
        <v>33682096</v>
      </c>
      <c r="E109" s="448">
        <f>D109-C109</f>
        <v>-1894568</v>
      </c>
      <c r="F109" s="449">
        <f>IF(C109=0,0,E109/C109)</f>
        <v>-5.3253109959944527E-2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2737112</v>
      </c>
      <c r="D110" s="448">
        <f>LN_IC2+LN_IC15</f>
        <v>1941594</v>
      </c>
      <c r="E110" s="448">
        <f>D110-C110</f>
        <v>-795518</v>
      </c>
      <c r="F110" s="449">
        <f>IF(C110=0,0,E110/C110)</f>
        <v>-0.29064137675038509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32839552</v>
      </c>
      <c r="D111" s="448">
        <f>LN_IC23-LN_IC24</f>
        <v>31740502</v>
      </c>
      <c r="E111" s="448">
        <f>D111-C111</f>
        <v>-1099050</v>
      </c>
      <c r="F111" s="449">
        <f>IF(C111=0,0,E111/C111)</f>
        <v>-3.3467265326883877E-2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7210646.5785782682</v>
      </c>
      <c r="D113" s="448">
        <f>LN_IC10+LN_IC22</f>
        <v>8137177.9660970634</v>
      </c>
      <c r="E113" s="448">
        <f>D113-C113</f>
        <v>926531.38751879521</v>
      </c>
      <c r="F113" s="449">
        <f>IF(C113=0,0,E113/C113)</f>
        <v>0.12849491060501825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75052237</v>
      </c>
      <c r="D118" s="448">
        <v>75908806</v>
      </c>
      <c r="E118" s="448">
        <f t="shared" ref="E118:E130" si="12">D118-C118</f>
        <v>856569</v>
      </c>
      <c r="F118" s="449">
        <f t="shared" ref="F118:F130" si="13">IF(C118=0,0,E118/C118)</f>
        <v>1.1412970941825492E-2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18310007</v>
      </c>
      <c r="D119" s="448">
        <v>18810298</v>
      </c>
      <c r="E119" s="448">
        <f t="shared" si="12"/>
        <v>500291</v>
      </c>
      <c r="F119" s="449">
        <f t="shared" si="13"/>
        <v>2.7323364758953944E-2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0.24396350770997005</v>
      </c>
      <c r="D120" s="453">
        <f>IF(LN_ID1=0,0,LN_1D2/LN_ID1)</f>
        <v>0.24780126300497995</v>
      </c>
      <c r="E120" s="454">
        <f t="shared" si="12"/>
        <v>3.8377552950099036E-3</v>
      </c>
      <c r="F120" s="449">
        <f t="shared" si="13"/>
        <v>1.5730857991976092E-2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2675</v>
      </c>
      <c r="D121" s="456">
        <v>2638</v>
      </c>
      <c r="E121" s="456">
        <f t="shared" si="12"/>
        <v>-37</v>
      </c>
      <c r="F121" s="449">
        <f t="shared" si="13"/>
        <v>-1.3831775700934579E-2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0.95816000000000001</v>
      </c>
      <c r="D122" s="459">
        <v>0.93062</v>
      </c>
      <c r="E122" s="460">
        <f t="shared" si="12"/>
        <v>-2.7540000000000009E-2</v>
      </c>
      <c r="F122" s="449">
        <f t="shared" si="13"/>
        <v>-2.8742589964097863E-2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2563.078</v>
      </c>
      <c r="D123" s="463">
        <f>LN_ID4*LN_ID5</f>
        <v>2454.9755599999999</v>
      </c>
      <c r="E123" s="463">
        <f t="shared" si="12"/>
        <v>-108.10244000000012</v>
      </c>
      <c r="F123" s="449">
        <f t="shared" si="13"/>
        <v>-4.2176804607585147E-2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7143.7572325149686</v>
      </c>
      <c r="D124" s="465">
        <f>IF(LN_ID6=0,0,LN_1D2/LN_ID6)</f>
        <v>7662.1121230225208</v>
      </c>
      <c r="E124" s="465">
        <f t="shared" si="12"/>
        <v>518.35489050755223</v>
      </c>
      <c r="F124" s="449">
        <f t="shared" si="13"/>
        <v>7.2560541132087819E-2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6767.3829504683054</v>
      </c>
      <c r="D125" s="465">
        <f>LN_IB7-LN_ID7</f>
        <v>8064.0416565336609</v>
      </c>
      <c r="E125" s="465">
        <f t="shared" si="12"/>
        <v>1296.6587060653555</v>
      </c>
      <c r="F125" s="449">
        <f t="shared" si="13"/>
        <v>0.191604157110043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1572.6257302084505</v>
      </c>
      <c r="D126" s="465">
        <f>LN_IA7-LN_ID7</f>
        <v>2097.2795757711474</v>
      </c>
      <c r="E126" s="465">
        <f t="shared" si="12"/>
        <v>524.65384556269692</v>
      </c>
      <c r="F126" s="449">
        <f t="shared" si="13"/>
        <v>0.33361647052102755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4030762.4113312149</v>
      </c>
      <c r="D127" s="479">
        <f>LN_ID9*LN_ID6</f>
        <v>5148770.1010053344</v>
      </c>
      <c r="E127" s="479">
        <f t="shared" si="12"/>
        <v>1118007.6896741195</v>
      </c>
      <c r="F127" s="449">
        <f t="shared" si="13"/>
        <v>0.27736878922240471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10923</v>
      </c>
      <c r="D128" s="456">
        <v>10687</v>
      </c>
      <c r="E128" s="456">
        <f t="shared" si="12"/>
        <v>-236</v>
      </c>
      <c r="F128" s="449">
        <f t="shared" si="13"/>
        <v>-2.1605785956239128E-2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1676.2800512679667</v>
      </c>
      <c r="D129" s="465">
        <f>IF(LN_ID11=0,0,LN_1D2/LN_ID11)</f>
        <v>1760.1102273790586</v>
      </c>
      <c r="E129" s="465">
        <f t="shared" si="12"/>
        <v>83.830176111091987</v>
      </c>
      <c r="F129" s="449">
        <f t="shared" si="13"/>
        <v>5.000964847591035E-2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4.0833644859813081</v>
      </c>
      <c r="D130" s="466">
        <f>IF(LN_ID4=0,0,LN_ID11/LN_ID4)</f>
        <v>4.0511751326762697</v>
      </c>
      <c r="E130" s="466">
        <f t="shared" si="12"/>
        <v>-3.218935330503836E-2</v>
      </c>
      <c r="F130" s="449">
        <f t="shared" si="13"/>
        <v>-7.8830467903485881E-3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73913620</v>
      </c>
      <c r="D133" s="448">
        <v>84059124</v>
      </c>
      <c r="E133" s="448">
        <f t="shared" ref="E133:E141" si="14">D133-C133</f>
        <v>10145504</v>
      </c>
      <c r="F133" s="449">
        <f t="shared" ref="F133:F141" si="15">IF(C133=0,0,E133/C133)</f>
        <v>0.13726163053575241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19100840</v>
      </c>
      <c r="D134" s="448">
        <v>21600771</v>
      </c>
      <c r="E134" s="448">
        <f t="shared" si="14"/>
        <v>2499931</v>
      </c>
      <c r="F134" s="449">
        <f t="shared" si="15"/>
        <v>0.13088068378144627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0.25842111372707766</v>
      </c>
      <c r="D135" s="453">
        <f>IF(LN_ID14=0,0,LN_ID15/LN_ID14)</f>
        <v>0.25697116472448606</v>
      </c>
      <c r="E135" s="454">
        <f t="shared" si="14"/>
        <v>-1.4499490025915995E-3</v>
      </c>
      <c r="F135" s="449">
        <f t="shared" si="15"/>
        <v>-5.6107992945302141E-3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0.98482900649583571</v>
      </c>
      <c r="D136" s="453">
        <f>IF(LN_ID1=0,0,LN_ID14/LN_ID1)</f>
        <v>1.1073698616732293</v>
      </c>
      <c r="E136" s="454">
        <f t="shared" si="14"/>
        <v>0.12254085517739355</v>
      </c>
      <c r="F136" s="449">
        <f t="shared" si="15"/>
        <v>0.12442856005370076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2634.4175923763605</v>
      </c>
      <c r="D137" s="463">
        <f>LN_ID17*LN_ID4</f>
        <v>2921.2416950939787</v>
      </c>
      <c r="E137" s="463">
        <f t="shared" si="14"/>
        <v>286.82410271761819</v>
      </c>
      <c r="F137" s="449">
        <f t="shared" si="15"/>
        <v>0.1088757164193131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7250.4981956069469</v>
      </c>
      <c r="D138" s="465">
        <f>IF(LN_ID18=0,0,LN_ID15/LN_ID18)</f>
        <v>7394.379943390848</v>
      </c>
      <c r="E138" s="465">
        <f t="shared" si="14"/>
        <v>143.88174778390112</v>
      </c>
      <c r="F138" s="449">
        <f t="shared" si="15"/>
        <v>1.9844394674986415E-2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7367.4131515808303</v>
      </c>
      <c r="D139" s="465">
        <f>LN_IB18-LN_ID19</f>
        <v>8037.8179349565526</v>
      </c>
      <c r="E139" s="465">
        <f t="shared" si="14"/>
        <v>670.40478337572222</v>
      </c>
      <c r="F139" s="449">
        <f t="shared" si="15"/>
        <v>9.0995953339724545E-2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1172.9133069196441</v>
      </c>
      <c r="D140" s="465">
        <f>LN_IA16-LN_ID19</f>
        <v>903.2267517215023</v>
      </c>
      <c r="E140" s="465">
        <f t="shared" si="14"/>
        <v>-269.68655519814183</v>
      </c>
      <c r="F140" s="449">
        <f t="shared" si="15"/>
        <v>-0.22992880514452033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3089943.4500814439</v>
      </c>
      <c r="D141" s="441">
        <f>LN_ID21*LN_ID18</f>
        <v>2638543.6472531497</v>
      </c>
      <c r="E141" s="441">
        <f t="shared" si="14"/>
        <v>-451399.80282829423</v>
      </c>
      <c r="F141" s="449">
        <f t="shared" si="15"/>
        <v>-0.14608675211075348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148965857</v>
      </c>
      <c r="D144" s="448">
        <f>LN_ID1+LN_ID14</f>
        <v>159967930</v>
      </c>
      <c r="E144" s="448">
        <f>D144-C144</f>
        <v>11002073</v>
      </c>
      <c r="F144" s="449">
        <f>IF(C144=0,0,E144/C144)</f>
        <v>7.3856340114231686E-2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37410847</v>
      </c>
      <c r="D145" s="448">
        <f>LN_1D2+LN_ID15</f>
        <v>40411069</v>
      </c>
      <c r="E145" s="448">
        <f>D145-C145</f>
        <v>3000222</v>
      </c>
      <c r="F145" s="449">
        <f>IF(C145=0,0,E145/C145)</f>
        <v>8.0196580419577237E-2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111555010</v>
      </c>
      <c r="D146" s="448">
        <f>LN_ID23-LN_ID24</f>
        <v>119556861</v>
      </c>
      <c r="E146" s="448">
        <f>D146-C146</f>
        <v>8001851</v>
      </c>
      <c r="F146" s="449">
        <f>IF(C146=0,0,E146/C146)</f>
        <v>7.1730090831420304E-2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7120705.8614126593</v>
      </c>
      <c r="D148" s="448">
        <f>LN_ID10+LN_ID22</f>
        <v>7787313.7482584845</v>
      </c>
      <c r="E148" s="448">
        <f>D148-C148</f>
        <v>666607.88684582524</v>
      </c>
      <c r="F148" s="503">
        <f>IF(C148=0,0,E148/C148)</f>
        <v>9.3615422378025115E-2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618499</v>
      </c>
      <c r="D153" s="448">
        <v>1246734</v>
      </c>
      <c r="E153" s="448">
        <f t="shared" ref="E153:E165" si="16">D153-C153</f>
        <v>628235</v>
      </c>
      <c r="F153" s="449">
        <f t="shared" ref="F153:F165" si="17">IF(C153=0,0,E153/C153)</f>
        <v>1.0157413350708733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135707</v>
      </c>
      <c r="D154" s="448">
        <v>201194</v>
      </c>
      <c r="E154" s="448">
        <f t="shared" si="16"/>
        <v>65487</v>
      </c>
      <c r="F154" s="449">
        <f t="shared" si="17"/>
        <v>0.4825616954173329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0.21941345095141626</v>
      </c>
      <c r="D155" s="453">
        <f>IF(LN_IE1=0,0,LN_IE2/LN_IE1)</f>
        <v>0.16137684542171787</v>
      </c>
      <c r="E155" s="454">
        <f t="shared" si="16"/>
        <v>-5.8036605529698387E-2</v>
      </c>
      <c r="F155" s="449">
        <f t="shared" si="17"/>
        <v>-0.26450796556929945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23</v>
      </c>
      <c r="D156" s="506">
        <v>33</v>
      </c>
      <c r="E156" s="506">
        <f t="shared" si="16"/>
        <v>10</v>
      </c>
      <c r="F156" s="449">
        <f t="shared" si="17"/>
        <v>0.43478260869565216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0.96879999999999999</v>
      </c>
      <c r="D157" s="459">
        <v>1.27826</v>
      </c>
      <c r="E157" s="460">
        <f t="shared" si="16"/>
        <v>0.30945999999999996</v>
      </c>
      <c r="F157" s="449">
        <f t="shared" si="17"/>
        <v>0.31942609413707673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22.282399999999999</v>
      </c>
      <c r="D158" s="463">
        <f>LN_IE4*LN_IE5</f>
        <v>42.182580000000002</v>
      </c>
      <c r="E158" s="463">
        <f t="shared" si="16"/>
        <v>19.900180000000002</v>
      </c>
      <c r="F158" s="449">
        <f t="shared" si="17"/>
        <v>0.89308961332711034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6090.3224069220551</v>
      </c>
      <c r="D159" s="465">
        <f>IF(LN_IE6=0,0,LN_IE2/LN_IE6)</f>
        <v>4769.5992042212683</v>
      </c>
      <c r="E159" s="465">
        <f t="shared" si="16"/>
        <v>-1320.7232027007867</v>
      </c>
      <c r="F159" s="449">
        <f t="shared" si="17"/>
        <v>-0.21685604052745996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7820.8177760612189</v>
      </c>
      <c r="D160" s="465">
        <f>LN_IB7-LN_IE7</f>
        <v>10956.554575334914</v>
      </c>
      <c r="E160" s="465">
        <f t="shared" si="16"/>
        <v>3135.7367992736954</v>
      </c>
      <c r="F160" s="449">
        <f t="shared" si="17"/>
        <v>0.4009474314657846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2626.060555801364</v>
      </c>
      <c r="D161" s="465">
        <f>LN_IA7-LN_IE7</f>
        <v>4989.7924945723998</v>
      </c>
      <c r="E161" s="465">
        <f t="shared" si="16"/>
        <v>2363.7319387710359</v>
      </c>
      <c r="F161" s="449">
        <f t="shared" si="17"/>
        <v>0.90010564819200201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58514.931728588308</v>
      </c>
      <c r="D162" s="479">
        <f>LN_IE9*LN_IE6</f>
        <v>210482.32108569983</v>
      </c>
      <c r="E162" s="479">
        <f t="shared" si="16"/>
        <v>151967.38935711153</v>
      </c>
      <c r="F162" s="449">
        <f t="shared" si="17"/>
        <v>2.597070266816456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89</v>
      </c>
      <c r="D163" s="456">
        <v>168</v>
      </c>
      <c r="E163" s="506">
        <f t="shared" si="16"/>
        <v>79</v>
      </c>
      <c r="F163" s="449">
        <f t="shared" si="17"/>
        <v>0.88764044943820219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1524.7977528089887</v>
      </c>
      <c r="D164" s="465">
        <f>IF(LN_IE11=0,0,LN_IE2/LN_IE11)</f>
        <v>1197.5833333333333</v>
      </c>
      <c r="E164" s="465">
        <f t="shared" si="16"/>
        <v>-327.2144194756554</v>
      </c>
      <c r="F164" s="449">
        <f t="shared" si="17"/>
        <v>-0.2145952923086748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3.8695652173913042</v>
      </c>
      <c r="D165" s="466">
        <f>IF(LN_IE4=0,0,LN_IE11/LN_IE4)</f>
        <v>5.0909090909090908</v>
      </c>
      <c r="E165" s="466">
        <f t="shared" si="16"/>
        <v>1.2213438735177866</v>
      </c>
      <c r="F165" s="449">
        <f t="shared" si="17"/>
        <v>0.31562819203268644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884819</v>
      </c>
      <c r="D168" s="511">
        <v>799592</v>
      </c>
      <c r="E168" s="511">
        <f t="shared" ref="E168:E176" si="18">D168-C168</f>
        <v>-85227</v>
      </c>
      <c r="F168" s="449">
        <f t="shared" ref="F168:F176" si="19">IF(C168=0,0,E168/C168)</f>
        <v>-9.6321394545099054E-2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121752</v>
      </c>
      <c r="D169" s="511">
        <v>101477</v>
      </c>
      <c r="E169" s="511">
        <f t="shared" si="18"/>
        <v>-20275</v>
      </c>
      <c r="F169" s="449">
        <f t="shared" si="19"/>
        <v>-0.16652703857020829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0.13760102348615932</v>
      </c>
      <c r="D170" s="453">
        <f>IF(LN_IE14=0,0,LN_IE15/LN_IE14)</f>
        <v>0.12691097459704448</v>
      </c>
      <c r="E170" s="454">
        <f t="shared" si="18"/>
        <v>-1.0690048889114845E-2</v>
      </c>
      <c r="F170" s="449">
        <f t="shared" si="19"/>
        <v>-7.7688730928590147E-2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1.4305908336149291</v>
      </c>
      <c r="D171" s="453">
        <f>IF(LN_IE1=0,0,LN_IE14/LN_IE1)</f>
        <v>0.6413493174967555</v>
      </c>
      <c r="E171" s="454">
        <f t="shared" si="18"/>
        <v>-0.78924151611817361</v>
      </c>
      <c r="F171" s="449">
        <f t="shared" si="19"/>
        <v>-0.55168920251212306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32.903589173143367</v>
      </c>
      <c r="D172" s="463">
        <f>LN_IE17*LN_IE4</f>
        <v>21.16452747739293</v>
      </c>
      <c r="E172" s="463">
        <f t="shared" si="18"/>
        <v>-11.739061695750436</v>
      </c>
      <c r="F172" s="449">
        <f t="shared" si="19"/>
        <v>-0.35677146447391572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3700.2650184854806</v>
      </c>
      <c r="D173" s="465">
        <f>IF(LN_IE18=0,0,LN_IE15/LN_IE18)</f>
        <v>4794.6735455536873</v>
      </c>
      <c r="E173" s="465">
        <f t="shared" si="18"/>
        <v>1094.4085270682067</v>
      </c>
      <c r="F173" s="449">
        <f t="shared" si="19"/>
        <v>0.29576490375712289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10917.646328702296</v>
      </c>
      <c r="D174" s="465">
        <f>LN_IB18-LN_IE19</f>
        <v>10637.524332793713</v>
      </c>
      <c r="E174" s="465">
        <f t="shared" si="18"/>
        <v>-280.1219959085829</v>
      </c>
      <c r="F174" s="449">
        <f t="shared" si="19"/>
        <v>-2.5657727634219769E-2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4723.1464840411099</v>
      </c>
      <c r="D175" s="465">
        <f>LN_IA16-LN_IE19</f>
        <v>3502.933149558663</v>
      </c>
      <c r="E175" s="465">
        <f t="shared" si="18"/>
        <v>-1220.213334482447</v>
      </c>
      <c r="F175" s="449">
        <f t="shared" si="19"/>
        <v>-0.25834755254900249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155408.47151546524</v>
      </c>
      <c r="D176" s="441">
        <f>LN_IE21*LN_IE18</f>
        <v>74137.924895304881</v>
      </c>
      <c r="E176" s="441">
        <f t="shared" si="18"/>
        <v>-81270.546620160356</v>
      </c>
      <c r="F176" s="449">
        <f t="shared" si="19"/>
        <v>-0.52294798235675877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1503318</v>
      </c>
      <c r="D179" s="448">
        <f>LN_IE1+LN_IE14</f>
        <v>2046326</v>
      </c>
      <c r="E179" s="448">
        <f>D179-C179</f>
        <v>543008</v>
      </c>
      <c r="F179" s="449">
        <f>IF(C179=0,0,E179/C179)</f>
        <v>0.36120634489841802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257459</v>
      </c>
      <c r="D180" s="448">
        <f>LN_IE15+LN_IE2</f>
        <v>302671</v>
      </c>
      <c r="E180" s="448">
        <f>D180-C180</f>
        <v>45212</v>
      </c>
      <c r="F180" s="449">
        <f>IF(C180=0,0,E180/C180)</f>
        <v>0.17560854349624599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1245859</v>
      </c>
      <c r="D181" s="448">
        <f>LN_IE23-LN_IE24</f>
        <v>1743655</v>
      </c>
      <c r="E181" s="448">
        <f>D181-C181</f>
        <v>497796</v>
      </c>
      <c r="F181" s="449">
        <f>IF(C181=0,0,E181/C181)</f>
        <v>0.39956046390482391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213923.40324405354</v>
      </c>
      <c r="D183" s="448">
        <f>LN_IE10+LN_IE22</f>
        <v>284620.24598100473</v>
      </c>
      <c r="E183" s="441">
        <f>D183-C183</f>
        <v>70696.842736951192</v>
      </c>
      <c r="F183" s="449">
        <f>IF(C183=0,0,E183/C183)</f>
        <v>0.33047736556573487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75670736</v>
      </c>
      <c r="D188" s="448">
        <f>LN_ID1+LN_IE1</f>
        <v>77155540</v>
      </c>
      <c r="E188" s="448">
        <f t="shared" ref="E188:E200" si="20">D188-C188</f>
        <v>1484804</v>
      </c>
      <c r="F188" s="449">
        <f t="shared" ref="F188:F200" si="21">IF(C188=0,0,E188/C188)</f>
        <v>1.9621905091553489E-2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18445714</v>
      </c>
      <c r="D189" s="448">
        <f>LN_1D2+LN_IE2</f>
        <v>19011492</v>
      </c>
      <c r="E189" s="448">
        <f t="shared" si="20"/>
        <v>565778</v>
      </c>
      <c r="F189" s="449">
        <f t="shared" si="21"/>
        <v>3.0672599607692062E-2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0.24376284644568541</v>
      </c>
      <c r="D190" s="453">
        <f>IF(LN_IF1=0,0,LN_IF2/LN_IF1)</f>
        <v>0.24640475589957636</v>
      </c>
      <c r="E190" s="454">
        <f t="shared" si="20"/>
        <v>2.6419094538909504E-3</v>
      </c>
      <c r="F190" s="449">
        <f t="shared" si="21"/>
        <v>1.0838031686997115E-2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2698</v>
      </c>
      <c r="D191" s="456">
        <f>LN_ID4+LN_IE4</f>
        <v>2671</v>
      </c>
      <c r="E191" s="456">
        <f t="shared" si="20"/>
        <v>-27</v>
      </c>
      <c r="F191" s="449">
        <f t="shared" si="21"/>
        <v>-1.0007412898443291E-2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0.95825070422535208</v>
      </c>
      <c r="D192" s="459">
        <f>IF((LN_ID4+LN_IE4)=0,0,(LN_ID6+LN_IE6)/(LN_ID4+LN_IE4))</f>
        <v>0.93491506551853243</v>
      </c>
      <c r="E192" s="460">
        <f t="shared" si="20"/>
        <v>-2.333563870681965E-2</v>
      </c>
      <c r="F192" s="449">
        <f t="shared" si="21"/>
        <v>-2.4352331392945997E-2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2585.3604</v>
      </c>
      <c r="D193" s="463">
        <f>LN_IF4*LN_IF5</f>
        <v>2497.15814</v>
      </c>
      <c r="E193" s="463">
        <f t="shared" si="20"/>
        <v>-88.202260000000024</v>
      </c>
      <c r="F193" s="449">
        <f t="shared" si="21"/>
        <v>-3.4116040456100442E-2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7134.6780123962599</v>
      </c>
      <c r="D194" s="465">
        <f>IF(LN_IF6=0,0,LN_IF2/LN_IF6)</f>
        <v>7613.2511175283435</v>
      </c>
      <c r="E194" s="465">
        <f t="shared" si="20"/>
        <v>478.57310513208358</v>
      </c>
      <c r="F194" s="449">
        <f t="shared" si="21"/>
        <v>6.7077043182688714E-2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6776.462170587014</v>
      </c>
      <c r="D195" s="465">
        <f>LN_IB7-LN_IF7</f>
        <v>8112.9026620278382</v>
      </c>
      <c r="E195" s="465">
        <f t="shared" si="20"/>
        <v>1336.4404914408242</v>
      </c>
      <c r="F195" s="449">
        <f t="shared" si="21"/>
        <v>0.19721802583678474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1581.7049503271592</v>
      </c>
      <c r="D196" s="465">
        <f>LN_IA7-LN_IF7</f>
        <v>2146.1405812653247</v>
      </c>
      <c r="E196" s="465">
        <f t="shared" si="20"/>
        <v>564.43563093816556</v>
      </c>
      <c r="F196" s="449">
        <f t="shared" si="21"/>
        <v>0.35685266763653861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4089277.3430598034</v>
      </c>
      <c r="D197" s="479">
        <f>LN_IF9*LN_IF6</f>
        <v>5359252.422091037</v>
      </c>
      <c r="E197" s="479">
        <f t="shared" si="20"/>
        <v>1269975.0790312337</v>
      </c>
      <c r="F197" s="449">
        <f t="shared" si="21"/>
        <v>0.31056222713448295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11012</v>
      </c>
      <c r="D198" s="456">
        <f>LN_ID11+LN_IE11</f>
        <v>10855</v>
      </c>
      <c r="E198" s="456">
        <f t="shared" si="20"/>
        <v>-157</v>
      </c>
      <c r="F198" s="449">
        <f t="shared" si="21"/>
        <v>-1.4257173992008718E-2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1675.0557573556121</v>
      </c>
      <c r="D199" s="519">
        <f>IF(LN_IF11=0,0,LN_IF2/LN_IF11)</f>
        <v>1751.4041455550437</v>
      </c>
      <c r="E199" s="519">
        <f t="shared" si="20"/>
        <v>76.348388199431611</v>
      </c>
      <c r="F199" s="449">
        <f t="shared" si="21"/>
        <v>4.5579610030391932E-2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4.0815418828762047</v>
      </c>
      <c r="D200" s="466">
        <f>IF(LN_IF4=0,0,LN_IF11/LN_IF4)</f>
        <v>4.0640209659303634</v>
      </c>
      <c r="E200" s="466">
        <f t="shared" si="20"/>
        <v>-1.7520916945841236E-2</v>
      </c>
      <c r="F200" s="449">
        <f t="shared" si="21"/>
        <v>-4.2927201162259038E-3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74798439</v>
      </c>
      <c r="D203" s="448">
        <f>LN_ID14+LN_IE14</f>
        <v>84858716</v>
      </c>
      <c r="E203" s="448">
        <f t="shared" ref="E203:E211" si="22">D203-C203</f>
        <v>10060277</v>
      </c>
      <c r="F203" s="449">
        <f t="shared" ref="F203:F211" si="23">IF(C203=0,0,E203/C203)</f>
        <v>0.13449848866498404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19222592</v>
      </c>
      <c r="D204" s="448">
        <f>LN_ID15+LN_IE15</f>
        <v>21702248</v>
      </c>
      <c r="E204" s="448">
        <f t="shared" si="22"/>
        <v>2479656</v>
      </c>
      <c r="F204" s="449">
        <f t="shared" si="23"/>
        <v>0.12899696357286261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0.25699188722374272</v>
      </c>
      <c r="D205" s="453">
        <f>IF(LN_IF14=0,0,LN_IF15/LN_IF14)</f>
        <v>0.25574565610914973</v>
      </c>
      <c r="E205" s="454">
        <f t="shared" si="22"/>
        <v>-1.2462311145929883E-3</v>
      </c>
      <c r="F205" s="449">
        <f t="shared" si="23"/>
        <v>-4.8493013847864868E-3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0.9884724657627223</v>
      </c>
      <c r="D206" s="453">
        <f>IF(LN_IF1=0,0,LN_IF14/LN_IF1)</f>
        <v>1.09983957082019</v>
      </c>
      <c r="E206" s="454">
        <f t="shared" si="22"/>
        <v>0.11136710505746772</v>
      </c>
      <c r="F206" s="449">
        <f t="shared" si="23"/>
        <v>0.11266586466982158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2667.3211815495038</v>
      </c>
      <c r="D207" s="463">
        <f>LN_ID18+LN_IE18</f>
        <v>2942.4062225713715</v>
      </c>
      <c r="E207" s="463">
        <f t="shared" si="22"/>
        <v>275.08504102186771</v>
      </c>
      <c r="F207" s="449">
        <f t="shared" si="23"/>
        <v>0.10313157745107582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7206.7031645709749</v>
      </c>
      <c r="D208" s="465">
        <f>IF(LN_IF18=0,0,LN_IF15/LN_IF18)</f>
        <v>7375.6804324028335</v>
      </c>
      <c r="E208" s="465">
        <f t="shared" si="22"/>
        <v>168.97726783185863</v>
      </c>
      <c r="F208" s="449">
        <f t="shared" si="23"/>
        <v>2.3447235715572598E-2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7411.2081826168023</v>
      </c>
      <c r="D209" s="465">
        <f>LN_IB18-LN_IF19</f>
        <v>8056.517445944567</v>
      </c>
      <c r="E209" s="465">
        <f t="shared" si="22"/>
        <v>645.30926332776471</v>
      </c>
      <c r="F209" s="449">
        <f t="shared" si="23"/>
        <v>8.707207346318456E-2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1216.7083379556161</v>
      </c>
      <c r="D210" s="465">
        <f>LN_IA16-LN_IF19</f>
        <v>921.92626270951678</v>
      </c>
      <c r="E210" s="465">
        <f t="shared" si="22"/>
        <v>-294.78207524609934</v>
      </c>
      <c r="F210" s="449">
        <f t="shared" si="23"/>
        <v>-0.24227833906473367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3245351.9215969089</v>
      </c>
      <c r="D211" s="441">
        <f>LN_IF21*LN_IF18</f>
        <v>2712681.5721484511</v>
      </c>
      <c r="E211" s="441">
        <f t="shared" si="22"/>
        <v>-532670.34944845783</v>
      </c>
      <c r="F211" s="449">
        <f t="shared" si="23"/>
        <v>-0.16413330890363098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150469175</v>
      </c>
      <c r="D214" s="448">
        <f>LN_IF1+LN_IF14</f>
        <v>162014256</v>
      </c>
      <c r="E214" s="448">
        <f>D214-C214</f>
        <v>11545081</v>
      </c>
      <c r="F214" s="449">
        <f>IF(C214=0,0,E214/C214)</f>
        <v>7.6727216720633984E-2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37668306</v>
      </c>
      <c r="D215" s="448">
        <f>LN_IF2+LN_IF15</f>
        <v>40713740</v>
      </c>
      <c r="E215" s="448">
        <f>D215-C215</f>
        <v>3045434</v>
      </c>
      <c r="F215" s="449">
        <f>IF(C215=0,0,E215/C215)</f>
        <v>8.0848711380862207E-2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112800869</v>
      </c>
      <c r="D216" s="448">
        <f>LN_IF23-LN_IF24</f>
        <v>121300516</v>
      </c>
      <c r="E216" s="448">
        <f>D216-C216</f>
        <v>8499647</v>
      </c>
      <c r="F216" s="449">
        <f>IF(C216=0,0,E216/C216)</f>
        <v>7.5350900000601947E-2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366203</v>
      </c>
      <c r="D221" s="448">
        <v>260692</v>
      </c>
      <c r="E221" s="448">
        <f t="shared" ref="E221:E230" si="24">D221-C221</f>
        <v>-105511</v>
      </c>
      <c r="F221" s="449">
        <f t="shared" ref="F221:F230" si="25">IF(C221=0,0,E221/C221)</f>
        <v>-0.2881216156066444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108891</v>
      </c>
      <c r="D222" s="448">
        <v>99570</v>
      </c>
      <c r="E222" s="448">
        <f t="shared" si="24"/>
        <v>-9321</v>
      </c>
      <c r="F222" s="449">
        <f t="shared" si="25"/>
        <v>-8.5599360828718621E-2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0.2973514689939733</v>
      </c>
      <c r="D223" s="453">
        <f>IF(LN_IG1=0,0,LN_IG2/LN_IG1)</f>
        <v>0.38194497721449067</v>
      </c>
      <c r="E223" s="454">
        <f t="shared" si="24"/>
        <v>8.4593508220517366E-2</v>
      </c>
      <c r="F223" s="449">
        <f t="shared" si="25"/>
        <v>0.28448996235573298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10</v>
      </c>
      <c r="D224" s="456">
        <v>15</v>
      </c>
      <c r="E224" s="456">
        <f t="shared" si="24"/>
        <v>5</v>
      </c>
      <c r="F224" s="449">
        <f t="shared" si="25"/>
        <v>0.5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1.3916299999999999</v>
      </c>
      <c r="D225" s="459">
        <v>0.68359999999999999</v>
      </c>
      <c r="E225" s="460">
        <f t="shared" si="24"/>
        <v>-0.70802999999999994</v>
      </c>
      <c r="F225" s="449">
        <f t="shared" si="25"/>
        <v>-0.50877747677184304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13.9163</v>
      </c>
      <c r="D226" s="463">
        <f>LN_IG3*LN_IG4</f>
        <v>10.254</v>
      </c>
      <c r="E226" s="463">
        <f t="shared" si="24"/>
        <v>-3.6623000000000001</v>
      </c>
      <c r="F226" s="449">
        <f t="shared" si="25"/>
        <v>-0.26316621515776467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7824.7091540136389</v>
      </c>
      <c r="D227" s="465">
        <f>IF(LN_IG5=0,0,LN_IG2/LN_IG5)</f>
        <v>9710.3569338794623</v>
      </c>
      <c r="E227" s="465">
        <f t="shared" si="24"/>
        <v>1885.6477798658234</v>
      </c>
      <c r="F227" s="449">
        <f t="shared" si="25"/>
        <v>0.24098630923535239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51</v>
      </c>
      <c r="D228" s="456">
        <v>38</v>
      </c>
      <c r="E228" s="456">
        <f t="shared" si="24"/>
        <v>-13</v>
      </c>
      <c r="F228" s="449">
        <f t="shared" si="25"/>
        <v>-0.25490196078431371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2135.1176470588234</v>
      </c>
      <c r="D229" s="465">
        <f>IF(LN_IG6=0,0,LN_IG2/LN_IG6)</f>
        <v>2620.2631578947367</v>
      </c>
      <c r="E229" s="465">
        <f t="shared" si="24"/>
        <v>485.14551083591323</v>
      </c>
      <c r="F229" s="449">
        <f t="shared" si="25"/>
        <v>0.22722191046671972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5.0999999999999996</v>
      </c>
      <c r="D230" s="466">
        <f>IF(LN_IG3=0,0,LN_IG6/LN_IG3)</f>
        <v>2.5333333333333332</v>
      </c>
      <c r="E230" s="466">
        <f t="shared" si="24"/>
        <v>-2.5666666666666664</v>
      </c>
      <c r="F230" s="449">
        <f t="shared" si="25"/>
        <v>-0.50326797385620914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412598</v>
      </c>
      <c r="D233" s="448">
        <v>378243</v>
      </c>
      <c r="E233" s="448">
        <f>D233-C233</f>
        <v>-34355</v>
      </c>
      <c r="F233" s="449">
        <f>IF(C233=0,0,E233/C233)</f>
        <v>-8.3265066723542044E-2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61717</v>
      </c>
      <c r="D234" s="448">
        <v>46016</v>
      </c>
      <c r="E234" s="448">
        <f>D234-C234</f>
        <v>-15701</v>
      </c>
      <c r="F234" s="449">
        <f>IF(C234=0,0,E234/C234)</f>
        <v>-0.25440316282385728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778801</v>
      </c>
      <c r="D237" s="448">
        <f>LN_IG1+LN_IG9</f>
        <v>638935</v>
      </c>
      <c r="E237" s="448">
        <f>D237-C237</f>
        <v>-139866</v>
      </c>
      <c r="F237" s="449">
        <f>IF(C237=0,0,E237/C237)</f>
        <v>-0.17959144890671686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170608</v>
      </c>
      <c r="D238" s="448">
        <f>LN_IG2+LN_IG10</f>
        <v>145586</v>
      </c>
      <c r="E238" s="448">
        <f>D238-C238</f>
        <v>-25022</v>
      </c>
      <c r="F238" s="449">
        <f>IF(C238=0,0,E238/C238)</f>
        <v>-0.14666369689580794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608193</v>
      </c>
      <c r="D239" s="448">
        <f>LN_IG13-LN_IG14</f>
        <v>493349</v>
      </c>
      <c r="E239" s="448">
        <f>D239-C239</f>
        <v>-114844</v>
      </c>
      <c r="F239" s="449">
        <f>IF(C239=0,0,E239/C239)</f>
        <v>-0.1888282173586345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15792359</v>
      </c>
      <c r="D243" s="448">
        <v>14524481</v>
      </c>
      <c r="E243" s="441">
        <f>D243-C243</f>
        <v>-1267878</v>
      </c>
      <c r="F243" s="503">
        <f>IF(C243=0,0,E243/C243)</f>
        <v>-8.0284269120275198E-2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311061228</v>
      </c>
      <c r="D244" s="448">
        <v>354816000</v>
      </c>
      <c r="E244" s="441">
        <f>D244-C244</f>
        <v>43754772</v>
      </c>
      <c r="F244" s="503">
        <f>IF(C244=0,0,E244/C244)</f>
        <v>0.14066289225862633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16801601</v>
      </c>
      <c r="D248" s="441">
        <v>15719561</v>
      </c>
      <c r="E248" s="441">
        <f>D248-C248</f>
        <v>-1082040</v>
      </c>
      <c r="F248" s="449">
        <f>IF(C248=0,0,E248/C248)</f>
        <v>-6.4401005594645414E-2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24556938</v>
      </c>
      <c r="D249" s="441">
        <v>13113368</v>
      </c>
      <c r="E249" s="441">
        <f>D249-C249</f>
        <v>-11443570</v>
      </c>
      <c r="F249" s="449">
        <f>IF(C249=0,0,E249/C249)</f>
        <v>-0.46600150230456255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41358539</v>
      </c>
      <c r="D250" s="441">
        <f>LN_IH4+LN_IH5</f>
        <v>28832929</v>
      </c>
      <c r="E250" s="441">
        <f>D250-C250</f>
        <v>-12525610</v>
      </c>
      <c r="F250" s="449">
        <f>IF(C250=0,0,E250/C250)</f>
        <v>-0.30285426668480719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14260562.892730514</v>
      </c>
      <c r="D251" s="441">
        <f>LN_IH6*LN_III10</f>
        <v>10478854.405493749</v>
      </c>
      <c r="E251" s="441">
        <f>D251-C251</f>
        <v>-3781708.4872367643</v>
      </c>
      <c r="F251" s="449">
        <f>IF(C251=0,0,E251/C251)</f>
        <v>-0.26518648076399098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150469175</v>
      </c>
      <c r="D254" s="441">
        <f>LN_IF23</f>
        <v>162014256</v>
      </c>
      <c r="E254" s="441">
        <f>D254-C254</f>
        <v>11545081</v>
      </c>
      <c r="F254" s="449">
        <f>IF(C254=0,0,E254/C254)</f>
        <v>7.6727216720633984E-2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37668306</v>
      </c>
      <c r="D255" s="441">
        <f>LN_IF24</f>
        <v>40713740</v>
      </c>
      <c r="E255" s="441">
        <f>D255-C255</f>
        <v>3045434</v>
      </c>
      <c r="F255" s="449">
        <f>IF(C255=0,0,E255/C255)</f>
        <v>8.0848711380862207E-2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51882275.955269448</v>
      </c>
      <c r="D256" s="441">
        <f>LN_IH8*LN_III10</f>
        <v>58881419.929220237</v>
      </c>
      <c r="E256" s="441">
        <f>D256-C256</f>
        <v>6999143.9739507884</v>
      </c>
      <c r="F256" s="449">
        <f>IF(C256=0,0,E256/C256)</f>
        <v>0.13490433573085989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14213969.955269448</v>
      </c>
      <c r="D257" s="441">
        <f>LN_IH10-LN_IH9</f>
        <v>18167679.929220237</v>
      </c>
      <c r="E257" s="441">
        <f>D257-C257</f>
        <v>3953709.9739507884</v>
      </c>
      <c r="F257" s="449">
        <f>IF(C257=0,0,E257/C257)</f>
        <v>0.2781566294562946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453417066</v>
      </c>
      <c r="D261" s="448">
        <f>LN_IA1+LN_IB1+LN_IF1+LN_IG1</f>
        <v>459739745</v>
      </c>
      <c r="E261" s="448">
        <f t="shared" ref="E261:E274" si="26">D261-C261</f>
        <v>6322679</v>
      </c>
      <c r="F261" s="503">
        <f t="shared" ref="F261:F274" si="27">IF(C261=0,0,E261/C261)</f>
        <v>1.3944510416817879E-2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159368731</v>
      </c>
      <c r="D262" s="448">
        <f>+LN_IA2+LN_IB2+LN_IF2+LN_IG2</f>
        <v>172065249</v>
      </c>
      <c r="E262" s="448">
        <f t="shared" si="26"/>
        <v>12696518</v>
      </c>
      <c r="F262" s="503">
        <f t="shared" si="27"/>
        <v>7.9667560382343766E-2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0.35148375072410704</v>
      </c>
      <c r="D263" s="453">
        <f>IF(LN_IIA1=0,0,LN_IIA2/LN_IIA1)</f>
        <v>0.3742666386174639</v>
      </c>
      <c r="E263" s="454">
        <f t="shared" si="26"/>
        <v>2.2782887893356862E-2</v>
      </c>
      <c r="F263" s="458">
        <f t="shared" si="27"/>
        <v>6.4819178259082649E-2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13110</v>
      </c>
      <c r="D264" s="456">
        <f>LN_IA4+LN_IB4+LN_IF4+LN_IG3</f>
        <v>12877</v>
      </c>
      <c r="E264" s="456">
        <f t="shared" si="26"/>
        <v>-233</v>
      </c>
      <c r="F264" s="503">
        <f t="shared" si="27"/>
        <v>-1.7772692601067886E-2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1.1999178382913807</v>
      </c>
      <c r="D265" s="525">
        <f>IF(LN_IIA4=0,0,LN_IIA6/LN_IIA4)</f>
        <v>1.1866398485672129</v>
      </c>
      <c r="E265" s="525">
        <f t="shared" si="26"/>
        <v>-1.3277989724167716E-2</v>
      </c>
      <c r="F265" s="503">
        <f t="shared" si="27"/>
        <v>-1.1065749087516582E-2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15730.922860000001</v>
      </c>
      <c r="D266" s="463">
        <f>LN_IA6+LN_IB6+LN_IF6+LN_IG5</f>
        <v>15280.36133</v>
      </c>
      <c r="E266" s="463">
        <f t="shared" si="26"/>
        <v>-450.56153000000086</v>
      </c>
      <c r="F266" s="503">
        <f t="shared" si="27"/>
        <v>-2.8641773531651583E-2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446848433</v>
      </c>
      <c r="D267" s="448">
        <f>LN_IA11+LN_IB13+LN_IF14+LN_IG9</f>
        <v>485327482</v>
      </c>
      <c r="E267" s="448">
        <f t="shared" si="26"/>
        <v>38479049</v>
      </c>
      <c r="F267" s="503">
        <f t="shared" si="27"/>
        <v>8.6112082214686872E-2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0.98551304418700469</v>
      </c>
      <c r="D268" s="453">
        <f>IF(LN_IIA1=0,0,LN_IIA7/LN_IIA1)</f>
        <v>1.0556570043775528</v>
      </c>
      <c r="E268" s="454">
        <f t="shared" si="26"/>
        <v>7.0143960190548138E-2</v>
      </c>
      <c r="F268" s="458">
        <f t="shared" si="27"/>
        <v>7.1175070288808942E-2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169138142</v>
      </c>
      <c r="D269" s="448">
        <f>LN_IA12+LN_IB14+LN_IF15+LN_IG10</f>
        <v>180690298</v>
      </c>
      <c r="E269" s="448">
        <f t="shared" si="26"/>
        <v>11552156</v>
      </c>
      <c r="F269" s="503">
        <f t="shared" si="27"/>
        <v>6.8300123575911101E-2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0.37851344999569464</v>
      </c>
      <c r="D270" s="453">
        <f>IF(LN_IIA7=0,0,LN_IIA9/LN_IIA7)</f>
        <v>0.37230592682571395</v>
      </c>
      <c r="E270" s="454">
        <f t="shared" si="26"/>
        <v>-6.2075231699806888E-3</v>
      </c>
      <c r="F270" s="458">
        <f t="shared" si="27"/>
        <v>-1.6399742651288338E-2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900265499</v>
      </c>
      <c r="D271" s="441">
        <f>LN_IIA1+LN_IIA7</f>
        <v>945067227</v>
      </c>
      <c r="E271" s="441">
        <f t="shared" si="26"/>
        <v>44801728</v>
      </c>
      <c r="F271" s="503">
        <f t="shared" si="27"/>
        <v>4.9765017153012105E-2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328506873</v>
      </c>
      <c r="D272" s="441">
        <f>LN_IIA2+LN_IIA9</f>
        <v>352755547</v>
      </c>
      <c r="E272" s="441">
        <f t="shared" si="26"/>
        <v>24248674</v>
      </c>
      <c r="F272" s="503">
        <f t="shared" si="27"/>
        <v>7.381481482732935E-2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0.36489999157459657</v>
      </c>
      <c r="D273" s="453">
        <f>IF(LN_IIA11=0,0,LN_IIA12/LN_IIA11)</f>
        <v>0.37325973954231723</v>
      </c>
      <c r="E273" s="454">
        <f t="shared" si="26"/>
        <v>8.3597479677206543E-3</v>
      </c>
      <c r="F273" s="458">
        <f t="shared" si="27"/>
        <v>2.2909696247585879E-2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59071</v>
      </c>
      <c r="D274" s="508">
        <f>LN_IA8+LN_IB10+LN_IF11+LN_IG6</f>
        <v>58011</v>
      </c>
      <c r="E274" s="528">
        <f t="shared" si="26"/>
        <v>-1060</v>
      </c>
      <c r="F274" s="458">
        <f t="shared" si="27"/>
        <v>-1.7944507457127862E-2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318400638</v>
      </c>
      <c r="D277" s="448">
        <f>LN_IA1+LN_IF1+LN_IG1</f>
        <v>327263758</v>
      </c>
      <c r="E277" s="448">
        <f t="shared" ref="E277:E291" si="28">D277-C277</f>
        <v>8863120</v>
      </c>
      <c r="F277" s="503">
        <f t="shared" ref="F277:F291" si="29">IF(C277=0,0,E277/C277)</f>
        <v>2.7836376383140286E-2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88795734</v>
      </c>
      <c r="D278" s="448">
        <f>LN_IA2+LN_IF2+LN_IG2</f>
        <v>97482374</v>
      </c>
      <c r="E278" s="448">
        <f t="shared" si="28"/>
        <v>8686640</v>
      </c>
      <c r="F278" s="503">
        <f t="shared" si="29"/>
        <v>9.7827222195156355E-2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0.27888051530851515</v>
      </c>
      <c r="D279" s="453">
        <f>IF(D277=0,0,LN_IIB2/D277)</f>
        <v>0.29787097292942533</v>
      </c>
      <c r="E279" s="454">
        <f t="shared" si="28"/>
        <v>1.8990457620910173E-2</v>
      </c>
      <c r="F279" s="458">
        <f t="shared" si="29"/>
        <v>6.8095318885587022E-2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8328</v>
      </c>
      <c r="D280" s="456">
        <f>LN_IA4+LN_IF4+LN_IG3</f>
        <v>8362</v>
      </c>
      <c r="E280" s="456">
        <f t="shared" si="28"/>
        <v>34</v>
      </c>
      <c r="F280" s="503">
        <f t="shared" si="29"/>
        <v>4.0826128722382324E-3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1.279754406820365</v>
      </c>
      <c r="D281" s="525">
        <f>IF(LN_IIB4=0,0,LN_IIB6/LN_IIB4)</f>
        <v>1.2601961468548195</v>
      </c>
      <c r="E281" s="525">
        <f t="shared" si="28"/>
        <v>-1.9558259965545499E-2</v>
      </c>
      <c r="F281" s="503">
        <f t="shared" si="29"/>
        <v>-1.5282822908294802E-2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10657.7947</v>
      </c>
      <c r="D282" s="463">
        <f>LN_IA6+LN_IF6+LN_IG5</f>
        <v>10537.760180000001</v>
      </c>
      <c r="E282" s="463">
        <f t="shared" si="28"/>
        <v>-120.03451999999925</v>
      </c>
      <c r="F282" s="503">
        <f t="shared" si="29"/>
        <v>-1.1262603885586128E-2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207204482</v>
      </c>
      <c r="D283" s="448">
        <f>LN_IA11+LN_IF14+LN_IG9</f>
        <v>237814628</v>
      </c>
      <c r="E283" s="448">
        <f t="shared" si="28"/>
        <v>30610146</v>
      </c>
      <c r="F283" s="503">
        <f t="shared" si="29"/>
        <v>0.14772916929470667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0.65076654149166624</v>
      </c>
      <c r="D284" s="453">
        <f>IF(D277=0,0,LN_IIB7/D277)</f>
        <v>0.72667572313338769</v>
      </c>
      <c r="E284" s="454">
        <f t="shared" si="28"/>
        <v>7.5909181641721446E-2</v>
      </c>
      <c r="F284" s="458">
        <f t="shared" si="29"/>
        <v>0.1166457966135211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45065865</v>
      </c>
      <c r="D285" s="448">
        <f>LN_IA12+LN_IF15+LN_IG10</f>
        <v>50509739</v>
      </c>
      <c r="E285" s="448">
        <f t="shared" si="28"/>
        <v>5443874</v>
      </c>
      <c r="F285" s="503">
        <f t="shared" si="29"/>
        <v>0.12079816952365166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0.217494643769337</v>
      </c>
      <c r="D286" s="453">
        <f>IF(LN_IIB7=0,0,LN_IIB9/LN_IIB7)</f>
        <v>0.21239122010610717</v>
      </c>
      <c r="E286" s="454">
        <f t="shared" si="28"/>
        <v>-5.103423663229828E-3</v>
      </c>
      <c r="F286" s="458">
        <f t="shared" si="29"/>
        <v>-2.3464594689707585E-2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525605120</v>
      </c>
      <c r="D287" s="441">
        <f>D277+LN_IIB7</f>
        <v>565078386</v>
      </c>
      <c r="E287" s="441">
        <f t="shared" si="28"/>
        <v>39473266</v>
      </c>
      <c r="F287" s="503">
        <f t="shared" si="29"/>
        <v>7.5100611653098046E-2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133861599</v>
      </c>
      <c r="D288" s="441">
        <f>LN_IIB2+LN_IIB9</f>
        <v>147992113</v>
      </c>
      <c r="E288" s="441">
        <f t="shared" si="28"/>
        <v>14130514</v>
      </c>
      <c r="F288" s="503">
        <f t="shared" si="29"/>
        <v>0.10556062459705116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0.25468092662415465</v>
      </c>
      <c r="D289" s="453">
        <f>IF(LN_IIB11=0,0,LN_IIB12/LN_IIB11)</f>
        <v>0.26189660880074789</v>
      </c>
      <c r="E289" s="454">
        <f t="shared" si="28"/>
        <v>7.2156821765932411E-3</v>
      </c>
      <c r="F289" s="458">
        <f t="shared" si="29"/>
        <v>2.8332244083758118E-2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42276</v>
      </c>
      <c r="D290" s="508">
        <f>LN_IA8+LN_IF11+LN_IG6</f>
        <v>41986</v>
      </c>
      <c r="E290" s="528">
        <f t="shared" si="28"/>
        <v>-290</v>
      </c>
      <c r="F290" s="458">
        <f t="shared" si="29"/>
        <v>-6.8596839814551993E-3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391743521</v>
      </c>
      <c r="D291" s="516">
        <f>LN_IIB11-LN_IIB12</f>
        <v>417086273</v>
      </c>
      <c r="E291" s="441">
        <f t="shared" si="28"/>
        <v>25342752</v>
      </c>
      <c r="F291" s="503">
        <f t="shared" si="29"/>
        <v>6.4692204571265899E-2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5.5539145907473308</v>
      </c>
      <c r="D294" s="466">
        <f>IF(LN_IA4=0,0,LN_IA8/LN_IA4)</f>
        <v>5.4779774489076818</v>
      </c>
      <c r="E294" s="466">
        <f t="shared" ref="E294:E300" si="30">D294-C294</f>
        <v>-7.5937141839649058E-2</v>
      </c>
      <c r="F294" s="503">
        <f t="shared" ref="F294:F300" si="31">IF(C294=0,0,E294/C294)</f>
        <v>-1.367272409376951E-2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3.5121288163948137</v>
      </c>
      <c r="D295" s="466">
        <f>IF(LN_IB4=0,0,(LN_IB10)/(LN_IB4))</f>
        <v>3.5492801771871538</v>
      </c>
      <c r="E295" s="466">
        <f t="shared" si="30"/>
        <v>3.715136079234016E-2</v>
      </c>
      <c r="F295" s="503">
        <f t="shared" si="31"/>
        <v>1.057801770223106E-2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3.6666666666666665</v>
      </c>
      <c r="D296" s="466">
        <f>IF(LN_IC4=0,0,LN_IC11/LN_IC4)</f>
        <v>3.8620689655172415</v>
      </c>
      <c r="E296" s="466">
        <f t="shared" si="30"/>
        <v>0.19540229885057503</v>
      </c>
      <c r="F296" s="503">
        <f t="shared" si="31"/>
        <v>5.3291536050156831E-2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4.0833644859813081</v>
      </c>
      <c r="D297" s="466">
        <f>IF(LN_ID4=0,0,LN_ID11/LN_ID4)</f>
        <v>4.0511751326762697</v>
      </c>
      <c r="E297" s="466">
        <f t="shared" si="30"/>
        <v>-3.218935330503836E-2</v>
      </c>
      <c r="F297" s="503">
        <f t="shared" si="31"/>
        <v>-7.8830467903485881E-3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3.8695652173913042</v>
      </c>
      <c r="D298" s="466">
        <f>IF(LN_IE4=0,0,LN_IE11/LN_IE4)</f>
        <v>5.0909090909090908</v>
      </c>
      <c r="E298" s="466">
        <f t="shared" si="30"/>
        <v>1.2213438735177866</v>
      </c>
      <c r="F298" s="503">
        <f t="shared" si="31"/>
        <v>0.31562819203268644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5.0999999999999996</v>
      </c>
      <c r="D299" s="466">
        <f>IF(LN_IG3=0,0,LN_IG6/LN_IG3)</f>
        <v>2.5333333333333332</v>
      </c>
      <c r="E299" s="466">
        <f t="shared" si="30"/>
        <v>-2.5666666666666664</v>
      </c>
      <c r="F299" s="503">
        <f t="shared" si="31"/>
        <v>-0.50326797385620914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4.505797101449275</v>
      </c>
      <c r="D300" s="466">
        <f>IF(LN_IIA4=0,0,LN_IIA14/LN_IIA4)</f>
        <v>4.5050089306515488</v>
      </c>
      <c r="E300" s="466">
        <f t="shared" si="30"/>
        <v>-7.8817079772619536E-4</v>
      </c>
      <c r="F300" s="503">
        <f t="shared" si="31"/>
        <v>-1.7492372159249754E-4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900265499</v>
      </c>
      <c r="D304" s="441">
        <f>LN_IIA11</f>
        <v>945067227</v>
      </c>
      <c r="E304" s="441">
        <f t="shared" ref="E304:E316" si="32">D304-C304</f>
        <v>44801728</v>
      </c>
      <c r="F304" s="449">
        <f>IF(C304=0,0,E304/C304)</f>
        <v>4.9765017153012105E-2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391743521</v>
      </c>
      <c r="D305" s="441">
        <f>LN_IIB14</f>
        <v>417086273</v>
      </c>
      <c r="E305" s="441">
        <f t="shared" si="32"/>
        <v>25342752</v>
      </c>
      <c r="F305" s="449">
        <f>IF(C305=0,0,E305/C305)</f>
        <v>6.4692204571265899E-2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41358539</v>
      </c>
      <c r="D306" s="441">
        <f>LN_IH6</f>
        <v>28832929</v>
      </c>
      <c r="E306" s="441">
        <f t="shared" si="32"/>
        <v>-12525610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147175552</v>
      </c>
      <c r="D307" s="441">
        <f>LN_IB32-LN_IB33</f>
        <v>143484905</v>
      </c>
      <c r="E307" s="441">
        <f t="shared" si="32"/>
        <v>-3690647</v>
      </c>
      <c r="F307" s="449">
        <f t="shared" ref="F307:F316" si="33">IF(C307=0,0,E307/C307)</f>
        <v>-2.5076495041785201E-2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9573325</v>
      </c>
      <c r="D308" s="441">
        <v>12193961</v>
      </c>
      <c r="E308" s="441">
        <f t="shared" si="32"/>
        <v>2620636</v>
      </c>
      <c r="F308" s="449">
        <f t="shared" si="33"/>
        <v>0.27374355304975023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589850937</v>
      </c>
      <c r="D309" s="441">
        <f>LN_III2+LN_III3+LN_III4+LN_III5</f>
        <v>601598068</v>
      </c>
      <c r="E309" s="441">
        <f t="shared" si="32"/>
        <v>11747131</v>
      </c>
      <c r="F309" s="449">
        <f t="shared" si="33"/>
        <v>1.9915423140202625E-2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310414562</v>
      </c>
      <c r="D310" s="441">
        <f>LN_III1-LN_III6</f>
        <v>343469159</v>
      </c>
      <c r="E310" s="441">
        <f t="shared" si="32"/>
        <v>33054597</v>
      </c>
      <c r="F310" s="449">
        <f t="shared" si="33"/>
        <v>0.10648532977006407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310414562</v>
      </c>
      <c r="D312" s="441">
        <f>LN_III7+LN_III8</f>
        <v>343469159</v>
      </c>
      <c r="E312" s="441">
        <f t="shared" si="32"/>
        <v>33054597</v>
      </c>
      <c r="F312" s="449">
        <f t="shared" si="33"/>
        <v>0.10648532977006407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0.34480335228308023</v>
      </c>
      <c r="D313" s="532">
        <f>IF(LN_III1=0,0,LN_III9/LN_III1)</f>
        <v>0.36343357296422257</v>
      </c>
      <c r="E313" s="532">
        <f t="shared" si="32"/>
        <v>1.863022068114234E-2</v>
      </c>
      <c r="F313" s="449">
        <f t="shared" si="33"/>
        <v>5.4031437217139086E-2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14260562.892730514</v>
      </c>
      <c r="D314" s="441">
        <f>D313*LN_III5</f>
        <v>10478854.405493749</v>
      </c>
      <c r="E314" s="441">
        <f t="shared" si="32"/>
        <v>-3781708.4872367643</v>
      </c>
      <c r="F314" s="449">
        <f t="shared" si="33"/>
        <v>-0.26518648076399098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14213969.955269448</v>
      </c>
      <c r="D315" s="441">
        <f>D313*LN_IH8-LN_IH9</f>
        <v>18167679.929220237</v>
      </c>
      <c r="E315" s="441">
        <f t="shared" si="32"/>
        <v>3953709.9739507884</v>
      </c>
      <c r="F315" s="449">
        <f t="shared" si="33"/>
        <v>0.2781566294562946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28474532.84799996</v>
      </c>
      <c r="D318" s="441">
        <f>D314+D315+D316</f>
        <v>28646534.334713988</v>
      </c>
      <c r="E318" s="441">
        <f>D318-C318</f>
        <v>172001.48671402782</v>
      </c>
      <c r="F318" s="449">
        <f>IF(C318=0,0,E318/C318)</f>
        <v>6.0405376141617418E-3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3089943.4500814439</v>
      </c>
      <c r="D322" s="441">
        <f>LN_ID22</f>
        <v>2638543.6472531497</v>
      </c>
      <c r="E322" s="441">
        <f>LN_IV2-C322</f>
        <v>-451399.80282829423</v>
      </c>
      <c r="F322" s="449">
        <f>IF(C322=0,0,E322/C322)</f>
        <v>-0.14608675211075348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213923.40324405354</v>
      </c>
      <c r="D323" s="441">
        <f>LN_IE10+LN_IE22</f>
        <v>284620.24598100473</v>
      </c>
      <c r="E323" s="441">
        <f>LN_IV3-C323</f>
        <v>70696.842736951192</v>
      </c>
      <c r="F323" s="449">
        <f>IF(C323=0,0,E323/C323)</f>
        <v>0.33047736556573487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7210646.5785782682</v>
      </c>
      <c r="D324" s="441">
        <f>LN_IC10+LN_IC22</f>
        <v>8137177.9660970634</v>
      </c>
      <c r="E324" s="441">
        <f>LN_IV1-C324</f>
        <v>926531.38751879521</v>
      </c>
      <c r="F324" s="449">
        <f>IF(C324=0,0,E324/C324)</f>
        <v>0.12849491060501825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10514513.431903766</v>
      </c>
      <c r="D325" s="516">
        <f>LN_IV1+LN_IV2+LN_IV3</f>
        <v>11060341.859331217</v>
      </c>
      <c r="E325" s="441">
        <f>LN_IV4-C325</f>
        <v>545828.42742745019</v>
      </c>
      <c r="F325" s="449">
        <f>IF(C325=0,0,E325/C325)</f>
        <v>5.1911905478313897E-2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14608950</v>
      </c>
      <c r="D329" s="518">
        <v>18479767</v>
      </c>
      <c r="E329" s="518">
        <f t="shared" ref="E329:E335" si="34">D329-C329</f>
        <v>3870817</v>
      </c>
      <c r="F329" s="542">
        <f t="shared" ref="F329:F335" si="35">IF(C329=0,0,E329/C329)</f>
        <v>0.26496202670280888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-5450326</v>
      </c>
      <c r="D330" s="516">
        <v>2755453</v>
      </c>
      <c r="E330" s="518">
        <f t="shared" si="34"/>
        <v>8205779</v>
      </c>
      <c r="F330" s="543">
        <f t="shared" si="35"/>
        <v>-1.505557465736912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323056547</v>
      </c>
      <c r="D331" s="516">
        <v>355511000</v>
      </c>
      <c r="E331" s="518">
        <f t="shared" si="34"/>
        <v>32454453</v>
      </c>
      <c r="F331" s="542">
        <f t="shared" si="35"/>
        <v>0.10046059521585861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900265500</v>
      </c>
      <c r="D333" s="516">
        <v>945067226</v>
      </c>
      <c r="E333" s="518">
        <f t="shared" si="34"/>
        <v>44801726</v>
      </c>
      <c r="F333" s="542">
        <f t="shared" si="35"/>
        <v>4.9765014876167087E-2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962245</v>
      </c>
      <c r="D334" s="516">
        <v>0</v>
      </c>
      <c r="E334" s="516">
        <f t="shared" si="34"/>
        <v>-962245</v>
      </c>
      <c r="F334" s="543">
        <f t="shared" si="35"/>
        <v>-1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42320784</v>
      </c>
      <c r="D335" s="516">
        <v>28832929</v>
      </c>
      <c r="E335" s="516">
        <f t="shared" si="34"/>
        <v>-13487855</v>
      </c>
      <c r="F335" s="542">
        <f t="shared" si="35"/>
        <v>-0.31870522530962564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FILING&amp;RNORWALK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135016428</v>
      </c>
      <c r="D14" s="589">
        <v>132475987</v>
      </c>
      <c r="E14" s="590">
        <f t="shared" ref="E14:E22" si="0">D14-C14</f>
        <v>-2540441</v>
      </c>
    </row>
    <row r="15" spans="1:5" s="421" customFormat="1" x14ac:dyDescent="0.2">
      <c r="A15" s="588">
        <v>2</v>
      </c>
      <c r="B15" s="587" t="s">
        <v>635</v>
      </c>
      <c r="C15" s="589">
        <v>242363699</v>
      </c>
      <c r="D15" s="591">
        <v>249847526</v>
      </c>
      <c r="E15" s="590">
        <f t="shared" si="0"/>
        <v>7483827</v>
      </c>
    </row>
    <row r="16" spans="1:5" s="421" customFormat="1" x14ac:dyDescent="0.2">
      <c r="A16" s="588">
        <v>3</v>
      </c>
      <c r="B16" s="587" t="s">
        <v>777</v>
      </c>
      <c r="C16" s="589">
        <v>75670736</v>
      </c>
      <c r="D16" s="591">
        <v>77155540</v>
      </c>
      <c r="E16" s="590">
        <f t="shared" si="0"/>
        <v>1484804</v>
      </c>
    </row>
    <row r="17" spans="1:5" s="421" customFormat="1" x14ac:dyDescent="0.2">
      <c r="A17" s="588">
        <v>4</v>
      </c>
      <c r="B17" s="587" t="s">
        <v>115</v>
      </c>
      <c r="C17" s="589">
        <v>75052237</v>
      </c>
      <c r="D17" s="591">
        <v>75908806</v>
      </c>
      <c r="E17" s="590">
        <f t="shared" si="0"/>
        <v>856569</v>
      </c>
    </row>
    <row r="18" spans="1:5" s="421" customFormat="1" x14ac:dyDescent="0.2">
      <c r="A18" s="588">
        <v>5</v>
      </c>
      <c r="B18" s="587" t="s">
        <v>743</v>
      </c>
      <c r="C18" s="589">
        <v>618499</v>
      </c>
      <c r="D18" s="591">
        <v>1246734</v>
      </c>
      <c r="E18" s="590">
        <f t="shared" si="0"/>
        <v>628235</v>
      </c>
    </row>
    <row r="19" spans="1:5" s="421" customFormat="1" x14ac:dyDescent="0.2">
      <c r="A19" s="588">
        <v>6</v>
      </c>
      <c r="B19" s="587" t="s">
        <v>424</v>
      </c>
      <c r="C19" s="589">
        <v>366203</v>
      </c>
      <c r="D19" s="591">
        <v>260692</v>
      </c>
      <c r="E19" s="590">
        <f t="shared" si="0"/>
        <v>-105511</v>
      </c>
    </row>
    <row r="20" spans="1:5" s="421" customFormat="1" x14ac:dyDescent="0.2">
      <c r="A20" s="588">
        <v>7</v>
      </c>
      <c r="B20" s="587" t="s">
        <v>758</v>
      </c>
      <c r="C20" s="589">
        <v>7178824</v>
      </c>
      <c r="D20" s="591">
        <v>5833457</v>
      </c>
      <c r="E20" s="590">
        <f t="shared" si="0"/>
        <v>-1345367</v>
      </c>
    </row>
    <row r="21" spans="1:5" s="421" customFormat="1" x14ac:dyDescent="0.2">
      <c r="A21" s="588"/>
      <c r="B21" s="592" t="s">
        <v>778</v>
      </c>
      <c r="C21" s="593">
        <f>SUM(C15+C16+C19)</f>
        <v>318400638</v>
      </c>
      <c r="D21" s="593">
        <f>SUM(D15+D16+D19)</f>
        <v>327263758</v>
      </c>
      <c r="E21" s="593">
        <f t="shared" si="0"/>
        <v>8863120</v>
      </c>
    </row>
    <row r="22" spans="1:5" s="421" customFormat="1" x14ac:dyDescent="0.2">
      <c r="A22" s="588"/>
      <c r="B22" s="592" t="s">
        <v>465</v>
      </c>
      <c r="C22" s="593">
        <f>SUM(C14+C21)</f>
        <v>453417066</v>
      </c>
      <c r="D22" s="593">
        <f>SUM(D14+D21)</f>
        <v>459739745</v>
      </c>
      <c r="E22" s="593">
        <f t="shared" si="0"/>
        <v>6322679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239643951</v>
      </c>
      <c r="D25" s="589">
        <v>247512854</v>
      </c>
      <c r="E25" s="590">
        <f t="shared" ref="E25:E33" si="1">D25-C25</f>
        <v>7868903</v>
      </c>
    </row>
    <row r="26" spans="1:5" s="421" customFormat="1" x14ac:dyDescent="0.2">
      <c r="A26" s="588">
        <v>2</v>
      </c>
      <c r="B26" s="587" t="s">
        <v>635</v>
      </c>
      <c r="C26" s="589">
        <v>131993445</v>
      </c>
      <c r="D26" s="591">
        <v>152577669</v>
      </c>
      <c r="E26" s="590">
        <f t="shared" si="1"/>
        <v>20584224</v>
      </c>
    </row>
    <row r="27" spans="1:5" s="421" customFormat="1" x14ac:dyDescent="0.2">
      <c r="A27" s="588">
        <v>3</v>
      </c>
      <c r="B27" s="587" t="s">
        <v>777</v>
      </c>
      <c r="C27" s="589">
        <v>74798439</v>
      </c>
      <c r="D27" s="591">
        <v>84858716</v>
      </c>
      <c r="E27" s="590">
        <f t="shared" si="1"/>
        <v>10060277</v>
      </c>
    </row>
    <row r="28" spans="1:5" s="421" customFormat="1" x14ac:dyDescent="0.2">
      <c r="A28" s="588">
        <v>4</v>
      </c>
      <c r="B28" s="587" t="s">
        <v>115</v>
      </c>
      <c r="C28" s="589">
        <v>73913620</v>
      </c>
      <c r="D28" s="591">
        <v>84059124</v>
      </c>
      <c r="E28" s="590">
        <f t="shared" si="1"/>
        <v>10145504</v>
      </c>
    </row>
    <row r="29" spans="1:5" s="421" customFormat="1" x14ac:dyDescent="0.2">
      <c r="A29" s="588">
        <v>5</v>
      </c>
      <c r="B29" s="587" t="s">
        <v>743</v>
      </c>
      <c r="C29" s="589">
        <v>884819</v>
      </c>
      <c r="D29" s="591">
        <v>799592</v>
      </c>
      <c r="E29" s="590">
        <f t="shared" si="1"/>
        <v>-85227</v>
      </c>
    </row>
    <row r="30" spans="1:5" s="421" customFormat="1" x14ac:dyDescent="0.2">
      <c r="A30" s="588">
        <v>6</v>
      </c>
      <c r="B30" s="587" t="s">
        <v>424</v>
      </c>
      <c r="C30" s="589">
        <v>412598</v>
      </c>
      <c r="D30" s="591">
        <v>378243</v>
      </c>
      <c r="E30" s="590">
        <f t="shared" si="1"/>
        <v>-34355</v>
      </c>
    </row>
    <row r="31" spans="1:5" s="421" customFormat="1" x14ac:dyDescent="0.2">
      <c r="A31" s="588">
        <v>7</v>
      </c>
      <c r="B31" s="587" t="s">
        <v>758</v>
      </c>
      <c r="C31" s="590">
        <v>28397840</v>
      </c>
      <c r="D31" s="594">
        <v>27848639</v>
      </c>
      <c r="E31" s="590">
        <f t="shared" si="1"/>
        <v>-549201</v>
      </c>
    </row>
    <row r="32" spans="1:5" s="421" customFormat="1" x14ac:dyDescent="0.2">
      <c r="A32" s="588"/>
      <c r="B32" s="592" t="s">
        <v>780</v>
      </c>
      <c r="C32" s="593">
        <f>SUM(C26+C27+C30)</f>
        <v>207204482</v>
      </c>
      <c r="D32" s="593">
        <f>SUM(D26+D27+D30)</f>
        <v>237814628</v>
      </c>
      <c r="E32" s="593">
        <f t="shared" si="1"/>
        <v>30610146</v>
      </c>
    </row>
    <row r="33" spans="1:5" s="421" customFormat="1" x14ac:dyDescent="0.2">
      <c r="A33" s="588"/>
      <c r="B33" s="592" t="s">
        <v>467</v>
      </c>
      <c r="C33" s="593">
        <f>SUM(C25+C32)</f>
        <v>446848433</v>
      </c>
      <c r="D33" s="593">
        <f>SUM(D25+D32)</f>
        <v>485327482</v>
      </c>
      <c r="E33" s="593">
        <f t="shared" si="1"/>
        <v>38479049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374660379</v>
      </c>
      <c r="D36" s="590">
        <f t="shared" si="2"/>
        <v>379988841</v>
      </c>
      <c r="E36" s="590">
        <f t="shared" ref="E36:E44" si="3">D36-C36</f>
        <v>5328462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374357144</v>
      </c>
      <c r="D37" s="590">
        <f t="shared" si="2"/>
        <v>402425195</v>
      </c>
      <c r="E37" s="590">
        <f t="shared" si="3"/>
        <v>28068051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150469175</v>
      </c>
      <c r="D38" s="590">
        <f t="shared" si="2"/>
        <v>162014256</v>
      </c>
      <c r="E38" s="590">
        <f t="shared" si="3"/>
        <v>11545081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148965857</v>
      </c>
      <c r="D39" s="590">
        <f t="shared" si="2"/>
        <v>159967930</v>
      </c>
      <c r="E39" s="590">
        <f t="shared" si="3"/>
        <v>11002073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1503318</v>
      </c>
      <c r="D40" s="590">
        <f t="shared" si="2"/>
        <v>2046326</v>
      </c>
      <c r="E40" s="590">
        <f t="shared" si="3"/>
        <v>543008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778801</v>
      </c>
      <c r="D41" s="590">
        <f t="shared" si="2"/>
        <v>638935</v>
      </c>
      <c r="E41" s="590">
        <f t="shared" si="3"/>
        <v>-139866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35576664</v>
      </c>
      <c r="D42" s="590">
        <f t="shared" si="2"/>
        <v>33682096</v>
      </c>
      <c r="E42" s="590">
        <f t="shared" si="3"/>
        <v>-1894568</v>
      </c>
    </row>
    <row r="43" spans="1:5" s="421" customFormat="1" x14ac:dyDescent="0.2">
      <c r="A43" s="588"/>
      <c r="B43" s="592" t="s">
        <v>788</v>
      </c>
      <c r="C43" s="593">
        <f>SUM(C37+C38+C41)</f>
        <v>525605120</v>
      </c>
      <c r="D43" s="593">
        <f>SUM(D37+D38+D41)</f>
        <v>565078386</v>
      </c>
      <c r="E43" s="593">
        <f t="shared" si="3"/>
        <v>39473266</v>
      </c>
    </row>
    <row r="44" spans="1:5" s="421" customFormat="1" x14ac:dyDescent="0.2">
      <c r="A44" s="588"/>
      <c r="B44" s="592" t="s">
        <v>725</v>
      </c>
      <c r="C44" s="593">
        <f>SUM(C36+C43)</f>
        <v>900265499</v>
      </c>
      <c r="D44" s="593">
        <f>SUM(D36+D43)</f>
        <v>945067227</v>
      </c>
      <c r="E44" s="593">
        <f t="shared" si="3"/>
        <v>44801728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70572997</v>
      </c>
      <c r="D47" s="589">
        <v>74582875</v>
      </c>
      <c r="E47" s="590">
        <f t="shared" ref="E47:E55" si="4">D47-C47</f>
        <v>4009878</v>
      </c>
    </row>
    <row r="48" spans="1:5" s="421" customFormat="1" x14ac:dyDescent="0.2">
      <c r="A48" s="588">
        <v>2</v>
      </c>
      <c r="B48" s="587" t="s">
        <v>635</v>
      </c>
      <c r="C48" s="589">
        <v>70241129</v>
      </c>
      <c r="D48" s="591">
        <v>78371312</v>
      </c>
      <c r="E48" s="590">
        <f t="shared" si="4"/>
        <v>8130183</v>
      </c>
    </row>
    <row r="49" spans="1:5" s="421" customFormat="1" x14ac:dyDescent="0.2">
      <c r="A49" s="588">
        <v>3</v>
      </c>
      <c r="B49" s="587" t="s">
        <v>777</v>
      </c>
      <c r="C49" s="589">
        <v>18445714</v>
      </c>
      <c r="D49" s="591">
        <v>19011492</v>
      </c>
      <c r="E49" s="590">
        <f t="shared" si="4"/>
        <v>565778</v>
      </c>
    </row>
    <row r="50" spans="1:5" s="421" customFormat="1" x14ac:dyDescent="0.2">
      <c r="A50" s="588">
        <v>4</v>
      </c>
      <c r="B50" s="587" t="s">
        <v>115</v>
      </c>
      <c r="C50" s="589">
        <v>18310007</v>
      </c>
      <c r="D50" s="591">
        <v>18810298</v>
      </c>
      <c r="E50" s="590">
        <f t="shared" si="4"/>
        <v>500291</v>
      </c>
    </row>
    <row r="51" spans="1:5" s="421" customFormat="1" x14ac:dyDescent="0.2">
      <c r="A51" s="588">
        <v>5</v>
      </c>
      <c r="B51" s="587" t="s">
        <v>743</v>
      </c>
      <c r="C51" s="589">
        <v>135707</v>
      </c>
      <c r="D51" s="591">
        <v>201194</v>
      </c>
      <c r="E51" s="590">
        <f t="shared" si="4"/>
        <v>65487</v>
      </c>
    </row>
    <row r="52" spans="1:5" s="421" customFormat="1" x14ac:dyDescent="0.2">
      <c r="A52" s="588">
        <v>6</v>
      </c>
      <c r="B52" s="587" t="s">
        <v>424</v>
      </c>
      <c r="C52" s="589">
        <v>108891</v>
      </c>
      <c r="D52" s="591">
        <v>99570</v>
      </c>
      <c r="E52" s="590">
        <f t="shared" si="4"/>
        <v>-9321</v>
      </c>
    </row>
    <row r="53" spans="1:5" s="421" customFormat="1" x14ac:dyDescent="0.2">
      <c r="A53" s="588">
        <v>7</v>
      </c>
      <c r="B53" s="587" t="s">
        <v>758</v>
      </c>
      <c r="C53" s="589">
        <v>477473</v>
      </c>
      <c r="D53" s="591">
        <v>251805</v>
      </c>
      <c r="E53" s="590">
        <f t="shared" si="4"/>
        <v>-225668</v>
      </c>
    </row>
    <row r="54" spans="1:5" s="421" customFormat="1" x14ac:dyDescent="0.2">
      <c r="A54" s="588"/>
      <c r="B54" s="592" t="s">
        <v>790</v>
      </c>
      <c r="C54" s="593">
        <f>SUM(C48+C49+C52)</f>
        <v>88795734</v>
      </c>
      <c r="D54" s="593">
        <f>SUM(D48+D49+D52)</f>
        <v>97482374</v>
      </c>
      <c r="E54" s="593">
        <f t="shared" si="4"/>
        <v>8686640</v>
      </c>
    </row>
    <row r="55" spans="1:5" s="421" customFormat="1" x14ac:dyDescent="0.2">
      <c r="A55" s="588"/>
      <c r="B55" s="592" t="s">
        <v>466</v>
      </c>
      <c r="C55" s="593">
        <f>SUM(C47+C54)</f>
        <v>159368731</v>
      </c>
      <c r="D55" s="593">
        <f>SUM(D47+D54)</f>
        <v>172065249</v>
      </c>
      <c r="E55" s="593">
        <f t="shared" si="4"/>
        <v>12696518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124072277</v>
      </c>
      <c r="D58" s="589">
        <v>130180559</v>
      </c>
      <c r="E58" s="590">
        <f t="shared" ref="E58:E66" si="5">D58-C58</f>
        <v>6108282</v>
      </c>
    </row>
    <row r="59" spans="1:5" s="421" customFormat="1" x14ac:dyDescent="0.2">
      <c r="A59" s="588">
        <v>2</v>
      </c>
      <c r="B59" s="587" t="s">
        <v>635</v>
      </c>
      <c r="C59" s="589">
        <v>25781556</v>
      </c>
      <c r="D59" s="591">
        <v>28761475</v>
      </c>
      <c r="E59" s="590">
        <f t="shared" si="5"/>
        <v>2979919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19222592</v>
      </c>
      <c r="D60" s="591">
        <f>D61+D62</f>
        <v>21702248</v>
      </c>
      <c r="E60" s="590">
        <f t="shared" si="5"/>
        <v>2479656</v>
      </c>
    </row>
    <row r="61" spans="1:5" s="421" customFormat="1" x14ac:dyDescent="0.2">
      <c r="A61" s="588">
        <v>4</v>
      </c>
      <c r="B61" s="587" t="s">
        <v>115</v>
      </c>
      <c r="C61" s="589">
        <v>19100840</v>
      </c>
      <c r="D61" s="591">
        <v>21600771</v>
      </c>
      <c r="E61" s="590">
        <f t="shared" si="5"/>
        <v>2499931</v>
      </c>
    </row>
    <row r="62" spans="1:5" s="421" customFormat="1" x14ac:dyDescent="0.2">
      <c r="A62" s="588">
        <v>5</v>
      </c>
      <c r="B62" s="587" t="s">
        <v>743</v>
      </c>
      <c r="C62" s="589">
        <v>121752</v>
      </c>
      <c r="D62" s="591">
        <v>101477</v>
      </c>
      <c r="E62" s="590">
        <f t="shared" si="5"/>
        <v>-20275</v>
      </c>
    </row>
    <row r="63" spans="1:5" s="421" customFormat="1" x14ac:dyDescent="0.2">
      <c r="A63" s="588">
        <v>6</v>
      </c>
      <c r="B63" s="587" t="s">
        <v>424</v>
      </c>
      <c r="C63" s="589">
        <v>61717</v>
      </c>
      <c r="D63" s="591">
        <v>46016</v>
      </c>
      <c r="E63" s="590">
        <f t="shared" si="5"/>
        <v>-15701</v>
      </c>
    </row>
    <row r="64" spans="1:5" s="421" customFormat="1" x14ac:dyDescent="0.2">
      <c r="A64" s="588">
        <v>7</v>
      </c>
      <c r="B64" s="587" t="s">
        <v>758</v>
      </c>
      <c r="C64" s="589">
        <v>2259639</v>
      </c>
      <c r="D64" s="591">
        <v>1689789</v>
      </c>
      <c r="E64" s="590">
        <f t="shared" si="5"/>
        <v>-569850</v>
      </c>
    </row>
    <row r="65" spans="1:5" s="421" customFormat="1" x14ac:dyDescent="0.2">
      <c r="A65" s="588"/>
      <c r="B65" s="592" t="s">
        <v>792</v>
      </c>
      <c r="C65" s="593">
        <f>SUM(C59+C60+C63)</f>
        <v>45065865</v>
      </c>
      <c r="D65" s="593">
        <f>SUM(D59+D60+D63)</f>
        <v>50509739</v>
      </c>
      <c r="E65" s="593">
        <f t="shared" si="5"/>
        <v>5443874</v>
      </c>
    </row>
    <row r="66" spans="1:5" s="421" customFormat="1" x14ac:dyDescent="0.2">
      <c r="A66" s="588"/>
      <c r="B66" s="592" t="s">
        <v>468</v>
      </c>
      <c r="C66" s="593">
        <f>SUM(C58+C65)</f>
        <v>169138142</v>
      </c>
      <c r="D66" s="593">
        <f>SUM(D58+D65)</f>
        <v>180690298</v>
      </c>
      <c r="E66" s="593">
        <f t="shared" si="5"/>
        <v>11552156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194645274</v>
      </c>
      <c r="D69" s="590">
        <f t="shared" si="6"/>
        <v>204763434</v>
      </c>
      <c r="E69" s="590">
        <f t="shared" ref="E69:E77" si="7">D69-C69</f>
        <v>10118160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96022685</v>
      </c>
      <c r="D70" s="590">
        <f t="shared" si="6"/>
        <v>107132787</v>
      </c>
      <c r="E70" s="590">
        <f t="shared" si="7"/>
        <v>11110102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37668306</v>
      </c>
      <c r="D71" s="590">
        <f t="shared" si="6"/>
        <v>40713740</v>
      </c>
      <c r="E71" s="590">
        <f t="shared" si="7"/>
        <v>3045434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37410847</v>
      </c>
      <c r="D72" s="590">
        <f t="shared" si="6"/>
        <v>40411069</v>
      </c>
      <c r="E72" s="590">
        <f t="shared" si="7"/>
        <v>3000222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257459</v>
      </c>
      <c r="D73" s="590">
        <f t="shared" si="6"/>
        <v>302671</v>
      </c>
      <c r="E73" s="590">
        <f t="shared" si="7"/>
        <v>45212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170608</v>
      </c>
      <c r="D74" s="590">
        <f t="shared" si="6"/>
        <v>145586</v>
      </c>
      <c r="E74" s="590">
        <f t="shared" si="7"/>
        <v>-25022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2737112</v>
      </c>
      <c r="D75" s="590">
        <f t="shared" si="6"/>
        <v>1941594</v>
      </c>
      <c r="E75" s="590">
        <f t="shared" si="7"/>
        <v>-795518</v>
      </c>
    </row>
    <row r="76" spans="1:5" s="421" customFormat="1" x14ac:dyDescent="0.2">
      <c r="A76" s="588"/>
      <c r="B76" s="592" t="s">
        <v>793</v>
      </c>
      <c r="C76" s="593">
        <f>SUM(C70+C71+C74)</f>
        <v>133861599</v>
      </c>
      <c r="D76" s="593">
        <f>SUM(D70+D71+D74)</f>
        <v>147992113</v>
      </c>
      <c r="E76" s="593">
        <f t="shared" si="7"/>
        <v>14130514</v>
      </c>
    </row>
    <row r="77" spans="1:5" s="421" customFormat="1" x14ac:dyDescent="0.2">
      <c r="A77" s="588"/>
      <c r="B77" s="592" t="s">
        <v>726</v>
      </c>
      <c r="C77" s="593">
        <f>SUM(C69+C76)</f>
        <v>328506873</v>
      </c>
      <c r="D77" s="593">
        <f>SUM(D69+D76)</f>
        <v>352755547</v>
      </c>
      <c r="E77" s="593">
        <f t="shared" si="7"/>
        <v>24248674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0.14997401116667694</v>
      </c>
      <c r="D83" s="599">
        <f t="shared" si="8"/>
        <v>0.14017625753516896</v>
      </c>
      <c r="E83" s="599">
        <f t="shared" ref="E83:E91" si="9">D83-C83</f>
        <v>-9.7977536315079772E-3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0.26921358118156652</v>
      </c>
      <c r="D84" s="599">
        <f t="shared" si="8"/>
        <v>0.26437010919647519</v>
      </c>
      <c r="E84" s="599">
        <f t="shared" si="9"/>
        <v>-4.8434719850913299E-3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8.4053799778014152E-2</v>
      </c>
      <c r="D85" s="599">
        <f t="shared" si="8"/>
        <v>8.164026621145333E-2</v>
      </c>
      <c r="E85" s="599">
        <f t="shared" si="9"/>
        <v>-2.4135335665608215E-3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8.3366781336579904E-2</v>
      </c>
      <c r="D86" s="599">
        <f t="shared" si="8"/>
        <v>8.0321064820926227E-2</v>
      </c>
      <c r="E86" s="599">
        <f t="shared" si="9"/>
        <v>-3.0457165156536764E-3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6.8701844143424188E-4</v>
      </c>
      <c r="D87" s="599">
        <f t="shared" si="8"/>
        <v>1.3192013905271101E-3</v>
      </c>
      <c r="E87" s="599">
        <f t="shared" si="9"/>
        <v>6.3218294909286822E-4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4.0677222486785536E-4</v>
      </c>
      <c r="D88" s="599">
        <f t="shared" si="8"/>
        <v>2.7584492674403153E-4</v>
      </c>
      <c r="E88" s="599">
        <f t="shared" si="9"/>
        <v>-1.3092729812382383E-4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7.9741187549385358E-3</v>
      </c>
      <c r="D89" s="599">
        <f t="shared" si="8"/>
        <v>6.1725312584561777E-3</v>
      </c>
      <c r="E89" s="599">
        <f t="shared" si="9"/>
        <v>-1.8015874964823582E-3</v>
      </c>
    </row>
    <row r="90" spans="1:5" s="421" customFormat="1" x14ac:dyDescent="0.2">
      <c r="A90" s="588"/>
      <c r="B90" s="592" t="s">
        <v>796</v>
      </c>
      <c r="C90" s="600">
        <f>SUM(C84+C85+C88)</f>
        <v>0.3536741531844485</v>
      </c>
      <c r="D90" s="600">
        <f>SUM(D84+D85+D88)</f>
        <v>0.34628622033467255</v>
      </c>
      <c r="E90" s="601">
        <f t="shared" si="9"/>
        <v>-7.3879328497759578E-3</v>
      </c>
    </row>
    <row r="91" spans="1:5" s="421" customFormat="1" x14ac:dyDescent="0.2">
      <c r="A91" s="588"/>
      <c r="B91" s="592" t="s">
        <v>797</v>
      </c>
      <c r="C91" s="600">
        <f>SUM(C83+C90)</f>
        <v>0.50364816435112547</v>
      </c>
      <c r="D91" s="600">
        <f>SUM(D83+D90)</f>
        <v>0.48646247786984154</v>
      </c>
      <c r="E91" s="601">
        <f t="shared" si="9"/>
        <v>-1.7185686481283935E-2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0.26619253016603717</v>
      </c>
      <c r="D95" s="599">
        <f t="shared" si="10"/>
        <v>0.26189973255733268</v>
      </c>
      <c r="E95" s="599">
        <f t="shared" ref="E95:E103" si="11">D95-C95</f>
        <v>-4.2927976087044906E-3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0.14661613173737761</v>
      </c>
      <c r="D96" s="599">
        <f t="shared" si="10"/>
        <v>0.16144636555045835</v>
      </c>
      <c r="E96" s="599">
        <f t="shared" si="11"/>
        <v>1.483023381308074E-2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8.3084866723299816E-2</v>
      </c>
      <c r="D97" s="599">
        <f t="shared" si="10"/>
        <v>8.9791195351650893E-2</v>
      </c>
      <c r="E97" s="599">
        <f t="shared" si="11"/>
        <v>6.706328628351077E-3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8.210202443845957E-2</v>
      </c>
      <c r="D98" s="599">
        <f t="shared" si="10"/>
        <v>8.894512644019556E-2</v>
      </c>
      <c r="E98" s="599">
        <f t="shared" si="11"/>
        <v>6.84310200173599E-3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9.8284228484024128E-4</v>
      </c>
      <c r="D99" s="599">
        <f t="shared" si="10"/>
        <v>8.4606891145533292E-4</v>
      </c>
      <c r="E99" s="599">
        <f t="shared" si="11"/>
        <v>-1.3677337338490836E-4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4.5830702215991504E-4</v>
      </c>
      <c r="D100" s="599">
        <f t="shared" si="10"/>
        <v>4.0022867071656478E-4</v>
      </c>
      <c r="E100" s="599">
        <f t="shared" si="11"/>
        <v>-5.807835144335026E-5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3.1543850154808609E-2</v>
      </c>
      <c r="D101" s="599">
        <f t="shared" si="10"/>
        <v>2.9467362960412975E-2</v>
      </c>
      <c r="E101" s="599">
        <f t="shared" si="11"/>
        <v>-2.0764871943956334E-3</v>
      </c>
    </row>
    <row r="102" spans="1:5" s="421" customFormat="1" x14ac:dyDescent="0.2">
      <c r="A102" s="588"/>
      <c r="B102" s="592" t="s">
        <v>799</v>
      </c>
      <c r="C102" s="600">
        <f>SUM(C96+C97+C100)</f>
        <v>0.23015930548283733</v>
      </c>
      <c r="D102" s="600">
        <f>SUM(D96+D97+D100)</f>
        <v>0.25163778957282579</v>
      </c>
      <c r="E102" s="601">
        <f t="shared" si="11"/>
        <v>2.1478484089988453E-2</v>
      </c>
    </row>
    <row r="103" spans="1:5" s="421" customFormat="1" x14ac:dyDescent="0.2">
      <c r="A103" s="588"/>
      <c r="B103" s="592" t="s">
        <v>800</v>
      </c>
      <c r="C103" s="600">
        <f>SUM(C95+C102)</f>
        <v>0.49635183564887453</v>
      </c>
      <c r="D103" s="600">
        <f>SUM(D95+D102)</f>
        <v>0.51353752213015846</v>
      </c>
      <c r="E103" s="601">
        <f t="shared" si="11"/>
        <v>1.7185686481283935E-2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0.21482959049079012</v>
      </c>
      <c r="D109" s="599">
        <f t="shared" si="12"/>
        <v>0.21142934713369652</v>
      </c>
      <c r="E109" s="599">
        <f t="shared" ref="E109:E117" si="13">D109-C109</f>
        <v>-3.4002433570936019E-3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0.21381935896360987</v>
      </c>
      <c r="D110" s="599">
        <f t="shared" si="12"/>
        <v>0.22216890043687959</v>
      </c>
      <c r="E110" s="599">
        <f t="shared" si="13"/>
        <v>8.3495414732697171E-3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5.6150161582768469E-2</v>
      </c>
      <c r="D111" s="599">
        <f t="shared" si="12"/>
        <v>5.3894239684344356E-2</v>
      </c>
      <c r="E111" s="599">
        <f t="shared" si="13"/>
        <v>-2.2559218984241139E-3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5.5737059114741867E-2</v>
      </c>
      <c r="D112" s="599">
        <f t="shared" si="12"/>
        <v>5.3323890042188335E-2</v>
      </c>
      <c r="E112" s="599">
        <f t="shared" si="13"/>
        <v>-2.4131690725535324E-3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4.1310246802659745E-4</v>
      </c>
      <c r="D113" s="599">
        <f t="shared" si="12"/>
        <v>5.7034964215601689E-4</v>
      </c>
      <c r="E113" s="599">
        <f t="shared" si="13"/>
        <v>1.5724717412941944E-4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3.314725168626837E-4</v>
      </c>
      <c r="D114" s="599">
        <f t="shared" si="12"/>
        <v>2.8226345651199638E-4</v>
      </c>
      <c r="E114" s="599">
        <f t="shared" si="13"/>
        <v>-4.9209060350687321E-5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1.4534642628314203E-3</v>
      </c>
      <c r="D115" s="599">
        <f t="shared" si="12"/>
        <v>7.1382293529178719E-4</v>
      </c>
      <c r="E115" s="599">
        <f t="shared" si="13"/>
        <v>-7.3964132753963309E-4</v>
      </c>
    </row>
    <row r="116" spans="1:5" s="421" customFormat="1" x14ac:dyDescent="0.2">
      <c r="A116" s="588"/>
      <c r="B116" s="592" t="s">
        <v>796</v>
      </c>
      <c r="C116" s="600">
        <f>SUM(C110+C111+C114)</f>
        <v>0.27030099306324101</v>
      </c>
      <c r="D116" s="600">
        <f>SUM(D110+D111+D114)</f>
        <v>0.27634540357773596</v>
      </c>
      <c r="E116" s="601">
        <f t="shared" si="13"/>
        <v>6.0444105144949467E-3</v>
      </c>
    </row>
    <row r="117" spans="1:5" s="421" customFormat="1" x14ac:dyDescent="0.2">
      <c r="A117" s="588"/>
      <c r="B117" s="592" t="s">
        <v>797</v>
      </c>
      <c r="C117" s="600">
        <f>SUM(C109+C116)</f>
        <v>0.48513058355403116</v>
      </c>
      <c r="D117" s="600">
        <f>SUM(D109+D116)</f>
        <v>0.4877747507114325</v>
      </c>
      <c r="E117" s="601">
        <f t="shared" si="13"/>
        <v>2.6441671574013448E-3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0.37768548300662191</v>
      </c>
      <c r="D121" s="599">
        <f t="shared" si="14"/>
        <v>0.36903901329721683</v>
      </c>
      <c r="E121" s="599">
        <f t="shared" ref="E121:E129" si="15">D121-C121</f>
        <v>-8.6464697094050802E-3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7.8481024657283197E-2</v>
      </c>
      <c r="D122" s="599">
        <f t="shared" si="14"/>
        <v>8.1533728511432882E-2</v>
      </c>
      <c r="E122" s="599">
        <f t="shared" si="15"/>
        <v>3.0527038541496854E-3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5.8515037522517833E-2</v>
      </c>
      <c r="D123" s="599">
        <f t="shared" si="14"/>
        <v>6.1522060204484891E-2</v>
      </c>
      <c r="E123" s="599">
        <f t="shared" si="15"/>
        <v>3.0070226819670573E-3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5.814441513983179E-2</v>
      </c>
      <c r="D124" s="599">
        <f t="shared" si="14"/>
        <v>6.1234390738014392E-2</v>
      </c>
      <c r="E124" s="599">
        <f t="shared" si="15"/>
        <v>3.0899755981826024E-3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3.7062238268603898E-4</v>
      </c>
      <c r="D125" s="599">
        <f t="shared" si="14"/>
        <v>2.8766946647050177E-4</v>
      </c>
      <c r="E125" s="599">
        <f t="shared" si="15"/>
        <v>-8.295291621553721E-5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1.8787125954591519E-4</v>
      </c>
      <c r="D126" s="599">
        <f t="shared" si="14"/>
        <v>1.3044727543292181E-4</v>
      </c>
      <c r="E126" s="599">
        <f t="shared" si="15"/>
        <v>-5.7423984112993376E-5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6.8785136194091136E-3</v>
      </c>
      <c r="D127" s="599">
        <f t="shared" si="14"/>
        <v>4.7902549353816401E-3</v>
      </c>
      <c r="E127" s="599">
        <f t="shared" si="15"/>
        <v>-2.0882586840274735E-3</v>
      </c>
    </row>
    <row r="128" spans="1:5" s="421" customFormat="1" x14ac:dyDescent="0.2">
      <c r="A128" s="588"/>
      <c r="B128" s="592" t="s">
        <v>799</v>
      </c>
      <c r="C128" s="600">
        <f>SUM(C122+C123+C126)</f>
        <v>0.13718393343934696</v>
      </c>
      <c r="D128" s="600">
        <f>SUM(D122+D123+D126)</f>
        <v>0.14318623599135072</v>
      </c>
      <c r="E128" s="601">
        <f t="shared" si="15"/>
        <v>6.0023025520037632E-3</v>
      </c>
    </row>
    <row r="129" spans="1:5" s="421" customFormat="1" x14ac:dyDescent="0.2">
      <c r="A129" s="588"/>
      <c r="B129" s="592" t="s">
        <v>800</v>
      </c>
      <c r="C129" s="600">
        <f>SUM(C121+C128)</f>
        <v>0.51486941644596884</v>
      </c>
      <c r="D129" s="600">
        <f>SUM(D121+D128)</f>
        <v>0.5122252492885675</v>
      </c>
      <c r="E129" s="601">
        <f t="shared" si="15"/>
        <v>-2.6441671574013448E-3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4782</v>
      </c>
      <c r="D137" s="606">
        <v>4515</v>
      </c>
      <c r="E137" s="607">
        <f t="shared" ref="E137:E145" si="16">D137-C137</f>
        <v>-267</v>
      </c>
    </row>
    <row r="138" spans="1:5" s="421" customFormat="1" x14ac:dyDescent="0.2">
      <c r="A138" s="588">
        <v>2</v>
      </c>
      <c r="B138" s="587" t="s">
        <v>635</v>
      </c>
      <c r="C138" s="606">
        <v>5620</v>
      </c>
      <c r="D138" s="606">
        <v>5676</v>
      </c>
      <c r="E138" s="607">
        <f t="shared" si="16"/>
        <v>56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2698</v>
      </c>
      <c r="D139" s="606">
        <f>D140+D141</f>
        <v>2671</v>
      </c>
      <c r="E139" s="607">
        <f t="shared" si="16"/>
        <v>-27</v>
      </c>
    </row>
    <row r="140" spans="1:5" s="421" customFormat="1" x14ac:dyDescent="0.2">
      <c r="A140" s="588">
        <v>4</v>
      </c>
      <c r="B140" s="587" t="s">
        <v>115</v>
      </c>
      <c r="C140" s="606">
        <v>2675</v>
      </c>
      <c r="D140" s="606">
        <v>2638</v>
      </c>
      <c r="E140" s="607">
        <f t="shared" si="16"/>
        <v>-37</v>
      </c>
    </row>
    <row r="141" spans="1:5" s="421" customFormat="1" x14ac:dyDescent="0.2">
      <c r="A141" s="588">
        <v>5</v>
      </c>
      <c r="B141" s="587" t="s">
        <v>743</v>
      </c>
      <c r="C141" s="606">
        <v>23</v>
      </c>
      <c r="D141" s="606">
        <v>33</v>
      </c>
      <c r="E141" s="607">
        <f t="shared" si="16"/>
        <v>10</v>
      </c>
    </row>
    <row r="142" spans="1:5" s="421" customFormat="1" x14ac:dyDescent="0.2">
      <c r="A142" s="588">
        <v>6</v>
      </c>
      <c r="B142" s="587" t="s">
        <v>424</v>
      </c>
      <c r="C142" s="606">
        <v>10</v>
      </c>
      <c r="D142" s="606">
        <v>15</v>
      </c>
      <c r="E142" s="607">
        <f t="shared" si="16"/>
        <v>5</v>
      </c>
    </row>
    <row r="143" spans="1:5" s="421" customFormat="1" x14ac:dyDescent="0.2">
      <c r="A143" s="588">
        <v>7</v>
      </c>
      <c r="B143" s="587" t="s">
        <v>758</v>
      </c>
      <c r="C143" s="606">
        <v>231</v>
      </c>
      <c r="D143" s="606">
        <v>203</v>
      </c>
      <c r="E143" s="607">
        <f t="shared" si="16"/>
        <v>-28</v>
      </c>
    </row>
    <row r="144" spans="1:5" s="421" customFormat="1" x14ac:dyDescent="0.2">
      <c r="A144" s="588"/>
      <c r="B144" s="592" t="s">
        <v>807</v>
      </c>
      <c r="C144" s="608">
        <f>SUM(C138+C139+C142)</f>
        <v>8328</v>
      </c>
      <c r="D144" s="608">
        <f>SUM(D138+D139+D142)</f>
        <v>8362</v>
      </c>
      <c r="E144" s="609">
        <f t="shared" si="16"/>
        <v>34</v>
      </c>
    </row>
    <row r="145" spans="1:5" s="421" customFormat="1" x14ac:dyDescent="0.2">
      <c r="A145" s="588"/>
      <c r="B145" s="592" t="s">
        <v>138</v>
      </c>
      <c r="C145" s="608">
        <f>SUM(C137+C144)</f>
        <v>13110</v>
      </c>
      <c r="D145" s="608">
        <f>SUM(D137+D144)</f>
        <v>12877</v>
      </c>
      <c r="E145" s="609">
        <f t="shared" si="16"/>
        <v>-233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16795</v>
      </c>
      <c r="D149" s="610">
        <v>16025</v>
      </c>
      <c r="E149" s="607">
        <f t="shared" ref="E149:E157" si="17">D149-C149</f>
        <v>-770</v>
      </c>
    </row>
    <row r="150" spans="1:5" s="421" customFormat="1" x14ac:dyDescent="0.2">
      <c r="A150" s="588">
        <v>2</v>
      </c>
      <c r="B150" s="587" t="s">
        <v>635</v>
      </c>
      <c r="C150" s="610">
        <v>31213</v>
      </c>
      <c r="D150" s="610">
        <v>31093</v>
      </c>
      <c r="E150" s="607">
        <f t="shared" si="17"/>
        <v>-120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11012</v>
      </c>
      <c r="D151" s="610">
        <f>D152+D153</f>
        <v>10855</v>
      </c>
      <c r="E151" s="607">
        <f t="shared" si="17"/>
        <v>-157</v>
      </c>
    </row>
    <row r="152" spans="1:5" s="421" customFormat="1" x14ac:dyDescent="0.2">
      <c r="A152" s="588">
        <v>4</v>
      </c>
      <c r="B152" s="587" t="s">
        <v>115</v>
      </c>
      <c r="C152" s="610">
        <v>10923</v>
      </c>
      <c r="D152" s="610">
        <v>10687</v>
      </c>
      <c r="E152" s="607">
        <f t="shared" si="17"/>
        <v>-236</v>
      </c>
    </row>
    <row r="153" spans="1:5" s="421" customFormat="1" x14ac:dyDescent="0.2">
      <c r="A153" s="588">
        <v>5</v>
      </c>
      <c r="B153" s="587" t="s">
        <v>743</v>
      </c>
      <c r="C153" s="611">
        <v>89</v>
      </c>
      <c r="D153" s="610">
        <v>168</v>
      </c>
      <c r="E153" s="607">
        <f t="shared" si="17"/>
        <v>79</v>
      </c>
    </row>
    <row r="154" spans="1:5" s="421" customFormat="1" x14ac:dyDescent="0.2">
      <c r="A154" s="588">
        <v>6</v>
      </c>
      <c r="B154" s="587" t="s">
        <v>424</v>
      </c>
      <c r="C154" s="610">
        <v>51</v>
      </c>
      <c r="D154" s="610">
        <v>38</v>
      </c>
      <c r="E154" s="607">
        <f t="shared" si="17"/>
        <v>-13</v>
      </c>
    </row>
    <row r="155" spans="1:5" s="421" customFormat="1" x14ac:dyDescent="0.2">
      <c r="A155" s="588">
        <v>7</v>
      </c>
      <c r="B155" s="587" t="s">
        <v>758</v>
      </c>
      <c r="C155" s="610">
        <v>847</v>
      </c>
      <c r="D155" s="610">
        <v>784</v>
      </c>
      <c r="E155" s="607">
        <f t="shared" si="17"/>
        <v>-63</v>
      </c>
    </row>
    <row r="156" spans="1:5" s="421" customFormat="1" x14ac:dyDescent="0.2">
      <c r="A156" s="588"/>
      <c r="B156" s="592" t="s">
        <v>808</v>
      </c>
      <c r="C156" s="608">
        <f>SUM(C150+C151+C154)</f>
        <v>42276</v>
      </c>
      <c r="D156" s="608">
        <f>SUM(D150+D151+D154)</f>
        <v>41986</v>
      </c>
      <c r="E156" s="609">
        <f t="shared" si="17"/>
        <v>-290</v>
      </c>
    </row>
    <row r="157" spans="1:5" s="421" customFormat="1" x14ac:dyDescent="0.2">
      <c r="A157" s="588"/>
      <c r="B157" s="592" t="s">
        <v>140</v>
      </c>
      <c r="C157" s="608">
        <f>SUM(C149+C156)</f>
        <v>59071</v>
      </c>
      <c r="D157" s="608">
        <f>SUM(D149+D156)</f>
        <v>58011</v>
      </c>
      <c r="E157" s="609">
        <f t="shared" si="17"/>
        <v>-1060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3.5121288163948137</v>
      </c>
      <c r="D161" s="612">
        <f t="shared" si="18"/>
        <v>3.5492801771871538</v>
      </c>
      <c r="E161" s="613">
        <f t="shared" ref="E161:E169" si="19">D161-C161</f>
        <v>3.715136079234016E-2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5.5539145907473308</v>
      </c>
      <c r="D162" s="612">
        <f t="shared" si="18"/>
        <v>5.4779774489076818</v>
      </c>
      <c r="E162" s="613">
        <f t="shared" si="19"/>
        <v>-7.5937141839649058E-2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4.0815418828762047</v>
      </c>
      <c r="D163" s="612">
        <f t="shared" si="18"/>
        <v>4.0640209659303634</v>
      </c>
      <c r="E163" s="613">
        <f t="shared" si="19"/>
        <v>-1.7520916945841236E-2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4.0833644859813081</v>
      </c>
      <c r="D164" s="612">
        <f t="shared" si="18"/>
        <v>4.0511751326762697</v>
      </c>
      <c r="E164" s="613">
        <f t="shared" si="19"/>
        <v>-3.218935330503836E-2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3.8695652173913042</v>
      </c>
      <c r="D165" s="612">
        <f t="shared" si="18"/>
        <v>5.0909090909090908</v>
      </c>
      <c r="E165" s="613">
        <f t="shared" si="19"/>
        <v>1.2213438735177866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5.0999999999999996</v>
      </c>
      <c r="D166" s="612">
        <f t="shared" si="18"/>
        <v>2.5333333333333332</v>
      </c>
      <c r="E166" s="613">
        <f t="shared" si="19"/>
        <v>-2.5666666666666664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3.6666666666666665</v>
      </c>
      <c r="D167" s="612">
        <f t="shared" si="18"/>
        <v>3.8620689655172415</v>
      </c>
      <c r="E167" s="613">
        <f t="shared" si="19"/>
        <v>0.19540229885057503</v>
      </c>
    </row>
    <row r="168" spans="1:5" s="421" customFormat="1" x14ac:dyDescent="0.2">
      <c r="A168" s="588"/>
      <c r="B168" s="592" t="s">
        <v>810</v>
      </c>
      <c r="C168" s="614">
        <f t="shared" si="18"/>
        <v>5.076368876080692</v>
      </c>
      <c r="D168" s="614">
        <f t="shared" si="18"/>
        <v>5.0210475962688355</v>
      </c>
      <c r="E168" s="615">
        <f t="shared" si="19"/>
        <v>-5.5321279811856527E-2</v>
      </c>
    </row>
    <row r="169" spans="1:5" s="421" customFormat="1" x14ac:dyDescent="0.2">
      <c r="A169" s="588"/>
      <c r="B169" s="592" t="s">
        <v>744</v>
      </c>
      <c r="C169" s="614">
        <f t="shared" si="18"/>
        <v>4.505797101449275</v>
      </c>
      <c r="D169" s="614">
        <f t="shared" si="18"/>
        <v>4.5050089306515488</v>
      </c>
      <c r="E169" s="615">
        <f t="shared" si="19"/>
        <v>-7.8817079772619536E-4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1.06088</v>
      </c>
      <c r="D173" s="617">
        <f t="shared" si="20"/>
        <v>1.0504100000000001</v>
      </c>
      <c r="E173" s="618">
        <f t="shared" ref="E173:E181" si="21">D173-C173</f>
        <v>-1.0469999999999979E-2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1.4339</v>
      </c>
      <c r="D174" s="617">
        <f t="shared" si="20"/>
        <v>1.41479</v>
      </c>
      <c r="E174" s="618">
        <f t="shared" si="21"/>
        <v>-1.910999999999996E-2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0.95825070422535208</v>
      </c>
      <c r="D175" s="617">
        <f t="shared" si="20"/>
        <v>0.93491506551853243</v>
      </c>
      <c r="E175" s="618">
        <f t="shared" si="21"/>
        <v>-2.333563870681965E-2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0.95816000000000001</v>
      </c>
      <c r="D176" s="617">
        <f t="shared" si="20"/>
        <v>0.93061999999999989</v>
      </c>
      <c r="E176" s="618">
        <f t="shared" si="21"/>
        <v>-2.754000000000012E-2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0.96879999999999999</v>
      </c>
      <c r="D177" s="617">
        <f t="shared" si="20"/>
        <v>1.27826</v>
      </c>
      <c r="E177" s="618">
        <f t="shared" si="21"/>
        <v>0.30945999999999996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1.3916299999999999</v>
      </c>
      <c r="D178" s="617">
        <f t="shared" si="20"/>
        <v>0.68359999999999999</v>
      </c>
      <c r="E178" s="618">
        <f t="shared" si="21"/>
        <v>-0.70802999999999994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1.11775</v>
      </c>
      <c r="D179" s="617">
        <f t="shared" si="20"/>
        <v>1.0284199999999999</v>
      </c>
      <c r="E179" s="618">
        <f t="shared" si="21"/>
        <v>-8.9330000000000132E-2</v>
      </c>
    </row>
    <row r="180" spans="1:5" s="421" customFormat="1" x14ac:dyDescent="0.2">
      <c r="A180" s="588"/>
      <c r="B180" s="592" t="s">
        <v>812</v>
      </c>
      <c r="C180" s="619">
        <f t="shared" si="20"/>
        <v>1.279754406820365</v>
      </c>
      <c r="D180" s="619">
        <f t="shared" si="20"/>
        <v>1.2601961468548195</v>
      </c>
      <c r="E180" s="620">
        <f t="shared" si="21"/>
        <v>-1.9558259965545499E-2</v>
      </c>
    </row>
    <row r="181" spans="1:5" s="421" customFormat="1" x14ac:dyDescent="0.2">
      <c r="A181" s="588"/>
      <c r="B181" s="592" t="s">
        <v>723</v>
      </c>
      <c r="C181" s="619">
        <f t="shared" si="20"/>
        <v>1.1999178382913807</v>
      </c>
      <c r="D181" s="619">
        <f t="shared" si="20"/>
        <v>1.1866398485672129</v>
      </c>
      <c r="E181" s="620">
        <f t="shared" si="21"/>
        <v>-1.3277989724167716E-2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339083715</v>
      </c>
      <c r="D185" s="589">
        <v>346306745</v>
      </c>
      <c r="E185" s="590">
        <f>D185-C185</f>
        <v>7223030</v>
      </c>
    </row>
    <row r="186" spans="1:5" s="421" customFormat="1" ht="25.5" x14ac:dyDescent="0.2">
      <c r="A186" s="588">
        <v>2</v>
      </c>
      <c r="B186" s="587" t="s">
        <v>815</v>
      </c>
      <c r="C186" s="589">
        <v>191908163</v>
      </c>
      <c r="D186" s="589">
        <v>202821840</v>
      </c>
      <c r="E186" s="590">
        <f>D186-C186</f>
        <v>10913677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147175552</v>
      </c>
      <c r="D188" s="622">
        <f>+D185-D186</f>
        <v>143484905</v>
      </c>
      <c r="E188" s="590">
        <f t="shared" ref="E188:E197" si="22">D188-C188</f>
        <v>-3690647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0.4340389865080958</v>
      </c>
      <c r="D189" s="623">
        <f>IF(D185=0,0,+D188/D185)</f>
        <v>0.41432893546442473</v>
      </c>
      <c r="E189" s="599">
        <f t="shared" si="22"/>
        <v>-1.9710051043671073E-2</v>
      </c>
    </row>
    <row r="190" spans="1:5" s="421" customFormat="1" x14ac:dyDescent="0.2">
      <c r="A190" s="588">
        <v>5</v>
      </c>
      <c r="B190" s="587" t="s">
        <v>762</v>
      </c>
      <c r="C190" s="589">
        <v>14608950</v>
      </c>
      <c r="D190" s="589">
        <v>18479767</v>
      </c>
      <c r="E190" s="622">
        <f t="shared" si="22"/>
        <v>3870817</v>
      </c>
    </row>
    <row r="191" spans="1:5" s="421" customFormat="1" x14ac:dyDescent="0.2">
      <c r="A191" s="588">
        <v>6</v>
      </c>
      <c r="B191" s="587" t="s">
        <v>748</v>
      </c>
      <c r="C191" s="589">
        <v>9573325</v>
      </c>
      <c r="D191" s="589">
        <v>12193961</v>
      </c>
      <c r="E191" s="622">
        <f t="shared" si="22"/>
        <v>2620636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16801601</v>
      </c>
      <c r="D193" s="589">
        <v>15719561</v>
      </c>
      <c r="E193" s="622">
        <f t="shared" si="22"/>
        <v>-1082040</v>
      </c>
    </row>
    <row r="194" spans="1:5" s="421" customFormat="1" x14ac:dyDescent="0.2">
      <c r="A194" s="588">
        <v>9</v>
      </c>
      <c r="B194" s="587" t="s">
        <v>818</v>
      </c>
      <c r="C194" s="589">
        <v>24556938</v>
      </c>
      <c r="D194" s="589">
        <v>13113368</v>
      </c>
      <c r="E194" s="622">
        <f t="shared" si="22"/>
        <v>-11443570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41358539</v>
      </c>
      <c r="D195" s="589">
        <f>+D193+D194</f>
        <v>28832929</v>
      </c>
      <c r="E195" s="625">
        <f t="shared" si="22"/>
        <v>-12525610</v>
      </c>
    </row>
    <row r="196" spans="1:5" s="421" customFormat="1" x14ac:dyDescent="0.2">
      <c r="A196" s="588">
        <v>11</v>
      </c>
      <c r="B196" s="587" t="s">
        <v>820</v>
      </c>
      <c r="C196" s="589">
        <v>15792359</v>
      </c>
      <c r="D196" s="589">
        <v>14524481</v>
      </c>
      <c r="E196" s="622">
        <f t="shared" si="22"/>
        <v>-1267878</v>
      </c>
    </row>
    <row r="197" spans="1:5" s="421" customFormat="1" x14ac:dyDescent="0.2">
      <c r="A197" s="588">
        <v>12</v>
      </c>
      <c r="B197" s="587" t="s">
        <v>710</v>
      </c>
      <c r="C197" s="589">
        <v>311061228</v>
      </c>
      <c r="D197" s="589">
        <v>354816000</v>
      </c>
      <c r="E197" s="622">
        <f t="shared" si="22"/>
        <v>43754772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5073.1281600000002</v>
      </c>
      <c r="D203" s="629">
        <v>4742.6011500000004</v>
      </c>
      <c r="E203" s="630">
        <f t="shared" ref="E203:E211" si="23">D203-C203</f>
        <v>-330.52700999999979</v>
      </c>
    </row>
    <row r="204" spans="1:5" s="421" customFormat="1" x14ac:dyDescent="0.2">
      <c r="A204" s="588">
        <v>2</v>
      </c>
      <c r="B204" s="587" t="s">
        <v>635</v>
      </c>
      <c r="C204" s="629">
        <v>8058.518</v>
      </c>
      <c r="D204" s="629">
        <v>8030.3480399999999</v>
      </c>
      <c r="E204" s="630">
        <f t="shared" si="23"/>
        <v>-28.169960000000174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2585.3604</v>
      </c>
      <c r="D205" s="629">
        <f>D206+D207</f>
        <v>2497.15814</v>
      </c>
      <c r="E205" s="630">
        <f t="shared" si="23"/>
        <v>-88.202260000000024</v>
      </c>
    </row>
    <row r="206" spans="1:5" s="421" customFormat="1" x14ac:dyDescent="0.2">
      <c r="A206" s="588">
        <v>4</v>
      </c>
      <c r="B206" s="587" t="s">
        <v>115</v>
      </c>
      <c r="C206" s="629">
        <v>2563.078</v>
      </c>
      <c r="D206" s="629">
        <v>2454.9755599999999</v>
      </c>
      <c r="E206" s="630">
        <f t="shared" si="23"/>
        <v>-108.10244000000012</v>
      </c>
    </row>
    <row r="207" spans="1:5" s="421" customFormat="1" x14ac:dyDescent="0.2">
      <c r="A207" s="588">
        <v>5</v>
      </c>
      <c r="B207" s="587" t="s">
        <v>743</v>
      </c>
      <c r="C207" s="629">
        <v>22.282399999999999</v>
      </c>
      <c r="D207" s="629">
        <v>42.182580000000002</v>
      </c>
      <c r="E207" s="630">
        <f t="shared" si="23"/>
        <v>19.900180000000002</v>
      </c>
    </row>
    <row r="208" spans="1:5" s="421" customFormat="1" x14ac:dyDescent="0.2">
      <c r="A208" s="588">
        <v>6</v>
      </c>
      <c r="B208" s="587" t="s">
        <v>424</v>
      </c>
      <c r="C208" s="629">
        <v>13.9163</v>
      </c>
      <c r="D208" s="629">
        <v>10.254</v>
      </c>
      <c r="E208" s="630">
        <f t="shared" si="23"/>
        <v>-3.6623000000000001</v>
      </c>
    </row>
    <row r="209" spans="1:5" s="421" customFormat="1" x14ac:dyDescent="0.2">
      <c r="A209" s="588">
        <v>7</v>
      </c>
      <c r="B209" s="587" t="s">
        <v>758</v>
      </c>
      <c r="C209" s="629">
        <v>258.20024999999998</v>
      </c>
      <c r="D209" s="629">
        <v>208.76925999999997</v>
      </c>
      <c r="E209" s="630">
        <f t="shared" si="23"/>
        <v>-49.430990000000008</v>
      </c>
    </row>
    <row r="210" spans="1:5" s="421" customFormat="1" x14ac:dyDescent="0.2">
      <c r="A210" s="588"/>
      <c r="B210" s="592" t="s">
        <v>823</v>
      </c>
      <c r="C210" s="631">
        <f>C204+C205+C208</f>
        <v>10657.7947</v>
      </c>
      <c r="D210" s="631">
        <f>D204+D205+D208</f>
        <v>10537.760180000001</v>
      </c>
      <c r="E210" s="632">
        <f t="shared" si="23"/>
        <v>-120.03451999999925</v>
      </c>
    </row>
    <row r="211" spans="1:5" s="421" customFormat="1" x14ac:dyDescent="0.2">
      <c r="A211" s="588"/>
      <c r="B211" s="592" t="s">
        <v>724</v>
      </c>
      <c r="C211" s="631">
        <f>C210+C203</f>
        <v>15730.922860000001</v>
      </c>
      <c r="D211" s="631">
        <f>D210+D203</f>
        <v>15280.361330000002</v>
      </c>
      <c r="E211" s="632">
        <f t="shared" si="23"/>
        <v>-450.56152999999904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8487.6884291591541</v>
      </c>
      <c r="D215" s="633">
        <f>IF(D14*D137=0,0,D25/D14*D137)</f>
        <v>8435.6460451206149</v>
      </c>
      <c r="E215" s="633">
        <f t="shared" ref="E215:E223" si="24">D215-C215</f>
        <v>-52.04238403853924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3060.7024235093886</v>
      </c>
      <c r="D216" s="633">
        <f>IF(D15*D138=0,0,D26/D15*D138)</f>
        <v>3466.2374413265156</v>
      </c>
      <c r="E216" s="633">
        <f t="shared" si="24"/>
        <v>405.53501781712703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2667.3211815495038</v>
      </c>
      <c r="D217" s="633">
        <f>D218+D219</f>
        <v>2942.4062225713715</v>
      </c>
      <c r="E217" s="633">
        <f t="shared" si="24"/>
        <v>275.08504102186771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2634.4175923763605</v>
      </c>
      <c r="D218" s="633">
        <f t="shared" si="25"/>
        <v>2921.2416950939787</v>
      </c>
      <c r="E218" s="633">
        <f t="shared" si="24"/>
        <v>286.82410271761819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32.903589173143367</v>
      </c>
      <c r="D219" s="633">
        <f t="shared" si="25"/>
        <v>21.16452747739293</v>
      </c>
      <c r="E219" s="633">
        <f t="shared" si="24"/>
        <v>-11.739061695750436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11.266920260074331</v>
      </c>
      <c r="D220" s="633">
        <f t="shared" si="25"/>
        <v>21.763786383931997</v>
      </c>
      <c r="E220" s="633">
        <f t="shared" si="24"/>
        <v>10.496866123857666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913.78490961750833</v>
      </c>
      <c r="D221" s="633">
        <f t="shared" si="25"/>
        <v>969.1120920236491</v>
      </c>
      <c r="E221" s="633">
        <f t="shared" si="24"/>
        <v>55.327182406140764</v>
      </c>
    </row>
    <row r="222" spans="1:5" s="421" customFormat="1" x14ac:dyDescent="0.2">
      <c r="A222" s="588"/>
      <c r="B222" s="592" t="s">
        <v>825</v>
      </c>
      <c r="C222" s="634">
        <f>C216+C218+C219+C220</f>
        <v>5739.2905253189674</v>
      </c>
      <c r="D222" s="634">
        <f>D216+D218+D219+D220</f>
        <v>6430.4074502818185</v>
      </c>
      <c r="E222" s="634">
        <f t="shared" si="24"/>
        <v>691.11692496285104</v>
      </c>
    </row>
    <row r="223" spans="1:5" s="421" customFormat="1" x14ac:dyDescent="0.2">
      <c r="A223" s="588"/>
      <c r="B223" s="592" t="s">
        <v>826</v>
      </c>
      <c r="C223" s="634">
        <f>C215+C222</f>
        <v>14226.978954478122</v>
      </c>
      <c r="D223" s="634">
        <f>D215+D222</f>
        <v>14866.053495402433</v>
      </c>
      <c r="E223" s="634">
        <f t="shared" si="24"/>
        <v>639.0745409243118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13911.140182983274</v>
      </c>
      <c r="D227" s="636">
        <f t="shared" si="26"/>
        <v>15726.153779556182</v>
      </c>
      <c r="E227" s="636">
        <f t="shared" ref="E227:E235" si="27">D227-C227</f>
        <v>1815.0135965729078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8716.382962723419</v>
      </c>
      <c r="D228" s="636">
        <f t="shared" si="26"/>
        <v>9759.3916987936682</v>
      </c>
      <c r="E228" s="636">
        <f t="shared" si="27"/>
        <v>1043.0087360702491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7134.6780123962599</v>
      </c>
      <c r="D229" s="636">
        <f t="shared" si="26"/>
        <v>7613.2511175283435</v>
      </c>
      <c r="E229" s="636">
        <f t="shared" si="27"/>
        <v>478.57310513208358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7143.7572325149686</v>
      </c>
      <c r="D230" s="636">
        <f t="shared" si="26"/>
        <v>7662.1121230225208</v>
      </c>
      <c r="E230" s="636">
        <f t="shared" si="27"/>
        <v>518.35489050755223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6090.3224069220551</v>
      </c>
      <c r="D231" s="636">
        <f t="shared" si="26"/>
        <v>4769.5992042212683</v>
      </c>
      <c r="E231" s="636">
        <f t="shared" si="27"/>
        <v>-1320.7232027007867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7824.7091540136389</v>
      </c>
      <c r="D232" s="636">
        <f t="shared" si="26"/>
        <v>9710.3569338794623</v>
      </c>
      <c r="E232" s="636">
        <f t="shared" si="27"/>
        <v>1885.6477798658234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1849.2352350549622</v>
      </c>
      <c r="D233" s="636">
        <f t="shared" si="26"/>
        <v>1206.140214320825</v>
      </c>
      <c r="E233" s="636">
        <f t="shared" si="27"/>
        <v>-643.09502073413728</v>
      </c>
    </row>
    <row r="234" spans="1:5" x14ac:dyDescent="0.2">
      <c r="A234" s="588"/>
      <c r="B234" s="592" t="s">
        <v>828</v>
      </c>
      <c r="C234" s="637">
        <f t="shared" si="26"/>
        <v>8331.529786363777</v>
      </c>
      <c r="D234" s="637">
        <f t="shared" si="26"/>
        <v>9250.7679369108573</v>
      </c>
      <c r="E234" s="637">
        <f t="shared" si="27"/>
        <v>919.23815054708029</v>
      </c>
    </row>
    <row r="235" spans="1:5" s="421" customFormat="1" x14ac:dyDescent="0.2">
      <c r="A235" s="588"/>
      <c r="B235" s="592" t="s">
        <v>829</v>
      </c>
      <c r="C235" s="637">
        <f t="shared" si="26"/>
        <v>10130.920634366394</v>
      </c>
      <c r="D235" s="637">
        <f t="shared" si="26"/>
        <v>11260.548444111955</v>
      </c>
      <c r="E235" s="637">
        <f t="shared" si="27"/>
        <v>1129.6278097455615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14617.911347187777</v>
      </c>
      <c r="D239" s="636">
        <f t="shared" si="28"/>
        <v>15432.197878347401</v>
      </c>
      <c r="E239" s="638">
        <f t="shared" ref="E239:E247" si="29">D239-C239</f>
        <v>814.28653115962334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8423.411502526591</v>
      </c>
      <c r="D240" s="636">
        <f t="shared" si="28"/>
        <v>8297.6066951123503</v>
      </c>
      <c r="E240" s="638">
        <f t="shared" si="29"/>
        <v>-125.80480741424071</v>
      </c>
    </row>
    <row r="241" spans="1:5" x14ac:dyDescent="0.2">
      <c r="A241" s="588">
        <v>3</v>
      </c>
      <c r="B241" s="587" t="s">
        <v>777</v>
      </c>
      <c r="C241" s="636">
        <f t="shared" si="28"/>
        <v>7206.7031645709749</v>
      </c>
      <c r="D241" s="636">
        <f t="shared" si="28"/>
        <v>7375.6804324028335</v>
      </c>
      <c r="E241" s="638">
        <f t="shared" si="29"/>
        <v>168.97726783185863</v>
      </c>
    </row>
    <row r="242" spans="1:5" x14ac:dyDescent="0.2">
      <c r="A242" s="588">
        <v>4</v>
      </c>
      <c r="B242" s="587" t="s">
        <v>115</v>
      </c>
      <c r="C242" s="636">
        <f t="shared" si="28"/>
        <v>7250.4981956069469</v>
      </c>
      <c r="D242" s="636">
        <f t="shared" si="28"/>
        <v>7394.379943390848</v>
      </c>
      <c r="E242" s="638">
        <f t="shared" si="29"/>
        <v>143.88174778390112</v>
      </c>
    </row>
    <row r="243" spans="1:5" x14ac:dyDescent="0.2">
      <c r="A243" s="588">
        <v>5</v>
      </c>
      <c r="B243" s="587" t="s">
        <v>743</v>
      </c>
      <c r="C243" s="636">
        <f t="shared" si="28"/>
        <v>3700.2650184854806</v>
      </c>
      <c r="D243" s="636">
        <f t="shared" si="28"/>
        <v>4794.6735455536873</v>
      </c>
      <c r="E243" s="638">
        <f t="shared" si="29"/>
        <v>1094.4085270682067</v>
      </c>
    </row>
    <row r="244" spans="1:5" x14ac:dyDescent="0.2">
      <c r="A244" s="588">
        <v>6</v>
      </c>
      <c r="B244" s="587" t="s">
        <v>424</v>
      </c>
      <c r="C244" s="636">
        <f t="shared" si="28"/>
        <v>5477.7169426415057</v>
      </c>
      <c r="D244" s="636">
        <f t="shared" si="28"/>
        <v>2114.337973560207</v>
      </c>
      <c r="E244" s="638">
        <f t="shared" si="29"/>
        <v>-3363.3789690812987</v>
      </c>
    </row>
    <row r="245" spans="1:5" x14ac:dyDescent="0.2">
      <c r="A245" s="588">
        <v>7</v>
      </c>
      <c r="B245" s="587" t="s">
        <v>758</v>
      </c>
      <c r="C245" s="636">
        <f t="shared" si="28"/>
        <v>2472.8346640631639</v>
      </c>
      <c r="D245" s="636">
        <f t="shared" si="28"/>
        <v>1743.6465955877934</v>
      </c>
      <c r="E245" s="638">
        <f t="shared" si="29"/>
        <v>-729.18806847537053</v>
      </c>
    </row>
    <row r="246" spans="1:5" ht="25.5" x14ac:dyDescent="0.2">
      <c r="A246" s="588"/>
      <c r="B246" s="592" t="s">
        <v>831</v>
      </c>
      <c r="C246" s="637">
        <f t="shared" si="28"/>
        <v>7852.1665354265042</v>
      </c>
      <c r="D246" s="637">
        <f t="shared" si="28"/>
        <v>7854.827145951127</v>
      </c>
      <c r="E246" s="639">
        <f t="shared" si="29"/>
        <v>2.6606105246228253</v>
      </c>
    </row>
    <row r="247" spans="1:5" x14ac:dyDescent="0.2">
      <c r="A247" s="588"/>
      <c r="B247" s="592" t="s">
        <v>832</v>
      </c>
      <c r="C247" s="637">
        <f t="shared" si="28"/>
        <v>11888.549392052179</v>
      </c>
      <c r="D247" s="637">
        <f t="shared" si="28"/>
        <v>12154.557230396176</v>
      </c>
      <c r="E247" s="639">
        <f t="shared" si="29"/>
        <v>266.00783834399772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3089943.4500814439</v>
      </c>
      <c r="D251" s="622">
        <f>((IF((IF(D15=0,0,D26/D15)*D138)=0,0,D59/(IF(D15=0,0,D26/D15)*D138)))-(IF((IF(D17=0,0,D28/D17)*D140)=0,0,D61/(IF(D17=0,0,D28/D17)*D140))))*(IF(D17=0,0,D28/D17)*D140)</f>
        <v>2638543.6472531497</v>
      </c>
      <c r="E251" s="622">
        <f>D251-C251</f>
        <v>-451399.80282829423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213923.40324405354</v>
      </c>
      <c r="D252" s="622">
        <f>IF(D231=0,0,(D228-D231)*D207)+IF(D243=0,0,(D240-D243)*D219)</f>
        <v>284620.24598100473</v>
      </c>
      <c r="E252" s="622">
        <f>D252-C252</f>
        <v>70696.842736951192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7210646.5785782682</v>
      </c>
      <c r="D253" s="622">
        <f>IF(D233=0,0,(D228-D233)*D209+IF(D221=0,0,(D240-D245)*D221))</f>
        <v>8137177.9660970634</v>
      </c>
      <c r="E253" s="622">
        <f>D253-C253</f>
        <v>926531.38751879521</v>
      </c>
    </row>
    <row r="254" spans="1:5" ht="15" customHeight="1" x14ac:dyDescent="0.2">
      <c r="A254" s="588"/>
      <c r="B254" s="592" t="s">
        <v>759</v>
      </c>
      <c r="C254" s="640">
        <f>+C251+C252+C253</f>
        <v>10514513.431903765</v>
      </c>
      <c r="D254" s="640">
        <f>+D251+D252+D253</f>
        <v>11060341.859331217</v>
      </c>
      <c r="E254" s="640">
        <f>D254-C254</f>
        <v>545828.42742745206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900265499</v>
      </c>
      <c r="D258" s="625">
        <f>+D44</f>
        <v>945067227</v>
      </c>
      <c r="E258" s="622">
        <f t="shared" ref="E258:E271" si="30">D258-C258</f>
        <v>44801728</v>
      </c>
    </row>
    <row r="259" spans="1:5" x14ac:dyDescent="0.2">
      <c r="A259" s="588">
        <v>2</v>
      </c>
      <c r="B259" s="587" t="s">
        <v>742</v>
      </c>
      <c r="C259" s="622">
        <f>+(C43-C76)</f>
        <v>391743521</v>
      </c>
      <c r="D259" s="625">
        <f>+(D43-D76)</f>
        <v>417086273</v>
      </c>
      <c r="E259" s="622">
        <f t="shared" si="30"/>
        <v>25342752</v>
      </c>
    </row>
    <row r="260" spans="1:5" x14ac:dyDescent="0.2">
      <c r="A260" s="588">
        <v>3</v>
      </c>
      <c r="B260" s="587" t="s">
        <v>746</v>
      </c>
      <c r="C260" s="622">
        <f>C195</f>
        <v>41358539</v>
      </c>
      <c r="D260" s="622">
        <f>D195</f>
        <v>28832929</v>
      </c>
      <c r="E260" s="622">
        <f t="shared" si="30"/>
        <v>-12525610</v>
      </c>
    </row>
    <row r="261" spans="1:5" x14ac:dyDescent="0.2">
      <c r="A261" s="588">
        <v>4</v>
      </c>
      <c r="B261" s="587" t="s">
        <v>747</v>
      </c>
      <c r="C261" s="622">
        <f>C188</f>
        <v>147175552</v>
      </c>
      <c r="D261" s="622">
        <f>D188</f>
        <v>143484905</v>
      </c>
      <c r="E261" s="622">
        <f t="shared" si="30"/>
        <v>-3690647</v>
      </c>
    </row>
    <row r="262" spans="1:5" x14ac:dyDescent="0.2">
      <c r="A262" s="588">
        <v>5</v>
      </c>
      <c r="B262" s="587" t="s">
        <v>748</v>
      </c>
      <c r="C262" s="622">
        <f>C191</f>
        <v>9573325</v>
      </c>
      <c r="D262" s="622">
        <f>D191</f>
        <v>12193961</v>
      </c>
      <c r="E262" s="622">
        <f t="shared" si="30"/>
        <v>2620636</v>
      </c>
    </row>
    <row r="263" spans="1:5" x14ac:dyDescent="0.2">
      <c r="A263" s="588">
        <v>6</v>
      </c>
      <c r="B263" s="587" t="s">
        <v>749</v>
      </c>
      <c r="C263" s="622">
        <f>+C259+C260+C261+C262</f>
        <v>589850937</v>
      </c>
      <c r="D263" s="622">
        <f>+D259+D260+D261+D262</f>
        <v>601598068</v>
      </c>
      <c r="E263" s="622">
        <f t="shared" si="30"/>
        <v>11747131</v>
      </c>
    </row>
    <row r="264" spans="1:5" x14ac:dyDescent="0.2">
      <c r="A264" s="588">
        <v>7</v>
      </c>
      <c r="B264" s="587" t="s">
        <v>654</v>
      </c>
      <c r="C264" s="622">
        <f>+C258-C263</f>
        <v>310414562</v>
      </c>
      <c r="D264" s="622">
        <f>+D258-D263</f>
        <v>343469159</v>
      </c>
      <c r="E264" s="622">
        <f t="shared" si="30"/>
        <v>33054597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310414562</v>
      </c>
      <c r="D266" s="622">
        <f>+D264+D265</f>
        <v>343469159</v>
      </c>
      <c r="E266" s="641">
        <f t="shared" si="30"/>
        <v>33054597</v>
      </c>
    </row>
    <row r="267" spans="1:5" x14ac:dyDescent="0.2">
      <c r="A267" s="588">
        <v>10</v>
      </c>
      <c r="B267" s="587" t="s">
        <v>837</v>
      </c>
      <c r="C267" s="642">
        <f>IF(C258=0,0,C266/C258)</f>
        <v>0.34480335228308023</v>
      </c>
      <c r="D267" s="642">
        <f>IF(D258=0,0,D266/D258)</f>
        <v>0.36343357296422257</v>
      </c>
      <c r="E267" s="643">
        <f t="shared" si="30"/>
        <v>1.863022068114234E-2</v>
      </c>
    </row>
    <row r="268" spans="1:5" x14ac:dyDescent="0.2">
      <c r="A268" s="588">
        <v>11</v>
      </c>
      <c r="B268" s="587" t="s">
        <v>716</v>
      </c>
      <c r="C268" s="622">
        <f>+C260*C267</f>
        <v>14260562.892730514</v>
      </c>
      <c r="D268" s="644">
        <f>+D260*D267</f>
        <v>10478854.405493749</v>
      </c>
      <c r="E268" s="622">
        <f t="shared" si="30"/>
        <v>-3781708.4872367643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14213969.955269448</v>
      </c>
      <c r="D269" s="644">
        <f>((D17+D18+D28+D29)*D267)-(D50+D51+D61+D62)</f>
        <v>18167679.929220237</v>
      </c>
      <c r="E269" s="622">
        <f t="shared" si="30"/>
        <v>3953709.9739507884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28474532.84799996</v>
      </c>
      <c r="D271" s="622">
        <f>+D268+D269+D270</f>
        <v>28646534.334713988</v>
      </c>
      <c r="E271" s="625">
        <f t="shared" si="30"/>
        <v>172001.48671402782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0.52269933403955848</v>
      </c>
      <c r="D276" s="623">
        <f t="shared" si="31"/>
        <v>0.56299165372513893</v>
      </c>
      <c r="E276" s="650">
        <f t="shared" ref="E276:E284" si="32">D276-C276</f>
        <v>4.0292319685580447E-2</v>
      </c>
    </row>
    <row r="277" spans="1:5" x14ac:dyDescent="0.2">
      <c r="A277" s="588">
        <v>2</v>
      </c>
      <c r="B277" s="587" t="s">
        <v>635</v>
      </c>
      <c r="C277" s="623">
        <f t="shared" si="31"/>
        <v>0.28981703650264884</v>
      </c>
      <c r="D277" s="623">
        <f t="shared" si="31"/>
        <v>0.3136765580780656</v>
      </c>
      <c r="E277" s="650">
        <f t="shared" si="32"/>
        <v>2.3859521575416764E-2</v>
      </c>
    </row>
    <row r="278" spans="1:5" x14ac:dyDescent="0.2">
      <c r="A278" s="588">
        <v>3</v>
      </c>
      <c r="B278" s="587" t="s">
        <v>777</v>
      </c>
      <c r="C278" s="623">
        <f t="shared" si="31"/>
        <v>0.24376284644568541</v>
      </c>
      <c r="D278" s="623">
        <f t="shared" si="31"/>
        <v>0.24640475589957636</v>
      </c>
      <c r="E278" s="650">
        <f t="shared" si="32"/>
        <v>2.6419094538909504E-3</v>
      </c>
    </row>
    <row r="279" spans="1:5" x14ac:dyDescent="0.2">
      <c r="A279" s="588">
        <v>4</v>
      </c>
      <c r="B279" s="587" t="s">
        <v>115</v>
      </c>
      <c r="C279" s="623">
        <f t="shared" si="31"/>
        <v>0.24396350770997005</v>
      </c>
      <c r="D279" s="623">
        <f t="shared" si="31"/>
        <v>0.24780126300497995</v>
      </c>
      <c r="E279" s="650">
        <f t="shared" si="32"/>
        <v>3.8377552950099036E-3</v>
      </c>
    </row>
    <row r="280" spans="1:5" x14ac:dyDescent="0.2">
      <c r="A280" s="588">
        <v>5</v>
      </c>
      <c r="B280" s="587" t="s">
        <v>743</v>
      </c>
      <c r="C280" s="623">
        <f t="shared" si="31"/>
        <v>0.21941345095141626</v>
      </c>
      <c r="D280" s="623">
        <f t="shared" si="31"/>
        <v>0.16137684542171787</v>
      </c>
      <c r="E280" s="650">
        <f t="shared" si="32"/>
        <v>-5.8036605529698387E-2</v>
      </c>
    </row>
    <row r="281" spans="1:5" x14ac:dyDescent="0.2">
      <c r="A281" s="588">
        <v>6</v>
      </c>
      <c r="B281" s="587" t="s">
        <v>424</v>
      </c>
      <c r="C281" s="623">
        <f t="shared" si="31"/>
        <v>0.2973514689939733</v>
      </c>
      <c r="D281" s="623">
        <f t="shared" si="31"/>
        <v>0.38194497721449067</v>
      </c>
      <c r="E281" s="650">
        <f t="shared" si="32"/>
        <v>8.4593508220517366E-2</v>
      </c>
    </row>
    <row r="282" spans="1:5" x14ac:dyDescent="0.2">
      <c r="A282" s="588">
        <v>7</v>
      </c>
      <c r="B282" s="587" t="s">
        <v>758</v>
      </c>
      <c r="C282" s="623">
        <f t="shared" si="31"/>
        <v>6.6511311602011694E-2</v>
      </c>
      <c r="D282" s="623">
        <f t="shared" si="31"/>
        <v>4.3165656316657516E-2</v>
      </c>
      <c r="E282" s="650">
        <f t="shared" si="32"/>
        <v>-2.3345655285354178E-2</v>
      </c>
    </row>
    <row r="283" spans="1:5" ht="29.25" customHeight="1" x14ac:dyDescent="0.2">
      <c r="A283" s="588"/>
      <c r="B283" s="592" t="s">
        <v>844</v>
      </c>
      <c r="C283" s="651">
        <f t="shared" si="31"/>
        <v>0.27888051530851515</v>
      </c>
      <c r="D283" s="651">
        <f t="shared" si="31"/>
        <v>0.29787097292942533</v>
      </c>
      <c r="E283" s="652">
        <f t="shared" si="32"/>
        <v>1.8990457620910173E-2</v>
      </c>
    </row>
    <row r="284" spans="1:5" x14ac:dyDescent="0.2">
      <c r="A284" s="588"/>
      <c r="B284" s="592" t="s">
        <v>845</v>
      </c>
      <c r="C284" s="651">
        <f t="shared" si="31"/>
        <v>0.35148375072410704</v>
      </c>
      <c r="D284" s="651">
        <f t="shared" si="31"/>
        <v>0.3742666386174639</v>
      </c>
      <c r="E284" s="652">
        <f t="shared" si="32"/>
        <v>2.2782887893356862E-2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0.51773590145824289</v>
      </c>
      <c r="D287" s="623">
        <f t="shared" si="33"/>
        <v>0.5259547409202433</v>
      </c>
      <c r="E287" s="650">
        <f t="shared" ref="E287:E295" si="34">D287-C287</f>
        <v>8.2188394620004157E-3</v>
      </c>
    </row>
    <row r="288" spans="1:5" x14ac:dyDescent="0.2">
      <c r="A288" s="588">
        <v>2</v>
      </c>
      <c r="B288" s="587" t="s">
        <v>635</v>
      </c>
      <c r="C288" s="623">
        <f t="shared" si="33"/>
        <v>0.19532451781980537</v>
      </c>
      <c r="D288" s="623">
        <f t="shared" si="33"/>
        <v>0.18850383013781657</v>
      </c>
      <c r="E288" s="650">
        <f t="shared" si="34"/>
        <v>-6.8206876819887907E-3</v>
      </c>
    </row>
    <row r="289" spans="1:5" x14ac:dyDescent="0.2">
      <c r="A289" s="588">
        <v>3</v>
      </c>
      <c r="B289" s="587" t="s">
        <v>777</v>
      </c>
      <c r="C289" s="623">
        <f t="shared" si="33"/>
        <v>0.25699188722374272</v>
      </c>
      <c r="D289" s="623">
        <f t="shared" si="33"/>
        <v>0.25574565610914973</v>
      </c>
      <c r="E289" s="650">
        <f t="shared" si="34"/>
        <v>-1.2462311145929883E-3</v>
      </c>
    </row>
    <row r="290" spans="1:5" x14ac:dyDescent="0.2">
      <c r="A290" s="588">
        <v>4</v>
      </c>
      <c r="B290" s="587" t="s">
        <v>115</v>
      </c>
      <c r="C290" s="623">
        <f t="shared" si="33"/>
        <v>0.25842111372707766</v>
      </c>
      <c r="D290" s="623">
        <f t="shared" si="33"/>
        <v>0.25697116472448606</v>
      </c>
      <c r="E290" s="650">
        <f t="shared" si="34"/>
        <v>-1.4499490025915995E-3</v>
      </c>
    </row>
    <row r="291" spans="1:5" x14ac:dyDescent="0.2">
      <c r="A291" s="588">
        <v>5</v>
      </c>
      <c r="B291" s="587" t="s">
        <v>743</v>
      </c>
      <c r="C291" s="623">
        <f t="shared" si="33"/>
        <v>0.13760102348615932</v>
      </c>
      <c r="D291" s="623">
        <f t="shared" si="33"/>
        <v>0.12691097459704448</v>
      </c>
      <c r="E291" s="650">
        <f t="shared" si="34"/>
        <v>-1.0690048889114845E-2</v>
      </c>
    </row>
    <row r="292" spans="1:5" x14ac:dyDescent="0.2">
      <c r="A292" s="588">
        <v>6</v>
      </c>
      <c r="B292" s="587" t="s">
        <v>424</v>
      </c>
      <c r="C292" s="623">
        <f t="shared" si="33"/>
        <v>0.14958143277475897</v>
      </c>
      <c r="D292" s="623">
        <f t="shared" si="33"/>
        <v>0.12165724150876553</v>
      </c>
      <c r="E292" s="650">
        <f t="shared" si="34"/>
        <v>-2.7924191265993437E-2</v>
      </c>
    </row>
    <row r="293" spans="1:5" x14ac:dyDescent="0.2">
      <c r="A293" s="588">
        <v>7</v>
      </c>
      <c r="B293" s="587" t="s">
        <v>758</v>
      </c>
      <c r="C293" s="623">
        <f t="shared" si="33"/>
        <v>7.9570805385198312E-2</v>
      </c>
      <c r="D293" s="623">
        <f t="shared" si="33"/>
        <v>6.067761516101379E-2</v>
      </c>
      <c r="E293" s="650">
        <f t="shared" si="34"/>
        <v>-1.8893190224184522E-2</v>
      </c>
    </row>
    <row r="294" spans="1:5" ht="29.25" customHeight="1" x14ac:dyDescent="0.2">
      <c r="A294" s="588"/>
      <c r="B294" s="592" t="s">
        <v>847</v>
      </c>
      <c r="C294" s="651">
        <f t="shared" si="33"/>
        <v>0.217494643769337</v>
      </c>
      <c r="D294" s="651">
        <f t="shared" si="33"/>
        <v>0.21239122010610717</v>
      </c>
      <c r="E294" s="652">
        <f t="shared" si="34"/>
        <v>-5.103423663229828E-3</v>
      </c>
    </row>
    <row r="295" spans="1:5" x14ac:dyDescent="0.2">
      <c r="A295" s="588"/>
      <c r="B295" s="592" t="s">
        <v>848</v>
      </c>
      <c r="C295" s="651">
        <f t="shared" si="33"/>
        <v>0.37851344999569464</v>
      </c>
      <c r="D295" s="651">
        <f t="shared" si="33"/>
        <v>0.37230592682571395</v>
      </c>
      <c r="E295" s="652">
        <f t="shared" si="34"/>
        <v>-6.2075231699806888E-3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328506873</v>
      </c>
      <c r="D301" s="590">
        <f>+D48+D47+D50+D51+D52+D59+D58+D61+D62+D63</f>
        <v>352755547</v>
      </c>
      <c r="E301" s="590">
        <f>D301-C301</f>
        <v>24248674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328506873</v>
      </c>
      <c r="D303" s="593">
        <f>+D301+D302</f>
        <v>352755547</v>
      </c>
      <c r="E303" s="593">
        <f>D303-C303</f>
        <v>24248674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-5450326</v>
      </c>
      <c r="D305" s="654">
        <v>2755453</v>
      </c>
      <c r="E305" s="655">
        <f>D305-C305</f>
        <v>8205779</v>
      </c>
    </row>
    <row r="306" spans="1:5" x14ac:dyDescent="0.2">
      <c r="A306" s="588">
        <v>4</v>
      </c>
      <c r="B306" s="592" t="s">
        <v>855</v>
      </c>
      <c r="C306" s="593">
        <f>+C303+C305+C194+C190-C191</f>
        <v>352649110</v>
      </c>
      <c r="D306" s="593">
        <f>+D303+D305</f>
        <v>355511000</v>
      </c>
      <c r="E306" s="656">
        <f>D306-C306</f>
        <v>2861890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323056547</v>
      </c>
      <c r="D308" s="589">
        <v>355511000</v>
      </c>
      <c r="E308" s="590">
        <f>D308-C308</f>
        <v>32454453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29592563</v>
      </c>
      <c r="D310" s="658">
        <f>D306-D308</f>
        <v>0</v>
      </c>
      <c r="E310" s="656">
        <f>D310-C310</f>
        <v>-29592563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900265499</v>
      </c>
      <c r="D314" s="590">
        <f>+D14+D15+D16+D19+D25+D26+D27+D30</f>
        <v>945067227</v>
      </c>
      <c r="E314" s="590">
        <f>D314-C314</f>
        <v>44801728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900265499</v>
      </c>
      <c r="D316" s="657">
        <f>D314+D315</f>
        <v>945067227</v>
      </c>
      <c r="E316" s="593">
        <f>D316-C316</f>
        <v>44801728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900265500</v>
      </c>
      <c r="D318" s="589">
        <v>945067226</v>
      </c>
      <c r="E318" s="590">
        <f>D318-C318</f>
        <v>44801726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-1</v>
      </c>
      <c r="D320" s="657">
        <f>D316-D318</f>
        <v>1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41358539</v>
      </c>
      <c r="D324" s="589">
        <f>+D193+D194</f>
        <v>28832929</v>
      </c>
      <c r="E324" s="590">
        <f>D324-C324</f>
        <v>-12525610</v>
      </c>
    </row>
    <row r="325" spans="1:5" x14ac:dyDescent="0.2">
      <c r="A325" s="588">
        <v>2</v>
      </c>
      <c r="B325" s="587" t="s">
        <v>865</v>
      </c>
      <c r="C325" s="589">
        <v>962245</v>
      </c>
      <c r="D325" s="589">
        <v>0</v>
      </c>
      <c r="E325" s="590">
        <f>D325-C325</f>
        <v>-962245</v>
      </c>
    </row>
    <row r="326" spans="1:5" x14ac:dyDescent="0.2">
      <c r="A326" s="588"/>
      <c r="B326" s="592" t="s">
        <v>866</v>
      </c>
      <c r="C326" s="657">
        <f>C324+C325</f>
        <v>42320784</v>
      </c>
      <c r="D326" s="657">
        <f>D324+D325</f>
        <v>28832929</v>
      </c>
      <c r="E326" s="593">
        <f>D326-C326</f>
        <v>-13487855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42320784</v>
      </c>
      <c r="D328" s="589">
        <v>28832929</v>
      </c>
      <c r="E328" s="590">
        <f>D328-C328</f>
        <v>-13487855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FILING&amp;RNORWALK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132475987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249847526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77155540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75908806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1246734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260692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5833457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327263758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459739745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247512854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152577669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84858716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84059124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799592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378243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27848639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237814628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485327482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379988841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565078386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945067227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74582875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78371312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19011492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18810298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201194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99570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251805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97482374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172065249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130180559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28761475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21702248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21600771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101477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46016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1689789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50509739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180690298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204763434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147992113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352755547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4515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5676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2671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2638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33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203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8362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12877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1.0504100000000001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1.41479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0.93491506551853243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0.93062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1.27826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0.68359999999999999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1.0284199999999999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1.2601961468548195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1.1866398485672129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346306745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202821840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143484905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0.41432893546442473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18479767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12193961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15719561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13113368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28832929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14524481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354816000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352755547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352755547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2755453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355511000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355511000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945067227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945067227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945067226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28832929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28832929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28832929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FILING&amp;RNORWALK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4878</v>
      </c>
      <c r="D12" s="185">
        <v>4332</v>
      </c>
      <c r="E12" s="185">
        <f>+D12-C12</f>
        <v>-546</v>
      </c>
      <c r="F12" s="77">
        <f>IF(C12=0,0,+E12/C12)</f>
        <v>-0.11193111931119311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4042</v>
      </c>
      <c r="D13" s="185">
        <v>3701</v>
      </c>
      <c r="E13" s="185">
        <f>+D13-C13</f>
        <v>-341</v>
      </c>
      <c r="F13" s="77">
        <f>IF(C13=0,0,+E13/C13)</f>
        <v>-8.4364176150420578E-2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16801601</v>
      </c>
      <c r="D15" s="76">
        <v>15719561</v>
      </c>
      <c r="E15" s="76">
        <f>+D15-C15</f>
        <v>-1082040</v>
      </c>
      <c r="F15" s="77">
        <f>IF(C15=0,0,+E15/C15)</f>
        <v>-6.4401005594645414E-2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4156.7543295398318</v>
      </c>
      <c r="D16" s="79">
        <f>IF(D13=0,0,+D15/+D13)</f>
        <v>4247.3820589029992</v>
      </c>
      <c r="E16" s="79">
        <f>+D16-C16</f>
        <v>90.627729363167418</v>
      </c>
      <c r="F16" s="80">
        <f>IF(C16=0,0,+E16/C16)</f>
        <v>2.1802522395688525E-2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0.36440299999999998</v>
      </c>
      <c r="D18" s="704">
        <v>0.33956500000000001</v>
      </c>
      <c r="E18" s="704">
        <f>+D18-C18</f>
        <v>-2.4837999999999971E-2</v>
      </c>
      <c r="F18" s="77">
        <f>IF(C18=0,0,+E18/C18)</f>
        <v>-6.8160799993413804E-2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6122553.8092029998</v>
      </c>
      <c r="D19" s="79">
        <f>+D15*D18</f>
        <v>5337812.7309649996</v>
      </c>
      <c r="E19" s="79">
        <f>+D19-C19</f>
        <v>-784741.07823800016</v>
      </c>
      <c r="F19" s="80">
        <f>IF(C19=0,0,+E19/C19)</f>
        <v>-0.12817218152634799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1514.7337479473033</v>
      </c>
      <c r="D20" s="79">
        <f>IF(D13=0,0,+D19/D13)</f>
        <v>1442.2622888313967</v>
      </c>
      <c r="E20" s="79">
        <f>+D20-C20</f>
        <v>-72.471459115906555</v>
      </c>
      <c r="F20" s="80">
        <f>IF(C20=0,0,+E20/C20)</f>
        <v>-4.7844354966089915E-2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3401101</v>
      </c>
      <c r="D22" s="76">
        <v>1644900</v>
      </c>
      <c r="E22" s="76">
        <f>+D22-C22</f>
        <v>-1756201</v>
      </c>
      <c r="F22" s="77">
        <f>IF(C22=0,0,+E22/C22)</f>
        <v>-0.51636249555658598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9057776</v>
      </c>
      <c r="D23" s="185">
        <v>9372563</v>
      </c>
      <c r="E23" s="185">
        <f>+D23-C23</f>
        <v>314787</v>
      </c>
      <c r="F23" s="77">
        <f>IF(C23=0,0,+E23/C23)</f>
        <v>3.4753233023205696E-2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4342724</v>
      </c>
      <c r="D24" s="185">
        <v>4702098</v>
      </c>
      <c r="E24" s="185">
        <f>+D24-C24</f>
        <v>359374</v>
      </c>
      <c r="F24" s="77">
        <f>IF(C24=0,0,+E24/C24)</f>
        <v>8.2753129141985543E-2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16801601</v>
      </c>
      <c r="D25" s="79">
        <f>+D22+D23+D24</f>
        <v>15719561</v>
      </c>
      <c r="E25" s="79">
        <f>+E22+E23+E24</f>
        <v>-1082040</v>
      </c>
      <c r="F25" s="80">
        <f>IF(C25=0,0,+E25/C25)</f>
        <v>-6.4401005594645414E-2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458</v>
      </c>
      <c r="D27" s="185">
        <v>253</v>
      </c>
      <c r="E27" s="185">
        <f>+D27-C27</f>
        <v>-205</v>
      </c>
      <c r="F27" s="77">
        <f>IF(C27=0,0,+E27/C27)</f>
        <v>-0.44759825327510916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95</v>
      </c>
      <c r="D28" s="185">
        <v>64</v>
      </c>
      <c r="E28" s="185">
        <f>+D28-C28</f>
        <v>-31</v>
      </c>
      <c r="F28" s="77">
        <f>IF(C28=0,0,+E28/C28)</f>
        <v>-0.32631578947368423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1907</v>
      </c>
      <c r="D29" s="185">
        <v>2032</v>
      </c>
      <c r="E29" s="185">
        <f>+D29-C29</f>
        <v>125</v>
      </c>
      <c r="F29" s="77">
        <f>IF(C29=0,0,+E29/C29)</f>
        <v>6.5547981122181437E-2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12631</v>
      </c>
      <c r="D30" s="185">
        <v>12577</v>
      </c>
      <c r="E30" s="185">
        <f>+D30-C30</f>
        <v>-54</v>
      </c>
      <c r="F30" s="77">
        <f>IF(C30=0,0,+E30/C30)</f>
        <v>-4.2751959464808805E-3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4834558</v>
      </c>
      <c r="D33" s="76">
        <v>4007506</v>
      </c>
      <c r="E33" s="76">
        <f>+D33-C33</f>
        <v>-827052</v>
      </c>
      <c r="F33" s="77">
        <f>IF(C33=0,0,+E33/C33)</f>
        <v>-0.17107086107975125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6110638</v>
      </c>
      <c r="D34" s="185">
        <v>3014539</v>
      </c>
      <c r="E34" s="185">
        <f>+D34-C34</f>
        <v>-3096099</v>
      </c>
      <c r="F34" s="77">
        <f>IF(C34=0,0,+E34/C34)</f>
        <v>-0.506673607567655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13611742</v>
      </c>
      <c r="D35" s="185">
        <v>6091323</v>
      </c>
      <c r="E35" s="185">
        <f>+D35-C35</f>
        <v>-7520419</v>
      </c>
      <c r="F35" s="77">
        <f>IF(C35=0,0,+E35/C35)</f>
        <v>-0.55249497088616584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24556938</v>
      </c>
      <c r="D36" s="79">
        <f>+D33+D34+D35</f>
        <v>13113368</v>
      </c>
      <c r="E36" s="79">
        <f>+E33+E34+E35</f>
        <v>-11443570</v>
      </c>
      <c r="F36" s="80">
        <f>IF(C36=0,0,+E36/C36)</f>
        <v>-0.46600150230456255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16801601</v>
      </c>
      <c r="D39" s="76">
        <f>+D25</f>
        <v>15719561</v>
      </c>
      <c r="E39" s="76">
        <f>+D39-C39</f>
        <v>-1082040</v>
      </c>
      <c r="F39" s="77">
        <f>IF(C39=0,0,+E39/C39)</f>
        <v>-6.4401005594645414E-2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24556938</v>
      </c>
      <c r="D40" s="185">
        <f>+D36</f>
        <v>13113368</v>
      </c>
      <c r="E40" s="185">
        <f>+D40-C40</f>
        <v>-11443570</v>
      </c>
      <c r="F40" s="77">
        <f>IF(C40=0,0,+E40/C40)</f>
        <v>-0.46600150230456255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41358539</v>
      </c>
      <c r="D41" s="79">
        <f>+D39+D40</f>
        <v>28832929</v>
      </c>
      <c r="E41" s="79">
        <f>+E39+E40</f>
        <v>-12525610</v>
      </c>
      <c r="F41" s="80">
        <f>IF(C41=0,0,+E41/C41)</f>
        <v>-0.30285426668480719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8235659</v>
      </c>
      <c r="D43" s="76">
        <f t="shared" si="0"/>
        <v>5652406</v>
      </c>
      <c r="E43" s="76">
        <f>+D43-C43</f>
        <v>-2583253</v>
      </c>
      <c r="F43" s="77">
        <f>IF(C43=0,0,+E43/C43)</f>
        <v>-0.31366682374780208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15168414</v>
      </c>
      <c r="D44" s="185">
        <f t="shared" si="0"/>
        <v>12387102</v>
      </c>
      <c r="E44" s="185">
        <f>+D44-C44</f>
        <v>-2781312</v>
      </c>
      <c r="F44" s="77">
        <f>IF(C44=0,0,+E44/C44)</f>
        <v>-0.18336208386717293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17954466</v>
      </c>
      <c r="D45" s="185">
        <f t="shared" si="0"/>
        <v>10793421</v>
      </c>
      <c r="E45" s="185">
        <f>+D45-C45</f>
        <v>-7161045</v>
      </c>
      <c r="F45" s="77">
        <f>IF(C45=0,0,+E45/C45)</f>
        <v>-0.39884477767258575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41358539</v>
      </c>
      <c r="D46" s="79">
        <f>+D43+D44+D45</f>
        <v>28832929</v>
      </c>
      <c r="E46" s="79">
        <f>+E43+E44+E45</f>
        <v>-12525610</v>
      </c>
      <c r="F46" s="80">
        <f>IF(C46=0,0,+E46/C46)</f>
        <v>-0.30285426668480719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FILING&amp;RNORWALK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339083715</v>
      </c>
      <c r="D15" s="76">
        <v>346306745</v>
      </c>
      <c r="E15" s="76">
        <f>+D15-C15</f>
        <v>7223030</v>
      </c>
      <c r="F15" s="77">
        <f>IF(C15=0,0,E15/C15)</f>
        <v>2.1301612789042374E-2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147175552</v>
      </c>
      <c r="D17" s="76">
        <v>143484905</v>
      </c>
      <c r="E17" s="76">
        <f>+D17-C17</f>
        <v>-3690647</v>
      </c>
      <c r="F17" s="77">
        <f>IF(C17=0,0,E17/C17)</f>
        <v>-2.5076495041785201E-2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191908163</v>
      </c>
      <c r="D19" s="79">
        <f>+D15-D17</f>
        <v>202821840</v>
      </c>
      <c r="E19" s="79">
        <f>+D19-C19</f>
        <v>10913677</v>
      </c>
      <c r="F19" s="80">
        <f>IF(C19=0,0,E19/C19)</f>
        <v>5.6869269286893231E-2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0.4340389865080958</v>
      </c>
      <c r="D21" s="720">
        <f>IF(D15=0,0,D17/D15)</f>
        <v>0.41432893546442473</v>
      </c>
      <c r="E21" s="720">
        <f>+D21-C21</f>
        <v>-1.9710051043671073E-2</v>
      </c>
      <c r="F21" s="80">
        <f>IF(C21=0,0,E21/C21)</f>
        <v>-4.5410784874974443E-2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FILING&amp;R&amp;12NORWALK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451063513</v>
      </c>
      <c r="D10" s="744">
        <v>453417066</v>
      </c>
      <c r="E10" s="744">
        <v>459739745</v>
      </c>
    </row>
    <row r="11" spans="1:6" ht="26.1" customHeight="1" x14ac:dyDescent="0.25">
      <c r="A11" s="742">
        <v>2</v>
      </c>
      <c r="B11" s="743" t="s">
        <v>932</v>
      </c>
      <c r="C11" s="744">
        <v>462331270</v>
      </c>
      <c r="D11" s="744">
        <v>446848433</v>
      </c>
      <c r="E11" s="744">
        <v>485327482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913394783</v>
      </c>
      <c r="D12" s="744">
        <f>+D11+D10</f>
        <v>900265499</v>
      </c>
      <c r="E12" s="744">
        <f>+E11+E10</f>
        <v>945067227</v>
      </c>
    </row>
    <row r="13" spans="1:6" ht="26.1" customHeight="1" x14ac:dyDescent="0.25">
      <c r="A13" s="742">
        <v>4</v>
      </c>
      <c r="B13" s="743" t="s">
        <v>507</v>
      </c>
      <c r="C13" s="744">
        <v>334131914</v>
      </c>
      <c r="D13" s="744">
        <v>324018792</v>
      </c>
      <c r="E13" s="744">
        <v>355511000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338981125</v>
      </c>
      <c r="D16" s="744">
        <v>311061228</v>
      </c>
      <c r="E16" s="744">
        <v>354816000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59611</v>
      </c>
      <c r="D19" s="747">
        <v>59071</v>
      </c>
      <c r="E19" s="747">
        <v>58011</v>
      </c>
    </row>
    <row r="20" spans="1:5" ht="26.1" customHeight="1" x14ac:dyDescent="0.25">
      <c r="A20" s="742">
        <v>2</v>
      </c>
      <c r="B20" s="743" t="s">
        <v>381</v>
      </c>
      <c r="C20" s="748">
        <v>13045</v>
      </c>
      <c r="D20" s="748">
        <v>13110</v>
      </c>
      <c r="E20" s="748">
        <v>12877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4.5696435415868146</v>
      </c>
      <c r="D21" s="749">
        <f>IF(D20=0,0,+D19/D20)</f>
        <v>4.505797101449275</v>
      </c>
      <c r="E21" s="749">
        <f>IF(E20=0,0,+E19/E20)</f>
        <v>4.5050089306515488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120711.10794858949</v>
      </c>
      <c r="D22" s="748">
        <f>IF(D10=0,0,D19*(D12/D10))</f>
        <v>117286.24103317055</v>
      </c>
      <c r="E22" s="748">
        <f>IF(E10=0,0,E19*(E12/E10))</f>
        <v>119250.71848094621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26415.869607779601</v>
      </c>
      <c r="D23" s="748">
        <f>IF(D10=0,0,D20*(D12/D10))</f>
        <v>26030.076009291632</v>
      </c>
      <c r="E23" s="748">
        <f>IF(E10=0,0,E20*(E12/E10))</f>
        <v>26470.695245369745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1.1997942384055194</v>
      </c>
      <c r="D26" s="750">
        <v>1.1999178382913807</v>
      </c>
      <c r="E26" s="750">
        <v>1.1866398485672129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71520.93434559142</v>
      </c>
      <c r="D27" s="748">
        <f>D19*D26</f>
        <v>70880.346625710154</v>
      </c>
      <c r="E27" s="748">
        <f>E19*E26</f>
        <v>68838.164255232594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15651.315839999999</v>
      </c>
      <c r="D28" s="748">
        <f>D20*D26</f>
        <v>15730.922860000001</v>
      </c>
      <c r="E28" s="748">
        <f>E20*E26</f>
        <v>15280.361330000002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144828.49182826435</v>
      </c>
      <c r="D29" s="748">
        <f>D22*D26</f>
        <v>140733.85280184384</v>
      </c>
      <c r="E29" s="748">
        <f>E22*E26</f>
        <v>141507.65451976136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31693.608157885432</v>
      </c>
      <c r="D30" s="748">
        <f>D23*D26</f>
        <v>31233.952535629542</v>
      </c>
      <c r="E30" s="748">
        <f>E23*E26</f>
        <v>31411.181797434398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15322.587827749912</v>
      </c>
      <c r="D33" s="744">
        <f>IF(D19=0,0,D12/D19)</f>
        <v>15240.397132264563</v>
      </c>
      <c r="E33" s="744">
        <f>IF(E19=0,0,E12/E19)</f>
        <v>16291.172829290996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70018.76450747413</v>
      </c>
      <c r="D34" s="744">
        <f>IF(D20=0,0,D12/D20)</f>
        <v>68670.137223493512</v>
      </c>
      <c r="E34" s="744">
        <f>IF(E20=0,0,E12/E20)</f>
        <v>73391.879086743807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7566.783194376877</v>
      </c>
      <c r="D35" s="744">
        <f>IF(D22=0,0,D12/D22)</f>
        <v>7675.7980396472049</v>
      </c>
      <c r="E35" s="744">
        <f>IF(E22=0,0,E12/E22)</f>
        <v>7925.0443019427357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34577.501954771949</v>
      </c>
      <c r="D36" s="744">
        <f>IF(D23=0,0,D12/D23)</f>
        <v>34585.5885583524</v>
      </c>
      <c r="E36" s="744">
        <f>IF(E23=0,0,E12/E23)</f>
        <v>35702.395356061199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6306.7340650283859</v>
      </c>
      <c r="D37" s="744">
        <f>IF(D29=0,0,D12/D29)</f>
        <v>6396.936352389871</v>
      </c>
      <c r="E37" s="744">
        <f>IF(E29=0,0,E12/E29)</f>
        <v>6678.5590518569625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28819.526588762521</v>
      </c>
      <c r="D38" s="744">
        <f>IF(D30=0,0,D12/D30)</f>
        <v>28823.297274753782</v>
      </c>
      <c r="E38" s="744">
        <f>IF(E30=0,0,E12/E30)</f>
        <v>30086.968172499361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3736.7191857116136</v>
      </c>
      <c r="D39" s="744">
        <f>IF(D22=0,0,D10/D22)</f>
        <v>3865.9015925982821</v>
      </c>
      <c r="E39" s="744">
        <f>IF(E22=0,0,E10/E22)</f>
        <v>3855.2366883513318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17075.474693710617</v>
      </c>
      <c r="D40" s="744">
        <f>IF(D23=0,0,D10/D23)</f>
        <v>17418.968190417476</v>
      </c>
      <c r="E40" s="744">
        <f>IF(E23=0,0,E10/E23)</f>
        <v>17367.875710798253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5605.205649963933</v>
      </c>
      <c r="D43" s="744">
        <f>IF(D19=0,0,D13/D19)</f>
        <v>5485.2430465033603</v>
      </c>
      <c r="E43" s="744">
        <f>IF(E19=0,0,E13/E19)</f>
        <v>6128.3377290513872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25613.791797623609</v>
      </c>
      <c r="D44" s="744">
        <f>IF(D20=0,0,D13/D20)</f>
        <v>24715.392219679634</v>
      </c>
      <c r="E44" s="744">
        <f>IF(E20=0,0,E13/E20)</f>
        <v>27608.216199425333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2768.0295515331186</v>
      </c>
      <c r="D45" s="744">
        <f>IF(D22=0,0,D13/D22)</f>
        <v>2762.6325913911928</v>
      </c>
      <c r="E45" s="744">
        <f>IF(E22=0,0,E13/E22)</f>
        <v>2981.2063568975755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12648.908363084762</v>
      </c>
      <c r="D46" s="744">
        <f>IF(D23=0,0,D13/D23)</f>
        <v>12447.861922659737</v>
      </c>
      <c r="E46" s="744">
        <f>IF(E23=0,0,E13/E23)</f>
        <v>13430.361261938748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2307.086884507567</v>
      </c>
      <c r="D47" s="744">
        <f>IF(D29=0,0,D13/D29)</f>
        <v>2302.3514637677486</v>
      </c>
      <c r="E47" s="744">
        <f>IF(E29=0,0,E13/E29)</f>
        <v>2512.3093249372837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10542.564681669648</v>
      </c>
      <c r="D48" s="744">
        <f>IF(D30=0,0,D13/D30)</f>
        <v>10373.928551962217</v>
      </c>
      <c r="E48" s="744">
        <f>IF(E30=0,0,E13/E30)</f>
        <v>11317.975945401629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5686.5532368187078</v>
      </c>
      <c r="D51" s="744">
        <f>IF(D19=0,0,D16/D19)</f>
        <v>5265.8872881786328</v>
      </c>
      <c r="E51" s="744">
        <f>IF(E19=0,0,E16/E19)</f>
        <v>6116.3572425919219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25985.521272518206</v>
      </c>
      <c r="D52" s="744">
        <f>IF(D20=0,0,D16/D20)</f>
        <v>23727.019679633868</v>
      </c>
      <c r="E52" s="744">
        <f>IF(E20=0,0,E16/E20)</f>
        <v>27554.244000931893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2808.2015877475924</v>
      </c>
      <c r="D53" s="744">
        <f>IF(D22=0,0,D16/D22)</f>
        <v>2652.1544663710947</v>
      </c>
      <c r="E53" s="744">
        <f>IF(E22=0,0,E16/E22)</f>
        <v>2975.3782997684179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12832.480248924625</v>
      </c>
      <c r="D54" s="744">
        <f>IF(D23=0,0,D16/D23)</f>
        <v>11950.069907170626</v>
      </c>
      <c r="E54" s="744">
        <f>IF(E23=0,0,E16/E23)</f>
        <v>13404.105812523547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2340.5693225194887</v>
      </c>
      <c r="D55" s="744">
        <f>IF(D29=0,0,D16/D29)</f>
        <v>2210.2800556308271</v>
      </c>
      <c r="E55" s="744">
        <f>IF(E29=0,0,E16/E29)</f>
        <v>2507.3979298444974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10695.567488287408</v>
      </c>
      <c r="D56" s="744">
        <f>IF(D30=0,0,D16/D30)</f>
        <v>9959.0734680525238</v>
      </c>
      <c r="E56" s="744">
        <f>IF(E30=0,0,E16/E30)</f>
        <v>11295.85006664667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46255451</v>
      </c>
      <c r="D59" s="752">
        <v>45733017</v>
      </c>
      <c r="E59" s="752">
        <v>46444000</v>
      </c>
    </row>
    <row r="60" spans="1:6" ht="26.1" customHeight="1" x14ac:dyDescent="0.25">
      <c r="A60" s="742">
        <v>2</v>
      </c>
      <c r="B60" s="743" t="s">
        <v>968</v>
      </c>
      <c r="C60" s="752">
        <v>15513984</v>
      </c>
      <c r="D60" s="752">
        <v>9992314</v>
      </c>
      <c r="E60" s="752">
        <v>6219000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61769435</v>
      </c>
      <c r="D61" s="755">
        <f>D59+D60</f>
        <v>55725331</v>
      </c>
      <c r="E61" s="755">
        <f>E59+E60</f>
        <v>52663000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11928508</v>
      </c>
      <c r="D64" s="744">
        <v>11986450</v>
      </c>
      <c r="E64" s="752">
        <v>12892000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3620814</v>
      </c>
      <c r="D65" s="752">
        <v>2283503</v>
      </c>
      <c r="E65" s="752">
        <v>3182000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15549322</v>
      </c>
      <c r="D66" s="757">
        <f>D64+D65</f>
        <v>14269953</v>
      </c>
      <c r="E66" s="757">
        <f>E64+E65</f>
        <v>16074000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80198641</v>
      </c>
      <c r="D69" s="752">
        <v>75302594</v>
      </c>
      <c r="E69" s="752">
        <v>76386000</v>
      </c>
    </row>
    <row r="70" spans="1:6" ht="26.1" customHeight="1" x14ac:dyDescent="0.25">
      <c r="A70" s="742">
        <v>2</v>
      </c>
      <c r="B70" s="743" t="s">
        <v>976</v>
      </c>
      <c r="C70" s="752">
        <v>32551822</v>
      </c>
      <c r="D70" s="752">
        <v>21288563</v>
      </c>
      <c r="E70" s="752">
        <v>29802000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112750463</v>
      </c>
      <c r="D71" s="755">
        <f>D69+D70</f>
        <v>96591157</v>
      </c>
      <c r="E71" s="755">
        <f>E69+E70</f>
        <v>106188000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138382600</v>
      </c>
      <c r="D75" s="744">
        <f t="shared" si="0"/>
        <v>133022061</v>
      </c>
      <c r="E75" s="744">
        <f t="shared" si="0"/>
        <v>135722000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51686620</v>
      </c>
      <c r="D76" s="744">
        <f t="shared" si="0"/>
        <v>33564380</v>
      </c>
      <c r="E76" s="744">
        <f t="shared" si="0"/>
        <v>39203000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190069220</v>
      </c>
      <c r="D77" s="757">
        <f>D75+D76</f>
        <v>166586441</v>
      </c>
      <c r="E77" s="757">
        <f>E75+E76</f>
        <v>174925000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450.4</v>
      </c>
      <c r="D80" s="749">
        <v>444.9</v>
      </c>
      <c r="E80" s="749">
        <v>445.6</v>
      </c>
    </row>
    <row r="81" spans="1:5" ht="26.1" customHeight="1" x14ac:dyDescent="0.25">
      <c r="A81" s="742">
        <v>2</v>
      </c>
      <c r="B81" s="743" t="s">
        <v>617</v>
      </c>
      <c r="C81" s="749">
        <v>91.8</v>
      </c>
      <c r="D81" s="749">
        <v>90</v>
      </c>
      <c r="E81" s="749">
        <v>90.8</v>
      </c>
    </row>
    <row r="82" spans="1:5" ht="26.1" customHeight="1" x14ac:dyDescent="0.25">
      <c r="A82" s="742">
        <v>3</v>
      </c>
      <c r="B82" s="743" t="s">
        <v>982</v>
      </c>
      <c r="C82" s="749">
        <v>1143.2</v>
      </c>
      <c r="D82" s="749">
        <v>1116.0999999999999</v>
      </c>
      <c r="E82" s="749">
        <v>1128.5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1685.4</v>
      </c>
      <c r="D83" s="759">
        <f>D80+D81+D82</f>
        <v>1651</v>
      </c>
      <c r="E83" s="759">
        <f>E80+E81+E82</f>
        <v>1664.9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102698.60346358793</v>
      </c>
      <c r="D86" s="752">
        <f>IF(D80=0,0,D59/D80)</f>
        <v>102793.92447741066</v>
      </c>
      <c r="E86" s="752">
        <f>IF(E80=0,0,E59/E80)</f>
        <v>104228.00718132855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34444.90230905862</v>
      </c>
      <c r="D87" s="752">
        <f>IF(D80=0,0,D60/D80)</f>
        <v>22459.685322544392</v>
      </c>
      <c r="E87" s="752">
        <f>IF(E80=0,0,E60/E80)</f>
        <v>13956.463195691202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137143.50577264655</v>
      </c>
      <c r="D88" s="755">
        <f>+D86+D87</f>
        <v>125253.60979995505</v>
      </c>
      <c r="E88" s="755">
        <f>+E86+E87</f>
        <v>118184.47037701975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129940.17429193901</v>
      </c>
      <c r="D91" s="744">
        <f>IF(D81=0,0,D64/D81)</f>
        <v>133182.77777777778</v>
      </c>
      <c r="E91" s="744">
        <f>IF(E81=0,0,E64/E81)</f>
        <v>141982.37885462557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39442.418300653597</v>
      </c>
      <c r="D92" s="744">
        <f>IF(D81=0,0,D65/D81)</f>
        <v>25372.255555555555</v>
      </c>
      <c r="E92" s="744">
        <f>IF(E81=0,0,E65/E81)</f>
        <v>35044.052863436125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169382.59259259261</v>
      </c>
      <c r="D93" s="757">
        <f>+D91+D92</f>
        <v>158555.03333333333</v>
      </c>
      <c r="E93" s="757">
        <f>+E91+E92</f>
        <v>177026.43171806168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70152.765045486347</v>
      </c>
      <c r="D96" s="752">
        <f>IF(D82=0,0,D69/D82)</f>
        <v>67469.397007436608</v>
      </c>
      <c r="E96" s="752">
        <f>IF(E82=0,0,E69/E82)</f>
        <v>67688.081524147099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28474.301959412176</v>
      </c>
      <c r="D97" s="752">
        <f>IF(D82=0,0,D70/D82)</f>
        <v>19074.064151957711</v>
      </c>
      <c r="E97" s="752">
        <f>IF(E82=0,0,E70/E82)</f>
        <v>26408.506867523261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98627.067004898519</v>
      </c>
      <c r="D98" s="757">
        <f>+D96+D97</f>
        <v>86543.461159394326</v>
      </c>
      <c r="E98" s="757">
        <f>+E96+E97</f>
        <v>94096.588391670361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82106.680906609705</v>
      </c>
      <c r="D101" s="744">
        <f>IF(D83=0,0,D75/D83)</f>
        <v>80570.600242277404</v>
      </c>
      <c r="E101" s="744">
        <f>IF(E83=0,0,E75/E83)</f>
        <v>81519.610787434678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30667.271864245875</v>
      </c>
      <c r="D102" s="761">
        <f>IF(D83=0,0,D76/D83)</f>
        <v>20329.727437916416</v>
      </c>
      <c r="E102" s="761">
        <f>IF(E83=0,0,E76/E83)</f>
        <v>23546.759565139047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112773.95277085558</v>
      </c>
      <c r="D103" s="757">
        <f>+D101+D102</f>
        <v>100900.32768019382</v>
      </c>
      <c r="E103" s="757">
        <f>+E101+E102</f>
        <v>105066.37035257372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3188.492392343695</v>
      </c>
      <c r="D108" s="744">
        <f>IF(D19=0,0,D77/D19)</f>
        <v>2820.1053139442365</v>
      </c>
      <c r="E108" s="744">
        <f>IF(E19=0,0,E77/E19)</f>
        <v>3015.3763941321472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14570.273668072059</v>
      </c>
      <c r="D109" s="744">
        <f>IF(D20=0,0,D77/D20)</f>
        <v>12706.82234935164</v>
      </c>
      <c r="E109" s="744">
        <f>IF(E20=0,0,E77/E20)</f>
        <v>13584.29758484119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1574.5793674675733</v>
      </c>
      <c r="D110" s="744">
        <f>IF(D22=0,0,D77/D22)</f>
        <v>1420.3408646448693</v>
      </c>
      <c r="E110" s="744">
        <f>IF(E22=0,0,E77/E22)</f>
        <v>1466.8674723997524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7195.2664372640493</v>
      </c>
      <c r="D111" s="744">
        <f>IF(D23=0,0,D77/D23)</f>
        <v>6399.767750986809</v>
      </c>
      <c r="E111" s="744">
        <f>IF(E23=0,0,E77/E23)</f>
        <v>6608.2510632431495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1312.3745031149085</v>
      </c>
      <c r="D112" s="744">
        <f>IF(D29=0,0,D77/D29)</f>
        <v>1183.6984327754967</v>
      </c>
      <c r="E112" s="744">
        <f>IF(E29=0,0,E77/E29)</f>
        <v>1236.1522109432742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5997.0836723022467</v>
      </c>
      <c r="D113" s="744">
        <f>IF(D30=0,0,D77/D30)</f>
        <v>5333.5049673898829</v>
      </c>
      <c r="E113" s="744">
        <f>IF(E30=0,0,E77/E30)</f>
        <v>5568.8767499441083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FILING&amp;R&amp;"Arial,Bold"&amp;12NORWALK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900265500</v>
      </c>
      <c r="D12" s="76">
        <v>945067000</v>
      </c>
      <c r="E12" s="76">
        <f t="shared" ref="E12:E21" si="0">D12-C12</f>
        <v>44801500</v>
      </c>
      <c r="F12" s="77">
        <f t="shared" ref="F12:F21" si="1">IF(C12=0,0,E12/C12)</f>
        <v>4.9764763839111908E-2</v>
      </c>
    </row>
    <row r="13" spans="1:8" ht="23.1" customHeight="1" x14ac:dyDescent="0.2">
      <c r="A13" s="74">
        <v>2</v>
      </c>
      <c r="B13" s="75" t="s">
        <v>72</v>
      </c>
      <c r="C13" s="76">
        <v>534888169</v>
      </c>
      <c r="D13" s="76">
        <v>560723000</v>
      </c>
      <c r="E13" s="76">
        <f t="shared" si="0"/>
        <v>25834831</v>
      </c>
      <c r="F13" s="77">
        <f t="shared" si="1"/>
        <v>4.8299499778242432E-2</v>
      </c>
    </row>
    <row r="14" spans="1:8" ht="23.1" customHeight="1" x14ac:dyDescent="0.2">
      <c r="A14" s="74">
        <v>3</v>
      </c>
      <c r="B14" s="75" t="s">
        <v>73</v>
      </c>
      <c r="C14" s="76">
        <v>16801601</v>
      </c>
      <c r="D14" s="76">
        <v>15720000</v>
      </c>
      <c r="E14" s="76">
        <f t="shared" si="0"/>
        <v>-1081601</v>
      </c>
      <c r="F14" s="77">
        <f t="shared" si="1"/>
        <v>-6.4374877132244712E-2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348575730</v>
      </c>
      <c r="D16" s="79">
        <f>D12-D13-D14-D15</f>
        <v>368624000</v>
      </c>
      <c r="E16" s="79">
        <f t="shared" si="0"/>
        <v>20048270</v>
      </c>
      <c r="F16" s="80">
        <f t="shared" si="1"/>
        <v>5.7514818946230138E-2</v>
      </c>
    </row>
    <row r="17" spans="1:7" ht="23.1" customHeight="1" x14ac:dyDescent="0.2">
      <c r="A17" s="74">
        <v>5</v>
      </c>
      <c r="B17" s="75" t="s">
        <v>76</v>
      </c>
      <c r="C17" s="76">
        <v>24556938</v>
      </c>
      <c r="D17" s="76">
        <v>13113000</v>
      </c>
      <c r="E17" s="76">
        <f t="shared" si="0"/>
        <v>-11443938</v>
      </c>
      <c r="F17" s="77">
        <f t="shared" si="1"/>
        <v>-0.46601648788623401</v>
      </c>
      <c r="G17" s="65"/>
    </row>
    <row r="18" spans="1:7" ht="31.5" customHeight="1" x14ac:dyDescent="0.25">
      <c r="A18" s="71"/>
      <c r="B18" s="81" t="s">
        <v>77</v>
      </c>
      <c r="C18" s="79">
        <f>C16-C17</f>
        <v>324018792</v>
      </c>
      <c r="D18" s="79">
        <f>D16-D17</f>
        <v>355511000</v>
      </c>
      <c r="E18" s="79">
        <f t="shared" si="0"/>
        <v>31492208</v>
      </c>
      <c r="F18" s="80">
        <f t="shared" si="1"/>
        <v>9.7192535672437172E-2</v>
      </c>
    </row>
    <row r="19" spans="1:7" ht="23.1" customHeight="1" x14ac:dyDescent="0.2">
      <c r="A19" s="74">
        <v>6</v>
      </c>
      <c r="B19" s="75" t="s">
        <v>78</v>
      </c>
      <c r="C19" s="76">
        <v>14640639</v>
      </c>
      <c r="D19" s="76">
        <v>14524000</v>
      </c>
      <c r="E19" s="76">
        <f t="shared" si="0"/>
        <v>-116639</v>
      </c>
      <c r="F19" s="77">
        <f t="shared" si="1"/>
        <v>-7.9667970776412158E-3</v>
      </c>
      <c r="G19" s="65"/>
    </row>
    <row r="20" spans="1:7" ht="33" customHeight="1" x14ac:dyDescent="0.2">
      <c r="A20" s="74">
        <v>7</v>
      </c>
      <c r="B20" s="82" t="s">
        <v>79</v>
      </c>
      <c r="C20" s="76">
        <v>1156023</v>
      </c>
      <c r="D20" s="76">
        <v>1492000</v>
      </c>
      <c r="E20" s="76">
        <f t="shared" si="0"/>
        <v>335977</v>
      </c>
      <c r="F20" s="77">
        <f t="shared" si="1"/>
        <v>0.29063176078676634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339815454</v>
      </c>
      <c r="D21" s="79">
        <f>SUM(D18:D20)</f>
        <v>371527000</v>
      </c>
      <c r="E21" s="79">
        <f t="shared" si="0"/>
        <v>31711546</v>
      </c>
      <c r="F21" s="80">
        <f t="shared" si="1"/>
        <v>9.3319905338972609E-2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133022061</v>
      </c>
      <c r="D24" s="76">
        <v>135722000</v>
      </c>
      <c r="E24" s="76">
        <f t="shared" ref="E24:E33" si="2">D24-C24</f>
        <v>2699939</v>
      </c>
      <c r="F24" s="77">
        <f t="shared" ref="F24:F33" si="3">IF(C24=0,0,E24/C24)</f>
        <v>2.0296926537621454E-2</v>
      </c>
    </row>
    <row r="25" spans="1:7" ht="23.1" customHeight="1" x14ac:dyDescent="0.2">
      <c r="A25" s="74">
        <v>2</v>
      </c>
      <c r="B25" s="75" t="s">
        <v>83</v>
      </c>
      <c r="C25" s="76">
        <v>33564380</v>
      </c>
      <c r="D25" s="76">
        <v>39203000</v>
      </c>
      <c r="E25" s="76">
        <f t="shared" si="2"/>
        <v>5638620</v>
      </c>
      <c r="F25" s="77">
        <f t="shared" si="3"/>
        <v>0.16799416524303443</v>
      </c>
    </row>
    <row r="26" spans="1:7" ht="23.1" customHeight="1" x14ac:dyDescent="0.2">
      <c r="A26" s="74">
        <v>3</v>
      </c>
      <c r="B26" s="75" t="s">
        <v>84</v>
      </c>
      <c r="C26" s="76">
        <v>7662386</v>
      </c>
      <c r="D26" s="76">
        <v>8103000</v>
      </c>
      <c r="E26" s="76">
        <f t="shared" si="2"/>
        <v>440614</v>
      </c>
      <c r="F26" s="77">
        <f t="shared" si="3"/>
        <v>5.750349825759235E-2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31141533</v>
      </c>
      <c r="D27" s="76">
        <v>38047000</v>
      </c>
      <c r="E27" s="76">
        <f t="shared" si="2"/>
        <v>6905467</v>
      </c>
      <c r="F27" s="77">
        <f t="shared" si="3"/>
        <v>0.22174460711359328</v>
      </c>
    </row>
    <row r="28" spans="1:7" ht="23.1" customHeight="1" x14ac:dyDescent="0.2">
      <c r="A28" s="74">
        <v>5</v>
      </c>
      <c r="B28" s="75" t="s">
        <v>86</v>
      </c>
      <c r="C28" s="76">
        <v>18637806</v>
      </c>
      <c r="D28" s="76">
        <v>20264000</v>
      </c>
      <c r="E28" s="76">
        <f t="shared" si="2"/>
        <v>1626194</v>
      </c>
      <c r="F28" s="77">
        <f t="shared" si="3"/>
        <v>8.7252437330874677E-2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2456725</v>
      </c>
      <c r="D30" s="76">
        <v>1952000</v>
      </c>
      <c r="E30" s="76">
        <f t="shared" si="2"/>
        <v>-504725</v>
      </c>
      <c r="F30" s="77">
        <f t="shared" si="3"/>
        <v>-0.20544627502060669</v>
      </c>
    </row>
    <row r="31" spans="1:7" ht="23.1" customHeight="1" x14ac:dyDescent="0.2">
      <c r="A31" s="74">
        <v>8</v>
      </c>
      <c r="B31" s="75" t="s">
        <v>89</v>
      </c>
      <c r="C31" s="76">
        <v>3436127</v>
      </c>
      <c r="D31" s="76">
        <v>6772000</v>
      </c>
      <c r="E31" s="76">
        <f t="shared" si="2"/>
        <v>3335873</v>
      </c>
      <c r="F31" s="77">
        <f t="shared" si="3"/>
        <v>0.97082354639394874</v>
      </c>
    </row>
    <row r="32" spans="1:7" ht="23.1" customHeight="1" x14ac:dyDescent="0.2">
      <c r="A32" s="74">
        <v>9</v>
      </c>
      <c r="B32" s="75" t="s">
        <v>90</v>
      </c>
      <c r="C32" s="76">
        <v>81140210</v>
      </c>
      <c r="D32" s="76">
        <v>104753000</v>
      </c>
      <c r="E32" s="76">
        <f t="shared" si="2"/>
        <v>23612790</v>
      </c>
      <c r="F32" s="77">
        <f t="shared" si="3"/>
        <v>0.29101218742224111</v>
      </c>
    </row>
    <row r="33" spans="1:6" ht="23.1" customHeight="1" x14ac:dyDescent="0.25">
      <c r="A33" s="71"/>
      <c r="B33" s="78" t="s">
        <v>91</v>
      </c>
      <c r="C33" s="79">
        <f>SUM(C24:C32)</f>
        <v>311061228</v>
      </c>
      <c r="D33" s="79">
        <f>SUM(D24:D32)</f>
        <v>354816000</v>
      </c>
      <c r="E33" s="79">
        <f t="shared" si="2"/>
        <v>43754772</v>
      </c>
      <c r="F33" s="80">
        <f t="shared" si="3"/>
        <v>0.14066289225862633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28754226</v>
      </c>
      <c r="D35" s="79">
        <f>+D21-D33</f>
        <v>16711000</v>
      </c>
      <c r="E35" s="79">
        <f>D35-C35</f>
        <v>-12043226</v>
      </c>
      <c r="F35" s="80">
        <f>IF(C35=0,0,E35/C35)</f>
        <v>-0.41883325254520848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2258619</v>
      </c>
      <c r="D38" s="76">
        <v>3201000</v>
      </c>
      <c r="E38" s="76">
        <f>D38-C38</f>
        <v>942381</v>
      </c>
      <c r="F38" s="77">
        <f>IF(C38=0,0,E38/C38)</f>
        <v>0.41723770144499805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24812000</v>
      </c>
      <c r="E40" s="76">
        <f>D40-C40</f>
        <v>24812000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2258619</v>
      </c>
      <c r="D41" s="79">
        <f>SUM(D38:D40)</f>
        <v>28013000</v>
      </c>
      <c r="E41" s="79">
        <f>D41-C41</f>
        <v>25754381</v>
      </c>
      <c r="F41" s="80">
        <f>IF(C41=0,0,E41/C41)</f>
        <v>11.402711568440715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31012845</v>
      </c>
      <c r="D43" s="79">
        <f>D35+D41</f>
        <v>44724000</v>
      </c>
      <c r="E43" s="79">
        <f>D43-C43</f>
        <v>13711155</v>
      </c>
      <c r="F43" s="80">
        <f>IF(C43=0,0,E43/C43)</f>
        <v>0.44211213127979715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6339426</v>
      </c>
      <c r="D46" s="76">
        <v>-4977000</v>
      </c>
      <c r="E46" s="76">
        <f>D46-C46</f>
        <v>-11316426</v>
      </c>
      <c r="F46" s="77">
        <f>IF(C46=0,0,E46/C46)</f>
        <v>-1.785086851711811</v>
      </c>
    </row>
    <row r="47" spans="1:6" ht="23.1" customHeight="1" x14ac:dyDescent="0.2">
      <c r="A47" s="85"/>
      <c r="B47" s="75" t="s">
        <v>101</v>
      </c>
      <c r="C47" s="76">
        <v>195247</v>
      </c>
      <c r="D47" s="76">
        <v>0</v>
      </c>
      <c r="E47" s="76">
        <f>D47-C47</f>
        <v>-195247</v>
      </c>
      <c r="F47" s="77">
        <f>IF(C47=0,0,E47/C47)</f>
        <v>-1</v>
      </c>
    </row>
    <row r="48" spans="1:6" ht="23.1" customHeight="1" x14ac:dyDescent="0.25">
      <c r="A48" s="83"/>
      <c r="B48" s="78" t="s">
        <v>102</v>
      </c>
      <c r="C48" s="79">
        <f>SUM(C46:C47)</f>
        <v>6534673</v>
      </c>
      <c r="D48" s="79">
        <f>SUM(D46:D47)</f>
        <v>-4977000</v>
      </c>
      <c r="E48" s="79">
        <f>D48-C48</f>
        <v>-11511673</v>
      </c>
      <c r="F48" s="80">
        <f>IF(C48=0,0,E48/C48)</f>
        <v>-1.7616295413710832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37547518</v>
      </c>
      <c r="D50" s="79">
        <f>D43+D48</f>
        <v>39747000</v>
      </c>
      <c r="E50" s="79">
        <f>D50-C50</f>
        <v>2199482</v>
      </c>
      <c r="F50" s="80">
        <f>IF(C50=0,0,E50/C50)</f>
        <v>5.8578625623137058E-2</v>
      </c>
    </row>
    <row r="51" spans="1:6" ht="23.1" customHeight="1" x14ac:dyDescent="0.2">
      <c r="A51" s="85"/>
      <c r="B51" s="75" t="s">
        <v>104</v>
      </c>
      <c r="C51" s="76">
        <v>4508589</v>
      </c>
      <c r="D51" s="76">
        <v>6316051</v>
      </c>
      <c r="E51" s="76">
        <f>D51-C51</f>
        <v>1807462</v>
      </c>
      <c r="F51" s="77">
        <f>IF(C51=0,0,E51/C51)</f>
        <v>0.40089305101884426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FILING&amp;RNORWALK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208807677</v>
      </c>
      <c r="D14" s="113">
        <v>220724555</v>
      </c>
      <c r="E14" s="113">
        <f t="shared" ref="E14:E25" si="0">D14-C14</f>
        <v>11916878</v>
      </c>
      <c r="F14" s="114">
        <f t="shared" ref="F14:F25" si="1">IF(C14=0,0,E14/C14)</f>
        <v>5.7071072152198699E-2</v>
      </c>
    </row>
    <row r="15" spans="1:6" x14ac:dyDescent="0.2">
      <c r="A15" s="115">
        <v>2</v>
      </c>
      <c r="B15" s="116" t="s">
        <v>114</v>
      </c>
      <c r="C15" s="113">
        <v>33556022</v>
      </c>
      <c r="D15" s="113">
        <v>29122971</v>
      </c>
      <c r="E15" s="113">
        <f t="shared" si="0"/>
        <v>-4433051</v>
      </c>
      <c r="F15" s="114">
        <f t="shared" si="1"/>
        <v>-0.13210895498876477</v>
      </c>
    </row>
    <row r="16" spans="1:6" x14ac:dyDescent="0.2">
      <c r="A16" s="115">
        <v>3</v>
      </c>
      <c r="B16" s="116" t="s">
        <v>115</v>
      </c>
      <c r="C16" s="113">
        <v>75052237</v>
      </c>
      <c r="D16" s="113">
        <v>75908806</v>
      </c>
      <c r="E16" s="113">
        <f t="shared" si="0"/>
        <v>856569</v>
      </c>
      <c r="F16" s="114">
        <f t="shared" si="1"/>
        <v>1.1412970941825492E-2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366203</v>
      </c>
      <c r="D18" s="113">
        <v>260692</v>
      </c>
      <c r="E18" s="113">
        <f t="shared" si="0"/>
        <v>-105511</v>
      </c>
      <c r="F18" s="114">
        <f t="shared" si="1"/>
        <v>-0.2881216156066444</v>
      </c>
    </row>
    <row r="19" spans="1:6" x14ac:dyDescent="0.2">
      <c r="A19" s="115">
        <v>6</v>
      </c>
      <c r="B19" s="116" t="s">
        <v>118</v>
      </c>
      <c r="C19" s="113">
        <v>13876079</v>
      </c>
      <c r="D19" s="113">
        <v>19530154</v>
      </c>
      <c r="E19" s="113">
        <f t="shared" si="0"/>
        <v>5654075</v>
      </c>
      <c r="F19" s="114">
        <f t="shared" si="1"/>
        <v>0.40746921374546802</v>
      </c>
    </row>
    <row r="20" spans="1:6" x14ac:dyDescent="0.2">
      <c r="A20" s="115">
        <v>7</v>
      </c>
      <c r="B20" s="116" t="s">
        <v>119</v>
      </c>
      <c r="C20" s="113">
        <v>111468252</v>
      </c>
      <c r="D20" s="113">
        <v>104010175</v>
      </c>
      <c r="E20" s="113">
        <f t="shared" si="0"/>
        <v>-7458077</v>
      </c>
      <c r="F20" s="114">
        <f t="shared" si="1"/>
        <v>-6.6907633933292507E-2</v>
      </c>
    </row>
    <row r="21" spans="1:6" x14ac:dyDescent="0.2">
      <c r="A21" s="115">
        <v>8</v>
      </c>
      <c r="B21" s="116" t="s">
        <v>120</v>
      </c>
      <c r="C21" s="113">
        <v>2493273</v>
      </c>
      <c r="D21" s="113">
        <v>3102201</v>
      </c>
      <c r="E21" s="113">
        <f t="shared" si="0"/>
        <v>608928</v>
      </c>
      <c r="F21" s="114">
        <f t="shared" si="1"/>
        <v>0.24422836969718117</v>
      </c>
    </row>
    <row r="22" spans="1:6" x14ac:dyDescent="0.2">
      <c r="A22" s="115">
        <v>9</v>
      </c>
      <c r="B22" s="116" t="s">
        <v>121</v>
      </c>
      <c r="C22" s="113">
        <v>7178824</v>
      </c>
      <c r="D22" s="113">
        <v>5833457</v>
      </c>
      <c r="E22" s="113">
        <f t="shared" si="0"/>
        <v>-1345367</v>
      </c>
      <c r="F22" s="114">
        <f t="shared" si="1"/>
        <v>-0.18740771468975978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618499</v>
      </c>
      <c r="D24" s="113">
        <v>1246734</v>
      </c>
      <c r="E24" s="113">
        <f t="shared" si="0"/>
        <v>628235</v>
      </c>
      <c r="F24" s="114">
        <f t="shared" si="1"/>
        <v>1.0157413350708733</v>
      </c>
    </row>
    <row r="25" spans="1:6" ht="15.75" x14ac:dyDescent="0.25">
      <c r="A25" s="117"/>
      <c r="B25" s="118" t="s">
        <v>124</v>
      </c>
      <c r="C25" s="119">
        <f>SUM(C14:C24)</f>
        <v>453417066</v>
      </c>
      <c r="D25" s="119">
        <f>SUM(D14:D24)</f>
        <v>459739745</v>
      </c>
      <c r="E25" s="119">
        <f t="shared" si="0"/>
        <v>6322679</v>
      </c>
      <c r="F25" s="120">
        <f t="shared" si="1"/>
        <v>1.3944510416817879E-2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114167538</v>
      </c>
      <c r="D27" s="113">
        <v>130720242</v>
      </c>
      <c r="E27" s="113">
        <f t="shared" ref="E27:E38" si="2">D27-C27</f>
        <v>16552704</v>
      </c>
      <c r="F27" s="114">
        <f t="shared" ref="F27:F38" si="3">IF(C27=0,0,E27/C27)</f>
        <v>0.14498608177045913</v>
      </c>
    </row>
    <row r="28" spans="1:6" x14ac:dyDescent="0.2">
      <c r="A28" s="115">
        <v>2</v>
      </c>
      <c r="B28" s="116" t="s">
        <v>114</v>
      </c>
      <c r="C28" s="113">
        <v>17825907</v>
      </c>
      <c r="D28" s="113">
        <v>21857427</v>
      </c>
      <c r="E28" s="113">
        <f t="shared" si="2"/>
        <v>4031520</v>
      </c>
      <c r="F28" s="114">
        <f t="shared" si="3"/>
        <v>0.22616072214446087</v>
      </c>
    </row>
    <row r="29" spans="1:6" x14ac:dyDescent="0.2">
      <c r="A29" s="115">
        <v>3</v>
      </c>
      <c r="B29" s="116" t="s">
        <v>115</v>
      </c>
      <c r="C29" s="113">
        <v>73913620</v>
      </c>
      <c r="D29" s="113">
        <v>84059124</v>
      </c>
      <c r="E29" s="113">
        <f t="shared" si="2"/>
        <v>10145504</v>
      </c>
      <c r="F29" s="114">
        <f t="shared" si="3"/>
        <v>0.13726163053575241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412598</v>
      </c>
      <c r="D31" s="113">
        <v>378243</v>
      </c>
      <c r="E31" s="113">
        <f t="shared" si="2"/>
        <v>-34355</v>
      </c>
      <c r="F31" s="114">
        <f t="shared" si="3"/>
        <v>-8.3265066723542044E-2</v>
      </c>
    </row>
    <row r="32" spans="1:6" x14ac:dyDescent="0.2">
      <c r="A32" s="115">
        <v>6</v>
      </c>
      <c r="B32" s="116" t="s">
        <v>118</v>
      </c>
      <c r="C32" s="113">
        <v>25270876</v>
      </c>
      <c r="D32" s="113">
        <v>32183757</v>
      </c>
      <c r="E32" s="113">
        <f t="shared" si="2"/>
        <v>6912881</v>
      </c>
      <c r="F32" s="114">
        <f t="shared" si="3"/>
        <v>0.27355130071470413</v>
      </c>
    </row>
    <row r="33" spans="1:6" x14ac:dyDescent="0.2">
      <c r="A33" s="115">
        <v>7</v>
      </c>
      <c r="B33" s="116" t="s">
        <v>119</v>
      </c>
      <c r="C33" s="113">
        <v>180197884</v>
      </c>
      <c r="D33" s="113">
        <v>181268835</v>
      </c>
      <c r="E33" s="113">
        <f t="shared" si="2"/>
        <v>1070951</v>
      </c>
      <c r="F33" s="114">
        <f t="shared" si="3"/>
        <v>5.9431940943324288E-3</v>
      </c>
    </row>
    <row r="34" spans="1:6" x14ac:dyDescent="0.2">
      <c r="A34" s="115">
        <v>8</v>
      </c>
      <c r="B34" s="116" t="s">
        <v>120</v>
      </c>
      <c r="C34" s="113">
        <v>5777351</v>
      </c>
      <c r="D34" s="113">
        <v>6211623</v>
      </c>
      <c r="E34" s="113">
        <f t="shared" si="2"/>
        <v>434272</v>
      </c>
      <c r="F34" s="114">
        <f t="shared" si="3"/>
        <v>7.5168013852715543E-2</v>
      </c>
    </row>
    <row r="35" spans="1:6" x14ac:dyDescent="0.2">
      <c r="A35" s="115">
        <v>9</v>
      </c>
      <c r="B35" s="116" t="s">
        <v>121</v>
      </c>
      <c r="C35" s="113">
        <v>28397840</v>
      </c>
      <c r="D35" s="113">
        <v>27848639</v>
      </c>
      <c r="E35" s="113">
        <f t="shared" si="2"/>
        <v>-549201</v>
      </c>
      <c r="F35" s="114">
        <f t="shared" si="3"/>
        <v>-1.9339534274437773E-2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884820</v>
      </c>
      <c r="D37" s="113">
        <v>799592</v>
      </c>
      <c r="E37" s="113">
        <f t="shared" si="2"/>
        <v>-85228</v>
      </c>
      <c r="F37" s="114">
        <f t="shared" si="3"/>
        <v>-9.6322415858592705E-2</v>
      </c>
    </row>
    <row r="38" spans="1:6" ht="15.75" x14ac:dyDescent="0.25">
      <c r="A38" s="117"/>
      <c r="B38" s="118" t="s">
        <v>126</v>
      </c>
      <c r="C38" s="119">
        <f>SUM(C27:C37)</f>
        <v>446848434</v>
      </c>
      <c r="D38" s="119">
        <f>SUM(D27:D37)</f>
        <v>485327482</v>
      </c>
      <c r="E38" s="119">
        <f t="shared" si="2"/>
        <v>38479048</v>
      </c>
      <c r="F38" s="120">
        <f t="shared" si="3"/>
        <v>8.611207978408178E-2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322975215</v>
      </c>
      <c r="D41" s="119">
        <f t="shared" si="4"/>
        <v>351444797</v>
      </c>
      <c r="E41" s="123">
        <f t="shared" ref="E41:E52" si="5">D41-C41</f>
        <v>28469582</v>
      </c>
      <c r="F41" s="124">
        <f t="shared" ref="F41:F52" si="6">IF(C41=0,0,E41/C41)</f>
        <v>8.8147884660437492E-2</v>
      </c>
    </row>
    <row r="42" spans="1:6" ht="15.75" x14ac:dyDescent="0.25">
      <c r="A42" s="121">
        <v>2</v>
      </c>
      <c r="B42" s="122" t="s">
        <v>114</v>
      </c>
      <c r="C42" s="119">
        <f t="shared" si="4"/>
        <v>51381929</v>
      </c>
      <c r="D42" s="119">
        <f t="shared" si="4"/>
        <v>50980398</v>
      </c>
      <c r="E42" s="123">
        <f t="shared" si="5"/>
        <v>-401531</v>
      </c>
      <c r="F42" s="124">
        <f t="shared" si="6"/>
        <v>-7.8146345965329558E-3</v>
      </c>
    </row>
    <row r="43" spans="1:6" ht="15.75" x14ac:dyDescent="0.25">
      <c r="A43" s="121">
        <v>3</v>
      </c>
      <c r="B43" s="122" t="s">
        <v>115</v>
      </c>
      <c r="C43" s="119">
        <f t="shared" si="4"/>
        <v>148965857</v>
      </c>
      <c r="D43" s="119">
        <f t="shared" si="4"/>
        <v>159967930</v>
      </c>
      <c r="E43" s="123">
        <f t="shared" si="5"/>
        <v>11002073</v>
      </c>
      <c r="F43" s="124">
        <f t="shared" si="6"/>
        <v>7.3856340114231686E-2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778801</v>
      </c>
      <c r="D45" s="119">
        <f t="shared" si="4"/>
        <v>638935</v>
      </c>
      <c r="E45" s="123">
        <f t="shared" si="5"/>
        <v>-139866</v>
      </c>
      <c r="F45" s="124">
        <f t="shared" si="6"/>
        <v>-0.17959144890671686</v>
      </c>
    </row>
    <row r="46" spans="1:6" ht="15.75" x14ac:dyDescent="0.25">
      <c r="A46" s="121">
        <v>6</v>
      </c>
      <c r="B46" s="122" t="s">
        <v>118</v>
      </c>
      <c r="C46" s="119">
        <f t="shared" si="4"/>
        <v>39146955</v>
      </c>
      <c r="D46" s="119">
        <f t="shared" si="4"/>
        <v>51713911</v>
      </c>
      <c r="E46" s="123">
        <f t="shared" si="5"/>
        <v>12566956</v>
      </c>
      <c r="F46" s="124">
        <f t="shared" si="6"/>
        <v>0.32102001292309962</v>
      </c>
    </row>
    <row r="47" spans="1:6" ht="15.75" x14ac:dyDescent="0.25">
      <c r="A47" s="121">
        <v>7</v>
      </c>
      <c r="B47" s="122" t="s">
        <v>119</v>
      </c>
      <c r="C47" s="119">
        <f t="shared" si="4"/>
        <v>291666136</v>
      </c>
      <c r="D47" s="119">
        <f t="shared" si="4"/>
        <v>285279010</v>
      </c>
      <c r="E47" s="123">
        <f t="shared" si="5"/>
        <v>-6387126</v>
      </c>
      <c r="F47" s="124">
        <f t="shared" si="6"/>
        <v>-2.1898757557510893E-2</v>
      </c>
    </row>
    <row r="48" spans="1:6" ht="15.75" x14ac:dyDescent="0.25">
      <c r="A48" s="121">
        <v>8</v>
      </c>
      <c r="B48" s="122" t="s">
        <v>120</v>
      </c>
      <c r="C48" s="119">
        <f t="shared" si="4"/>
        <v>8270624</v>
      </c>
      <c r="D48" s="119">
        <f t="shared" si="4"/>
        <v>9313824</v>
      </c>
      <c r="E48" s="123">
        <f t="shared" si="5"/>
        <v>1043200</v>
      </c>
      <c r="F48" s="124">
        <f t="shared" si="6"/>
        <v>0.12613316721930534</v>
      </c>
    </row>
    <row r="49" spans="1:6" ht="15.75" x14ac:dyDescent="0.25">
      <c r="A49" s="121">
        <v>9</v>
      </c>
      <c r="B49" s="122" t="s">
        <v>121</v>
      </c>
      <c r="C49" s="119">
        <f t="shared" si="4"/>
        <v>35576664</v>
      </c>
      <c r="D49" s="119">
        <f t="shared" si="4"/>
        <v>33682096</v>
      </c>
      <c r="E49" s="123">
        <f t="shared" si="5"/>
        <v>-1894568</v>
      </c>
      <c r="F49" s="124">
        <f t="shared" si="6"/>
        <v>-5.3253109959944527E-2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1503319</v>
      </c>
      <c r="D51" s="119">
        <f t="shared" si="4"/>
        <v>2046326</v>
      </c>
      <c r="E51" s="123">
        <f t="shared" si="5"/>
        <v>543007</v>
      </c>
      <c r="F51" s="124">
        <f t="shared" si="6"/>
        <v>0.36120543943101896</v>
      </c>
    </row>
    <row r="52" spans="1:6" ht="18.75" customHeight="1" thickBot="1" x14ac:dyDescent="0.3">
      <c r="A52" s="125"/>
      <c r="B52" s="126" t="s">
        <v>128</v>
      </c>
      <c r="C52" s="127">
        <f>SUM(C41:C51)</f>
        <v>900265500</v>
      </c>
      <c r="D52" s="128">
        <f>SUM(D41:D51)</f>
        <v>945067227</v>
      </c>
      <c r="E52" s="127">
        <f t="shared" si="5"/>
        <v>44801727</v>
      </c>
      <c r="F52" s="129">
        <f t="shared" si="6"/>
        <v>4.9765015986950517E-2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61942085</v>
      </c>
      <c r="D57" s="113">
        <v>69902581</v>
      </c>
      <c r="E57" s="113">
        <f t="shared" ref="E57:E68" si="7">D57-C57</f>
        <v>7960496</v>
      </c>
      <c r="F57" s="114">
        <f t="shared" ref="F57:F68" si="8">IF(C57=0,0,E57/C57)</f>
        <v>0.12851514442886447</v>
      </c>
    </row>
    <row r="58" spans="1:6" x14ac:dyDescent="0.2">
      <c r="A58" s="115">
        <v>2</v>
      </c>
      <c r="B58" s="116" t="s">
        <v>114</v>
      </c>
      <c r="C58" s="113">
        <v>8299044</v>
      </c>
      <c r="D58" s="113">
        <v>8468731</v>
      </c>
      <c r="E58" s="113">
        <f t="shared" si="7"/>
        <v>169687</v>
      </c>
      <c r="F58" s="114">
        <f t="shared" si="8"/>
        <v>2.0446571918404096E-2</v>
      </c>
    </row>
    <row r="59" spans="1:6" x14ac:dyDescent="0.2">
      <c r="A59" s="115">
        <v>3</v>
      </c>
      <c r="B59" s="116" t="s">
        <v>115</v>
      </c>
      <c r="C59" s="113">
        <v>18310007</v>
      </c>
      <c r="D59" s="113">
        <v>18810298</v>
      </c>
      <c r="E59" s="113">
        <f t="shared" si="7"/>
        <v>500291</v>
      </c>
      <c r="F59" s="114">
        <f t="shared" si="8"/>
        <v>2.7323364758953944E-2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108891</v>
      </c>
      <c r="D61" s="113">
        <v>99570</v>
      </c>
      <c r="E61" s="113">
        <f t="shared" si="7"/>
        <v>-9321</v>
      </c>
      <c r="F61" s="114">
        <f t="shared" si="8"/>
        <v>-8.5599360828718621E-2</v>
      </c>
    </row>
    <row r="62" spans="1:6" x14ac:dyDescent="0.2">
      <c r="A62" s="115">
        <v>6</v>
      </c>
      <c r="B62" s="116" t="s">
        <v>118</v>
      </c>
      <c r="C62" s="113">
        <v>6697009</v>
      </c>
      <c r="D62" s="113">
        <v>10338127</v>
      </c>
      <c r="E62" s="113">
        <f t="shared" si="7"/>
        <v>3641118</v>
      </c>
      <c r="F62" s="114">
        <f t="shared" si="8"/>
        <v>0.54369316212655527</v>
      </c>
    </row>
    <row r="63" spans="1:6" x14ac:dyDescent="0.2">
      <c r="A63" s="115">
        <v>7</v>
      </c>
      <c r="B63" s="116" t="s">
        <v>119</v>
      </c>
      <c r="C63" s="113">
        <v>61888675</v>
      </c>
      <c r="D63" s="113">
        <v>62437406</v>
      </c>
      <c r="E63" s="113">
        <f t="shared" si="7"/>
        <v>548731</v>
      </c>
      <c r="F63" s="114">
        <f t="shared" si="8"/>
        <v>8.8664202295492666E-3</v>
      </c>
    </row>
    <row r="64" spans="1:6" x14ac:dyDescent="0.2">
      <c r="A64" s="115">
        <v>8</v>
      </c>
      <c r="B64" s="116" t="s">
        <v>120</v>
      </c>
      <c r="C64" s="113">
        <v>1509840</v>
      </c>
      <c r="D64" s="113">
        <v>1555537</v>
      </c>
      <c r="E64" s="113">
        <f t="shared" si="7"/>
        <v>45697</v>
      </c>
      <c r="F64" s="114">
        <f t="shared" si="8"/>
        <v>3.0266120913474276E-2</v>
      </c>
    </row>
    <row r="65" spans="1:6" x14ac:dyDescent="0.2">
      <c r="A65" s="115">
        <v>9</v>
      </c>
      <c r="B65" s="116" t="s">
        <v>121</v>
      </c>
      <c r="C65" s="113">
        <v>477473</v>
      </c>
      <c r="D65" s="113">
        <v>251805</v>
      </c>
      <c r="E65" s="113">
        <f t="shared" si="7"/>
        <v>-225668</v>
      </c>
      <c r="F65" s="114">
        <f t="shared" si="8"/>
        <v>-0.47262986598195084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135707</v>
      </c>
      <c r="D67" s="113">
        <v>201194</v>
      </c>
      <c r="E67" s="113">
        <f t="shared" si="7"/>
        <v>65487</v>
      </c>
      <c r="F67" s="114">
        <f t="shared" si="8"/>
        <v>0.4825616954173329</v>
      </c>
    </row>
    <row r="68" spans="1:6" ht="15.75" x14ac:dyDescent="0.25">
      <c r="A68" s="117"/>
      <c r="B68" s="118" t="s">
        <v>131</v>
      </c>
      <c r="C68" s="119">
        <f>SUM(C57:C67)</f>
        <v>159368731</v>
      </c>
      <c r="D68" s="119">
        <f>SUM(D57:D67)</f>
        <v>172065249</v>
      </c>
      <c r="E68" s="119">
        <f t="shared" si="7"/>
        <v>12696518</v>
      </c>
      <c r="F68" s="120">
        <f t="shared" si="8"/>
        <v>7.9667560382343766E-2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21993110</v>
      </c>
      <c r="D70" s="113">
        <v>25164278</v>
      </c>
      <c r="E70" s="113">
        <f t="shared" ref="E70:E81" si="9">D70-C70</f>
        <v>3171168</v>
      </c>
      <c r="F70" s="114">
        <f t="shared" ref="F70:F81" si="10">IF(C70=0,0,E70/C70)</f>
        <v>0.14418915742248367</v>
      </c>
    </row>
    <row r="71" spans="1:6" x14ac:dyDescent="0.2">
      <c r="A71" s="115">
        <v>2</v>
      </c>
      <c r="B71" s="116" t="s">
        <v>114</v>
      </c>
      <c r="C71" s="113">
        <v>3788446</v>
      </c>
      <c r="D71" s="113">
        <v>3597197</v>
      </c>
      <c r="E71" s="113">
        <f t="shared" si="9"/>
        <v>-191249</v>
      </c>
      <c r="F71" s="114">
        <f t="shared" si="10"/>
        <v>-5.0482176596947669E-2</v>
      </c>
    </row>
    <row r="72" spans="1:6" x14ac:dyDescent="0.2">
      <c r="A72" s="115">
        <v>3</v>
      </c>
      <c r="B72" s="116" t="s">
        <v>115</v>
      </c>
      <c r="C72" s="113">
        <v>19100840</v>
      </c>
      <c r="D72" s="113">
        <v>21600771</v>
      </c>
      <c r="E72" s="113">
        <f t="shared" si="9"/>
        <v>2499931</v>
      </c>
      <c r="F72" s="114">
        <f t="shared" si="10"/>
        <v>0.13088068378144627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61717</v>
      </c>
      <c r="D74" s="113">
        <v>46016</v>
      </c>
      <c r="E74" s="113">
        <f t="shared" si="9"/>
        <v>-15701</v>
      </c>
      <c r="F74" s="114">
        <f t="shared" si="10"/>
        <v>-0.25440316282385728</v>
      </c>
    </row>
    <row r="75" spans="1:6" x14ac:dyDescent="0.2">
      <c r="A75" s="115">
        <v>6</v>
      </c>
      <c r="B75" s="116" t="s">
        <v>118</v>
      </c>
      <c r="C75" s="113">
        <v>12815983</v>
      </c>
      <c r="D75" s="113">
        <v>16772759</v>
      </c>
      <c r="E75" s="113">
        <f t="shared" si="9"/>
        <v>3956776</v>
      </c>
      <c r="F75" s="114">
        <f t="shared" si="10"/>
        <v>0.30873761302586</v>
      </c>
    </row>
    <row r="76" spans="1:6" x14ac:dyDescent="0.2">
      <c r="A76" s="115">
        <v>7</v>
      </c>
      <c r="B76" s="116" t="s">
        <v>119</v>
      </c>
      <c r="C76" s="113">
        <v>105896659</v>
      </c>
      <c r="D76" s="113">
        <v>108967503</v>
      </c>
      <c r="E76" s="113">
        <f t="shared" si="9"/>
        <v>3070844</v>
      </c>
      <c r="F76" s="114">
        <f t="shared" si="10"/>
        <v>2.8998497488008569E-2</v>
      </c>
    </row>
    <row r="77" spans="1:6" x14ac:dyDescent="0.2">
      <c r="A77" s="115">
        <v>8</v>
      </c>
      <c r="B77" s="116" t="s">
        <v>120</v>
      </c>
      <c r="C77" s="113">
        <v>3099996</v>
      </c>
      <c r="D77" s="113">
        <v>2750508</v>
      </c>
      <c r="E77" s="113">
        <f t="shared" si="9"/>
        <v>-349488</v>
      </c>
      <c r="F77" s="114">
        <f t="shared" si="10"/>
        <v>-0.11273820998478708</v>
      </c>
    </row>
    <row r="78" spans="1:6" x14ac:dyDescent="0.2">
      <c r="A78" s="115">
        <v>9</v>
      </c>
      <c r="B78" s="116" t="s">
        <v>121</v>
      </c>
      <c r="C78" s="113">
        <v>2259639</v>
      </c>
      <c r="D78" s="113">
        <v>1689789</v>
      </c>
      <c r="E78" s="113">
        <f t="shared" si="9"/>
        <v>-569850</v>
      </c>
      <c r="F78" s="114">
        <f t="shared" si="10"/>
        <v>-0.25218630055508867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121751</v>
      </c>
      <c r="D80" s="113">
        <v>101477</v>
      </c>
      <c r="E80" s="113">
        <f t="shared" si="9"/>
        <v>-20274</v>
      </c>
      <c r="F80" s="114">
        <f t="shared" si="10"/>
        <v>-0.16652019285262545</v>
      </c>
    </row>
    <row r="81" spans="1:6" ht="15.75" x14ac:dyDescent="0.25">
      <c r="A81" s="117"/>
      <c r="B81" s="118" t="s">
        <v>133</v>
      </c>
      <c r="C81" s="119">
        <f>SUM(C70:C80)</f>
        <v>169138141</v>
      </c>
      <c r="D81" s="119">
        <f>SUM(D70:D80)</f>
        <v>180690298</v>
      </c>
      <c r="E81" s="119">
        <f t="shared" si="9"/>
        <v>11552157</v>
      </c>
      <c r="F81" s="120">
        <f t="shared" si="10"/>
        <v>6.8300129892050782E-2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83935195</v>
      </c>
      <c r="D84" s="119">
        <f t="shared" si="11"/>
        <v>95066859</v>
      </c>
      <c r="E84" s="119">
        <f t="shared" ref="E84:E95" si="12">D84-C84</f>
        <v>11131664</v>
      </c>
      <c r="F84" s="120">
        <f t="shared" ref="F84:F95" si="13">IF(C84=0,0,E84/C84)</f>
        <v>0.13262212591511821</v>
      </c>
    </row>
    <row r="85" spans="1:6" ht="15.75" x14ac:dyDescent="0.25">
      <c r="A85" s="130">
        <v>2</v>
      </c>
      <c r="B85" s="122" t="s">
        <v>114</v>
      </c>
      <c r="C85" s="119">
        <f t="shared" si="11"/>
        <v>12087490</v>
      </c>
      <c r="D85" s="119">
        <f t="shared" si="11"/>
        <v>12065928</v>
      </c>
      <c r="E85" s="119">
        <f t="shared" si="12"/>
        <v>-21562</v>
      </c>
      <c r="F85" s="120">
        <f t="shared" si="13"/>
        <v>-1.7838277425669018E-3</v>
      </c>
    </row>
    <row r="86" spans="1:6" ht="15.75" x14ac:dyDescent="0.25">
      <c r="A86" s="130">
        <v>3</v>
      </c>
      <c r="B86" s="122" t="s">
        <v>115</v>
      </c>
      <c r="C86" s="119">
        <f t="shared" si="11"/>
        <v>37410847</v>
      </c>
      <c r="D86" s="119">
        <f t="shared" si="11"/>
        <v>40411069</v>
      </c>
      <c r="E86" s="119">
        <f t="shared" si="12"/>
        <v>3000222</v>
      </c>
      <c r="F86" s="120">
        <f t="shared" si="13"/>
        <v>8.0196580419577237E-2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170608</v>
      </c>
      <c r="D88" s="119">
        <f t="shared" si="11"/>
        <v>145586</v>
      </c>
      <c r="E88" s="119">
        <f t="shared" si="12"/>
        <v>-25022</v>
      </c>
      <c r="F88" s="120">
        <f t="shared" si="13"/>
        <v>-0.14666369689580794</v>
      </c>
    </row>
    <row r="89" spans="1:6" ht="15.75" x14ac:dyDescent="0.25">
      <c r="A89" s="130">
        <v>6</v>
      </c>
      <c r="B89" s="122" t="s">
        <v>118</v>
      </c>
      <c r="C89" s="119">
        <f t="shared" si="11"/>
        <v>19512992</v>
      </c>
      <c r="D89" s="119">
        <f t="shared" si="11"/>
        <v>27110886</v>
      </c>
      <c r="E89" s="119">
        <f t="shared" si="12"/>
        <v>7597894</v>
      </c>
      <c r="F89" s="120">
        <f t="shared" si="13"/>
        <v>0.38937616537740599</v>
      </c>
    </row>
    <row r="90" spans="1:6" ht="15.75" x14ac:dyDescent="0.25">
      <c r="A90" s="130">
        <v>7</v>
      </c>
      <c r="B90" s="122" t="s">
        <v>119</v>
      </c>
      <c r="C90" s="119">
        <f t="shared" si="11"/>
        <v>167785334</v>
      </c>
      <c r="D90" s="119">
        <f t="shared" si="11"/>
        <v>171404909</v>
      </c>
      <c r="E90" s="119">
        <f t="shared" si="12"/>
        <v>3619575</v>
      </c>
      <c r="F90" s="120">
        <f t="shared" si="13"/>
        <v>2.1572654258327488E-2</v>
      </c>
    </row>
    <row r="91" spans="1:6" ht="15.75" x14ac:dyDescent="0.25">
      <c r="A91" s="130">
        <v>8</v>
      </c>
      <c r="B91" s="122" t="s">
        <v>120</v>
      </c>
      <c r="C91" s="119">
        <f t="shared" si="11"/>
        <v>4609836</v>
      </c>
      <c r="D91" s="119">
        <f t="shared" si="11"/>
        <v>4306045</v>
      </c>
      <c r="E91" s="119">
        <f t="shared" si="12"/>
        <v>-303791</v>
      </c>
      <c r="F91" s="120">
        <f t="shared" si="13"/>
        <v>-6.5900609045527872E-2</v>
      </c>
    </row>
    <row r="92" spans="1:6" ht="15.75" x14ac:dyDescent="0.25">
      <c r="A92" s="130">
        <v>9</v>
      </c>
      <c r="B92" s="122" t="s">
        <v>121</v>
      </c>
      <c r="C92" s="119">
        <f t="shared" si="11"/>
        <v>2737112</v>
      </c>
      <c r="D92" s="119">
        <f t="shared" si="11"/>
        <v>1941594</v>
      </c>
      <c r="E92" s="119">
        <f t="shared" si="12"/>
        <v>-795518</v>
      </c>
      <c r="F92" s="120">
        <f t="shared" si="13"/>
        <v>-0.29064137675038509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257458</v>
      </c>
      <c r="D94" s="119">
        <f t="shared" si="11"/>
        <v>302671</v>
      </c>
      <c r="E94" s="119">
        <f t="shared" si="12"/>
        <v>45213</v>
      </c>
      <c r="F94" s="120">
        <f t="shared" si="13"/>
        <v>0.1756131097110985</v>
      </c>
    </row>
    <row r="95" spans="1:6" ht="18.75" customHeight="1" thickBot="1" x14ac:dyDescent="0.3">
      <c r="A95" s="131"/>
      <c r="B95" s="132" t="s">
        <v>134</v>
      </c>
      <c r="C95" s="128">
        <f>SUM(C84:C94)</f>
        <v>328506872</v>
      </c>
      <c r="D95" s="128">
        <f>SUM(D84:D94)</f>
        <v>352755547</v>
      </c>
      <c r="E95" s="128">
        <f t="shared" si="12"/>
        <v>24248675</v>
      </c>
      <c r="F95" s="129">
        <f t="shared" si="13"/>
        <v>7.3814818096103629E-2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4916</v>
      </c>
      <c r="D100" s="133">
        <v>4990</v>
      </c>
      <c r="E100" s="133">
        <f t="shared" ref="E100:E111" si="14">D100-C100</f>
        <v>74</v>
      </c>
      <c r="F100" s="114">
        <f t="shared" ref="F100:F111" si="15">IF(C100=0,0,E100/C100)</f>
        <v>1.5052888527257934E-2</v>
      </c>
    </row>
    <row r="101" spans="1:6" x14ac:dyDescent="0.2">
      <c r="A101" s="115">
        <v>2</v>
      </c>
      <c r="B101" s="116" t="s">
        <v>114</v>
      </c>
      <c r="C101" s="133">
        <v>704</v>
      </c>
      <c r="D101" s="133">
        <v>686</v>
      </c>
      <c r="E101" s="133">
        <f t="shared" si="14"/>
        <v>-18</v>
      </c>
      <c r="F101" s="114">
        <f t="shared" si="15"/>
        <v>-2.556818181818182E-2</v>
      </c>
    </row>
    <row r="102" spans="1:6" x14ac:dyDescent="0.2">
      <c r="A102" s="115">
        <v>3</v>
      </c>
      <c r="B102" s="116" t="s">
        <v>115</v>
      </c>
      <c r="C102" s="133">
        <v>2675</v>
      </c>
      <c r="D102" s="133">
        <v>2638</v>
      </c>
      <c r="E102" s="133">
        <f t="shared" si="14"/>
        <v>-37</v>
      </c>
      <c r="F102" s="114">
        <f t="shared" si="15"/>
        <v>-1.3831775700934579E-2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10</v>
      </c>
      <c r="D104" s="133">
        <v>15</v>
      </c>
      <c r="E104" s="133">
        <f t="shared" si="14"/>
        <v>5</v>
      </c>
      <c r="F104" s="114">
        <f t="shared" si="15"/>
        <v>0.5</v>
      </c>
    </row>
    <row r="105" spans="1:6" x14ac:dyDescent="0.2">
      <c r="A105" s="115">
        <v>6</v>
      </c>
      <c r="B105" s="116" t="s">
        <v>118</v>
      </c>
      <c r="C105" s="133">
        <v>561</v>
      </c>
      <c r="D105" s="133">
        <v>682</v>
      </c>
      <c r="E105" s="133">
        <f t="shared" si="14"/>
        <v>121</v>
      </c>
      <c r="F105" s="114">
        <f t="shared" si="15"/>
        <v>0.21568627450980393</v>
      </c>
    </row>
    <row r="106" spans="1:6" x14ac:dyDescent="0.2">
      <c r="A106" s="115">
        <v>7</v>
      </c>
      <c r="B106" s="116" t="s">
        <v>119</v>
      </c>
      <c r="C106" s="133">
        <v>3947</v>
      </c>
      <c r="D106" s="133">
        <v>3587</v>
      </c>
      <c r="E106" s="133">
        <f t="shared" si="14"/>
        <v>-360</v>
      </c>
      <c r="F106" s="114">
        <f t="shared" si="15"/>
        <v>-9.1208512794527491E-2</v>
      </c>
    </row>
    <row r="107" spans="1:6" x14ac:dyDescent="0.2">
      <c r="A107" s="115">
        <v>8</v>
      </c>
      <c r="B107" s="116" t="s">
        <v>120</v>
      </c>
      <c r="C107" s="133">
        <v>43</v>
      </c>
      <c r="D107" s="133">
        <v>43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231</v>
      </c>
      <c r="D108" s="133">
        <v>203</v>
      </c>
      <c r="E108" s="133">
        <f t="shared" si="14"/>
        <v>-28</v>
      </c>
      <c r="F108" s="114">
        <f t="shared" si="15"/>
        <v>-0.12121212121212122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23</v>
      </c>
      <c r="D110" s="133">
        <v>33</v>
      </c>
      <c r="E110" s="133">
        <f t="shared" si="14"/>
        <v>10</v>
      </c>
      <c r="F110" s="114">
        <f t="shared" si="15"/>
        <v>0.43478260869565216</v>
      </c>
    </row>
    <row r="111" spans="1:6" ht="15.75" x14ac:dyDescent="0.25">
      <c r="A111" s="117"/>
      <c r="B111" s="118" t="s">
        <v>138</v>
      </c>
      <c r="C111" s="134">
        <f>SUM(C100:C110)</f>
        <v>13110</v>
      </c>
      <c r="D111" s="134">
        <f>SUM(D100:D110)</f>
        <v>12877</v>
      </c>
      <c r="E111" s="134">
        <f t="shared" si="14"/>
        <v>-233</v>
      </c>
      <c r="F111" s="120">
        <f t="shared" si="15"/>
        <v>-1.7772692601067886E-2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27039</v>
      </c>
      <c r="D113" s="133">
        <v>27395</v>
      </c>
      <c r="E113" s="133">
        <f t="shared" ref="E113:E124" si="16">D113-C113</f>
        <v>356</v>
      </c>
      <c r="F113" s="114">
        <f t="shared" ref="F113:F124" si="17">IF(C113=0,0,E113/C113)</f>
        <v>1.3166167387847184E-2</v>
      </c>
    </row>
    <row r="114" spans="1:6" x14ac:dyDescent="0.2">
      <c r="A114" s="115">
        <v>2</v>
      </c>
      <c r="B114" s="116" t="s">
        <v>114</v>
      </c>
      <c r="C114" s="133">
        <v>4174</v>
      </c>
      <c r="D114" s="133">
        <v>3698</v>
      </c>
      <c r="E114" s="133">
        <f t="shared" si="16"/>
        <v>-476</v>
      </c>
      <c r="F114" s="114">
        <f t="shared" si="17"/>
        <v>-0.11403929084810734</v>
      </c>
    </row>
    <row r="115" spans="1:6" x14ac:dyDescent="0.2">
      <c r="A115" s="115">
        <v>3</v>
      </c>
      <c r="B115" s="116" t="s">
        <v>115</v>
      </c>
      <c r="C115" s="133">
        <v>10923</v>
      </c>
      <c r="D115" s="133">
        <v>10687</v>
      </c>
      <c r="E115" s="133">
        <f t="shared" si="16"/>
        <v>-236</v>
      </c>
      <c r="F115" s="114">
        <f t="shared" si="17"/>
        <v>-2.1605785956239128E-2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51</v>
      </c>
      <c r="D117" s="133">
        <v>38</v>
      </c>
      <c r="E117" s="133">
        <f t="shared" si="16"/>
        <v>-13</v>
      </c>
      <c r="F117" s="114">
        <f t="shared" si="17"/>
        <v>-0.25490196078431371</v>
      </c>
    </row>
    <row r="118" spans="1:6" x14ac:dyDescent="0.2">
      <c r="A118" s="115">
        <v>6</v>
      </c>
      <c r="B118" s="116" t="s">
        <v>118</v>
      </c>
      <c r="C118" s="133">
        <v>2038</v>
      </c>
      <c r="D118" s="133">
        <v>2685</v>
      </c>
      <c r="E118" s="133">
        <f t="shared" si="16"/>
        <v>647</v>
      </c>
      <c r="F118" s="114">
        <f t="shared" si="17"/>
        <v>0.31746810598626102</v>
      </c>
    </row>
    <row r="119" spans="1:6" x14ac:dyDescent="0.2">
      <c r="A119" s="115">
        <v>7</v>
      </c>
      <c r="B119" s="116" t="s">
        <v>119</v>
      </c>
      <c r="C119" s="133">
        <v>13733</v>
      </c>
      <c r="D119" s="133">
        <v>12272</v>
      </c>
      <c r="E119" s="133">
        <f t="shared" si="16"/>
        <v>-1461</v>
      </c>
      <c r="F119" s="114">
        <f t="shared" si="17"/>
        <v>-0.10638607733197408</v>
      </c>
    </row>
    <row r="120" spans="1:6" x14ac:dyDescent="0.2">
      <c r="A120" s="115">
        <v>8</v>
      </c>
      <c r="B120" s="116" t="s">
        <v>120</v>
      </c>
      <c r="C120" s="133">
        <v>177</v>
      </c>
      <c r="D120" s="133">
        <v>284</v>
      </c>
      <c r="E120" s="133">
        <f t="shared" si="16"/>
        <v>107</v>
      </c>
      <c r="F120" s="114">
        <f t="shared" si="17"/>
        <v>0.60451977401129942</v>
      </c>
    </row>
    <row r="121" spans="1:6" x14ac:dyDescent="0.2">
      <c r="A121" s="115">
        <v>9</v>
      </c>
      <c r="B121" s="116" t="s">
        <v>121</v>
      </c>
      <c r="C121" s="133">
        <v>847</v>
      </c>
      <c r="D121" s="133">
        <v>784</v>
      </c>
      <c r="E121" s="133">
        <f t="shared" si="16"/>
        <v>-63</v>
      </c>
      <c r="F121" s="114">
        <f t="shared" si="17"/>
        <v>-7.43801652892562E-2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89</v>
      </c>
      <c r="D123" s="133">
        <v>168</v>
      </c>
      <c r="E123" s="133">
        <f t="shared" si="16"/>
        <v>79</v>
      </c>
      <c r="F123" s="114">
        <f t="shared" si="17"/>
        <v>0.88764044943820219</v>
      </c>
    </row>
    <row r="124" spans="1:6" ht="15.75" x14ac:dyDescent="0.25">
      <c r="A124" s="117"/>
      <c r="B124" s="118" t="s">
        <v>140</v>
      </c>
      <c r="C124" s="134">
        <f>SUM(C113:C123)</f>
        <v>59071</v>
      </c>
      <c r="D124" s="134">
        <f>SUM(D113:D123)</f>
        <v>58011</v>
      </c>
      <c r="E124" s="134">
        <f t="shared" si="16"/>
        <v>-1060</v>
      </c>
      <c r="F124" s="120">
        <f t="shared" si="17"/>
        <v>-1.7944507457127862E-2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61692</v>
      </c>
      <c r="D126" s="133">
        <v>65223</v>
      </c>
      <c r="E126" s="133">
        <f t="shared" ref="E126:E137" si="18">D126-C126</f>
        <v>3531</v>
      </c>
      <c r="F126" s="114">
        <f t="shared" ref="F126:F137" si="19">IF(C126=0,0,E126/C126)</f>
        <v>5.7235946313946705E-2</v>
      </c>
    </row>
    <row r="127" spans="1:6" x14ac:dyDescent="0.2">
      <c r="A127" s="115">
        <v>2</v>
      </c>
      <c r="B127" s="116" t="s">
        <v>114</v>
      </c>
      <c r="C127" s="133">
        <v>8806</v>
      </c>
      <c r="D127" s="133">
        <v>9708</v>
      </c>
      <c r="E127" s="133">
        <f t="shared" si="18"/>
        <v>902</v>
      </c>
      <c r="F127" s="114">
        <f t="shared" si="19"/>
        <v>0.10243016125369067</v>
      </c>
    </row>
    <row r="128" spans="1:6" x14ac:dyDescent="0.2">
      <c r="A128" s="115">
        <v>3</v>
      </c>
      <c r="B128" s="116" t="s">
        <v>115</v>
      </c>
      <c r="C128" s="133">
        <v>46479</v>
      </c>
      <c r="D128" s="133">
        <v>50259</v>
      </c>
      <c r="E128" s="133">
        <f t="shared" si="18"/>
        <v>3780</v>
      </c>
      <c r="F128" s="114">
        <f t="shared" si="19"/>
        <v>8.1327050926224748E-2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267</v>
      </c>
      <c r="D130" s="133">
        <v>211</v>
      </c>
      <c r="E130" s="133">
        <f t="shared" si="18"/>
        <v>-56</v>
      </c>
      <c r="F130" s="114">
        <f t="shared" si="19"/>
        <v>-0.20973782771535582</v>
      </c>
    </row>
    <row r="131" spans="1:6" x14ac:dyDescent="0.2">
      <c r="A131" s="115">
        <v>6</v>
      </c>
      <c r="B131" s="116" t="s">
        <v>118</v>
      </c>
      <c r="C131" s="133">
        <v>15156</v>
      </c>
      <c r="D131" s="133">
        <v>18635</v>
      </c>
      <c r="E131" s="133">
        <f t="shared" si="18"/>
        <v>3479</v>
      </c>
      <c r="F131" s="114">
        <f t="shared" si="19"/>
        <v>0.22954605436790709</v>
      </c>
    </row>
    <row r="132" spans="1:6" x14ac:dyDescent="0.2">
      <c r="A132" s="115">
        <v>7</v>
      </c>
      <c r="B132" s="116" t="s">
        <v>119</v>
      </c>
      <c r="C132" s="133">
        <v>104969</v>
      </c>
      <c r="D132" s="133">
        <v>100733</v>
      </c>
      <c r="E132" s="133">
        <f t="shared" si="18"/>
        <v>-4236</v>
      </c>
      <c r="F132" s="114">
        <f t="shared" si="19"/>
        <v>-4.0354771408701619E-2</v>
      </c>
    </row>
    <row r="133" spans="1:6" x14ac:dyDescent="0.2">
      <c r="A133" s="115">
        <v>8</v>
      </c>
      <c r="B133" s="116" t="s">
        <v>120</v>
      </c>
      <c r="C133" s="133">
        <v>3237</v>
      </c>
      <c r="D133" s="133">
        <v>3357</v>
      </c>
      <c r="E133" s="133">
        <f t="shared" si="18"/>
        <v>120</v>
      </c>
      <c r="F133" s="114">
        <f t="shared" si="19"/>
        <v>3.7071362372567189E-2</v>
      </c>
    </row>
    <row r="134" spans="1:6" x14ac:dyDescent="0.2">
      <c r="A134" s="115">
        <v>9</v>
      </c>
      <c r="B134" s="116" t="s">
        <v>121</v>
      </c>
      <c r="C134" s="133">
        <v>21540</v>
      </c>
      <c r="D134" s="133">
        <v>19598</v>
      </c>
      <c r="E134" s="133">
        <f t="shared" si="18"/>
        <v>-1942</v>
      </c>
      <c r="F134" s="114">
        <f t="shared" si="19"/>
        <v>-9.0157845868152273E-2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217</v>
      </c>
      <c r="D136" s="133">
        <v>221</v>
      </c>
      <c r="E136" s="133">
        <f t="shared" si="18"/>
        <v>4</v>
      </c>
      <c r="F136" s="114">
        <f t="shared" si="19"/>
        <v>1.8433179723502304E-2</v>
      </c>
    </row>
    <row r="137" spans="1:6" ht="15.75" x14ac:dyDescent="0.25">
      <c r="A137" s="117"/>
      <c r="B137" s="118" t="s">
        <v>142</v>
      </c>
      <c r="C137" s="134">
        <f>SUM(C126:C136)</f>
        <v>262363</v>
      </c>
      <c r="D137" s="134">
        <f>SUM(D126:D136)</f>
        <v>267945</v>
      </c>
      <c r="E137" s="134">
        <f t="shared" si="18"/>
        <v>5582</v>
      </c>
      <c r="F137" s="120">
        <f t="shared" si="19"/>
        <v>2.1275865880478573E-2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23376245</v>
      </c>
      <c r="D142" s="113">
        <v>25157837</v>
      </c>
      <c r="E142" s="113">
        <f t="shared" ref="E142:E153" si="20">D142-C142</f>
        <v>1781592</v>
      </c>
      <c r="F142" s="114">
        <f t="shared" ref="F142:F153" si="21">IF(C142=0,0,E142/C142)</f>
        <v>7.6213780271382342E-2</v>
      </c>
    </row>
    <row r="143" spans="1:6" x14ac:dyDescent="0.2">
      <c r="A143" s="115">
        <v>2</v>
      </c>
      <c r="B143" s="116" t="s">
        <v>114</v>
      </c>
      <c r="C143" s="113">
        <v>3211943</v>
      </c>
      <c r="D143" s="113">
        <v>3751096</v>
      </c>
      <c r="E143" s="113">
        <f t="shared" si="20"/>
        <v>539153</v>
      </c>
      <c r="F143" s="114">
        <f t="shared" si="21"/>
        <v>0.16785883186594533</v>
      </c>
    </row>
    <row r="144" spans="1:6" x14ac:dyDescent="0.2">
      <c r="A144" s="115">
        <v>3</v>
      </c>
      <c r="B144" s="116" t="s">
        <v>115</v>
      </c>
      <c r="C144" s="113">
        <v>30998321</v>
      </c>
      <c r="D144" s="113">
        <v>35267332</v>
      </c>
      <c r="E144" s="113">
        <f t="shared" si="20"/>
        <v>4269011</v>
      </c>
      <c r="F144" s="114">
        <f t="shared" si="21"/>
        <v>0.13771749121508872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127675</v>
      </c>
      <c r="D146" s="113">
        <v>132286</v>
      </c>
      <c r="E146" s="113">
        <f t="shared" si="20"/>
        <v>4611</v>
      </c>
      <c r="F146" s="114">
        <f t="shared" si="21"/>
        <v>3.6115136087722731E-2</v>
      </c>
    </row>
    <row r="147" spans="1:6" x14ac:dyDescent="0.2">
      <c r="A147" s="115">
        <v>6</v>
      </c>
      <c r="B147" s="116" t="s">
        <v>118</v>
      </c>
      <c r="C147" s="113">
        <v>8726553</v>
      </c>
      <c r="D147" s="113">
        <v>10399567</v>
      </c>
      <c r="E147" s="113">
        <f t="shared" si="20"/>
        <v>1673014</v>
      </c>
      <c r="F147" s="114">
        <f t="shared" si="21"/>
        <v>0.1917153313570662</v>
      </c>
    </row>
    <row r="148" spans="1:6" x14ac:dyDescent="0.2">
      <c r="A148" s="115">
        <v>7</v>
      </c>
      <c r="B148" s="116" t="s">
        <v>119</v>
      </c>
      <c r="C148" s="113">
        <v>41097385</v>
      </c>
      <c r="D148" s="113">
        <v>42153861</v>
      </c>
      <c r="E148" s="113">
        <f t="shared" si="20"/>
        <v>1056476</v>
      </c>
      <c r="F148" s="114">
        <f t="shared" si="21"/>
        <v>2.5706647758732094E-2</v>
      </c>
    </row>
    <row r="149" spans="1:6" x14ac:dyDescent="0.2">
      <c r="A149" s="115">
        <v>8</v>
      </c>
      <c r="B149" s="116" t="s">
        <v>120</v>
      </c>
      <c r="C149" s="113">
        <v>2092800</v>
      </c>
      <c r="D149" s="113">
        <v>2494240</v>
      </c>
      <c r="E149" s="113">
        <f t="shared" si="20"/>
        <v>401440</v>
      </c>
      <c r="F149" s="114">
        <f t="shared" si="21"/>
        <v>0.19181957186544343</v>
      </c>
    </row>
    <row r="150" spans="1:6" x14ac:dyDescent="0.2">
      <c r="A150" s="115">
        <v>9</v>
      </c>
      <c r="B150" s="116" t="s">
        <v>121</v>
      </c>
      <c r="C150" s="113">
        <v>12915001</v>
      </c>
      <c r="D150" s="113">
        <v>13216620</v>
      </c>
      <c r="E150" s="113">
        <f t="shared" si="20"/>
        <v>301619</v>
      </c>
      <c r="F150" s="114">
        <f t="shared" si="21"/>
        <v>2.3354160019035231E-2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401772</v>
      </c>
      <c r="D152" s="113">
        <v>532135</v>
      </c>
      <c r="E152" s="113">
        <f t="shared" si="20"/>
        <v>130363</v>
      </c>
      <c r="F152" s="114">
        <f t="shared" si="21"/>
        <v>0.32447009746821581</v>
      </c>
    </row>
    <row r="153" spans="1:6" ht="33.75" customHeight="1" x14ac:dyDescent="0.25">
      <c r="A153" s="117"/>
      <c r="B153" s="118" t="s">
        <v>146</v>
      </c>
      <c r="C153" s="119">
        <f>SUM(C142:C152)</f>
        <v>122947695</v>
      </c>
      <c r="D153" s="119">
        <f>SUM(D142:D152)</f>
        <v>133104974</v>
      </c>
      <c r="E153" s="119">
        <f t="shared" si="20"/>
        <v>10157279</v>
      </c>
      <c r="F153" s="120">
        <f t="shared" si="21"/>
        <v>8.2614635435011616E-2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4816095</v>
      </c>
      <c r="D155" s="113">
        <v>3265917</v>
      </c>
      <c r="E155" s="113">
        <f t="shared" ref="E155:E166" si="22">D155-C155</f>
        <v>-1550178</v>
      </c>
      <c r="F155" s="114">
        <f t="shared" ref="F155:F166" si="23">IF(C155=0,0,E155/C155)</f>
        <v>-0.3218744646856011</v>
      </c>
    </row>
    <row r="156" spans="1:6" x14ac:dyDescent="0.2">
      <c r="A156" s="115">
        <v>2</v>
      </c>
      <c r="B156" s="116" t="s">
        <v>114</v>
      </c>
      <c r="C156" s="113">
        <v>923897</v>
      </c>
      <c r="D156" s="113">
        <v>466908</v>
      </c>
      <c r="E156" s="113">
        <f t="shared" si="22"/>
        <v>-456989</v>
      </c>
      <c r="F156" s="114">
        <f t="shared" si="23"/>
        <v>-0.49463197737410125</v>
      </c>
    </row>
    <row r="157" spans="1:6" x14ac:dyDescent="0.2">
      <c r="A157" s="115">
        <v>3</v>
      </c>
      <c r="B157" s="116" t="s">
        <v>115</v>
      </c>
      <c r="C157" s="113">
        <v>7304940</v>
      </c>
      <c r="D157" s="113">
        <v>5643440</v>
      </c>
      <c r="E157" s="113">
        <f t="shared" si="22"/>
        <v>-1661500</v>
      </c>
      <c r="F157" s="114">
        <f t="shared" si="23"/>
        <v>-0.22744882230381083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18032</v>
      </c>
      <c r="D159" s="113">
        <v>12011</v>
      </c>
      <c r="E159" s="113">
        <f t="shared" si="22"/>
        <v>-6021</v>
      </c>
      <c r="F159" s="114">
        <f t="shared" si="23"/>
        <v>-0.33390638864241351</v>
      </c>
    </row>
    <row r="160" spans="1:6" x14ac:dyDescent="0.2">
      <c r="A160" s="115">
        <v>6</v>
      </c>
      <c r="B160" s="116" t="s">
        <v>118</v>
      </c>
      <c r="C160" s="113">
        <v>6065795</v>
      </c>
      <c r="D160" s="113">
        <v>5791055</v>
      </c>
      <c r="E160" s="113">
        <f t="shared" si="22"/>
        <v>-274740</v>
      </c>
      <c r="F160" s="114">
        <f t="shared" si="23"/>
        <v>-4.5293320990900617E-2</v>
      </c>
    </row>
    <row r="161" spans="1:6" x14ac:dyDescent="0.2">
      <c r="A161" s="115">
        <v>7</v>
      </c>
      <c r="B161" s="116" t="s">
        <v>119</v>
      </c>
      <c r="C161" s="113">
        <v>32895443</v>
      </c>
      <c r="D161" s="113">
        <v>26934195</v>
      </c>
      <c r="E161" s="113">
        <f t="shared" si="22"/>
        <v>-5961248</v>
      </c>
      <c r="F161" s="114">
        <f t="shared" si="23"/>
        <v>-0.18121804895589946</v>
      </c>
    </row>
    <row r="162" spans="1:6" x14ac:dyDescent="0.2">
      <c r="A162" s="115">
        <v>8</v>
      </c>
      <c r="B162" s="116" t="s">
        <v>120</v>
      </c>
      <c r="C162" s="113">
        <v>1309936</v>
      </c>
      <c r="D162" s="113">
        <v>1347720</v>
      </c>
      <c r="E162" s="113">
        <f t="shared" si="22"/>
        <v>37784</v>
      </c>
      <c r="F162" s="114">
        <f t="shared" si="23"/>
        <v>2.8844157271805646E-2</v>
      </c>
    </row>
    <row r="163" spans="1:6" x14ac:dyDescent="0.2">
      <c r="A163" s="115">
        <v>9</v>
      </c>
      <c r="B163" s="116" t="s">
        <v>121</v>
      </c>
      <c r="C163" s="113">
        <v>278673</v>
      </c>
      <c r="D163" s="113">
        <v>248086</v>
      </c>
      <c r="E163" s="113">
        <f t="shared" si="22"/>
        <v>-30587</v>
      </c>
      <c r="F163" s="114">
        <f t="shared" si="23"/>
        <v>-0.10975946718914283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82359</v>
      </c>
      <c r="D165" s="113">
        <v>70463</v>
      </c>
      <c r="E165" s="113">
        <f t="shared" si="22"/>
        <v>-11896</v>
      </c>
      <c r="F165" s="114">
        <f t="shared" si="23"/>
        <v>-0.14444080185529207</v>
      </c>
    </row>
    <row r="166" spans="1:6" ht="33.75" customHeight="1" x14ac:dyDescent="0.25">
      <c r="A166" s="117"/>
      <c r="B166" s="118" t="s">
        <v>148</v>
      </c>
      <c r="C166" s="119">
        <f>SUM(C155:C165)</f>
        <v>53695170</v>
      </c>
      <c r="D166" s="119">
        <f>SUM(D155:D165)</f>
        <v>43779795</v>
      </c>
      <c r="E166" s="119">
        <f t="shared" si="22"/>
        <v>-9915375</v>
      </c>
      <c r="F166" s="120">
        <f t="shared" si="23"/>
        <v>-0.18466046387412499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6457</v>
      </c>
      <c r="D168" s="133">
        <v>5455</v>
      </c>
      <c r="E168" s="133">
        <f t="shared" ref="E168:E179" si="24">D168-C168</f>
        <v>-1002</v>
      </c>
      <c r="F168" s="114">
        <f t="shared" ref="F168:F179" si="25">IF(C168=0,0,E168/C168)</f>
        <v>-0.15518042434567136</v>
      </c>
    </row>
    <row r="169" spans="1:6" x14ac:dyDescent="0.2">
      <c r="A169" s="115">
        <v>2</v>
      </c>
      <c r="B169" s="116" t="s">
        <v>114</v>
      </c>
      <c r="C169" s="133">
        <v>953</v>
      </c>
      <c r="D169" s="133">
        <v>860</v>
      </c>
      <c r="E169" s="133">
        <f t="shared" si="24"/>
        <v>-93</v>
      </c>
      <c r="F169" s="114">
        <f t="shared" si="25"/>
        <v>-9.7586568730325285E-2</v>
      </c>
    </row>
    <row r="170" spans="1:6" x14ac:dyDescent="0.2">
      <c r="A170" s="115">
        <v>3</v>
      </c>
      <c r="B170" s="116" t="s">
        <v>115</v>
      </c>
      <c r="C170" s="133">
        <v>11201</v>
      </c>
      <c r="D170" s="133">
        <v>11379</v>
      </c>
      <c r="E170" s="133">
        <f t="shared" si="24"/>
        <v>178</v>
      </c>
      <c r="F170" s="114">
        <f t="shared" si="25"/>
        <v>1.5891438264440675E-2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54</v>
      </c>
      <c r="D172" s="133">
        <v>44</v>
      </c>
      <c r="E172" s="133">
        <f t="shared" si="24"/>
        <v>-10</v>
      </c>
      <c r="F172" s="114">
        <f t="shared" si="25"/>
        <v>-0.18518518518518517</v>
      </c>
    </row>
    <row r="173" spans="1:6" x14ac:dyDescent="0.2">
      <c r="A173" s="115">
        <v>6</v>
      </c>
      <c r="B173" s="116" t="s">
        <v>118</v>
      </c>
      <c r="C173" s="133">
        <v>2323</v>
      </c>
      <c r="D173" s="133">
        <v>2556</v>
      </c>
      <c r="E173" s="133">
        <f t="shared" si="24"/>
        <v>233</v>
      </c>
      <c r="F173" s="114">
        <f t="shared" si="25"/>
        <v>0.10030133448127422</v>
      </c>
    </row>
    <row r="174" spans="1:6" x14ac:dyDescent="0.2">
      <c r="A174" s="115">
        <v>7</v>
      </c>
      <c r="B174" s="116" t="s">
        <v>119</v>
      </c>
      <c r="C174" s="133">
        <v>13152</v>
      </c>
      <c r="D174" s="133">
        <v>11716</v>
      </c>
      <c r="E174" s="133">
        <f t="shared" si="24"/>
        <v>-1436</v>
      </c>
      <c r="F174" s="114">
        <f t="shared" si="25"/>
        <v>-0.10918491484184915</v>
      </c>
    </row>
    <row r="175" spans="1:6" x14ac:dyDescent="0.2">
      <c r="A175" s="115">
        <v>8</v>
      </c>
      <c r="B175" s="116" t="s">
        <v>120</v>
      </c>
      <c r="C175" s="133">
        <v>814</v>
      </c>
      <c r="D175" s="133">
        <v>804</v>
      </c>
      <c r="E175" s="133">
        <f t="shared" si="24"/>
        <v>-10</v>
      </c>
      <c r="F175" s="114">
        <f t="shared" si="25"/>
        <v>-1.2285012285012284E-2</v>
      </c>
    </row>
    <row r="176" spans="1:6" x14ac:dyDescent="0.2">
      <c r="A176" s="115">
        <v>9</v>
      </c>
      <c r="B176" s="116" t="s">
        <v>121</v>
      </c>
      <c r="C176" s="133">
        <v>3973</v>
      </c>
      <c r="D176" s="133">
        <v>3779</v>
      </c>
      <c r="E176" s="133">
        <f t="shared" si="24"/>
        <v>-194</v>
      </c>
      <c r="F176" s="114">
        <f t="shared" si="25"/>
        <v>-4.8829599798640828E-2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164</v>
      </c>
      <c r="D178" s="133">
        <v>166</v>
      </c>
      <c r="E178" s="133">
        <f t="shared" si="24"/>
        <v>2</v>
      </c>
      <c r="F178" s="114">
        <f t="shared" si="25"/>
        <v>1.2195121951219513E-2</v>
      </c>
    </row>
    <row r="179" spans="1:6" ht="33.75" customHeight="1" x14ac:dyDescent="0.25">
      <c r="A179" s="117"/>
      <c r="B179" s="118" t="s">
        <v>150</v>
      </c>
      <c r="C179" s="134">
        <f>SUM(C168:C178)</f>
        <v>39091</v>
      </c>
      <c r="D179" s="134">
        <f>SUM(D168:D178)</f>
        <v>36759</v>
      </c>
      <c r="E179" s="134">
        <f t="shared" si="24"/>
        <v>-2332</v>
      </c>
      <c r="F179" s="120">
        <f t="shared" si="25"/>
        <v>-5.9655675219359952E-2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FILING&amp;RNORWALK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45733017</v>
      </c>
      <c r="D15" s="157">
        <v>46444000</v>
      </c>
      <c r="E15" s="157">
        <f>+D15-C15</f>
        <v>710983</v>
      </c>
      <c r="F15" s="161">
        <f>IF(C15=0,0,E15/C15)</f>
        <v>1.5546383043130524E-2</v>
      </c>
    </row>
    <row r="16" spans="1:6" ht="15" customHeight="1" x14ac:dyDescent="0.2">
      <c r="A16" s="147">
        <v>2</v>
      </c>
      <c r="B16" s="160" t="s">
        <v>157</v>
      </c>
      <c r="C16" s="157">
        <v>11986450</v>
      </c>
      <c r="D16" s="157">
        <v>12892000</v>
      </c>
      <c r="E16" s="157">
        <f>+D16-C16</f>
        <v>905550</v>
      </c>
      <c r="F16" s="161">
        <f>IF(C16=0,0,E16/C16)</f>
        <v>7.5547806064347661E-2</v>
      </c>
    </row>
    <row r="17" spans="1:6" ht="15" customHeight="1" x14ac:dyDescent="0.2">
      <c r="A17" s="147">
        <v>3</v>
      </c>
      <c r="B17" s="160" t="s">
        <v>158</v>
      </c>
      <c r="C17" s="157">
        <v>75302594</v>
      </c>
      <c r="D17" s="157">
        <v>76386000</v>
      </c>
      <c r="E17" s="157">
        <f>+D17-C17</f>
        <v>1083406</v>
      </c>
      <c r="F17" s="161">
        <f>IF(C17=0,0,E17/C17)</f>
        <v>1.4387366257263329E-2</v>
      </c>
    </row>
    <row r="18" spans="1:6" ht="15.75" customHeight="1" x14ac:dyDescent="0.25">
      <c r="A18" s="147"/>
      <c r="B18" s="162" t="s">
        <v>159</v>
      </c>
      <c r="C18" s="158">
        <f>SUM(C15:C17)</f>
        <v>133022061</v>
      </c>
      <c r="D18" s="158">
        <f>SUM(D15:D17)</f>
        <v>135722000</v>
      </c>
      <c r="E18" s="158">
        <f>+D18-C18</f>
        <v>2699939</v>
      </c>
      <c r="F18" s="159">
        <f>IF(C18=0,0,E18/C18)</f>
        <v>2.0296926537621454E-2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9992314</v>
      </c>
      <c r="D21" s="157">
        <v>6219000</v>
      </c>
      <c r="E21" s="157">
        <f>+D21-C21</f>
        <v>-3773314</v>
      </c>
      <c r="F21" s="161">
        <f>IF(C21=0,0,E21/C21)</f>
        <v>-0.37762163999249826</v>
      </c>
    </row>
    <row r="22" spans="1:6" ht="15" customHeight="1" x14ac:dyDescent="0.2">
      <c r="A22" s="147">
        <v>2</v>
      </c>
      <c r="B22" s="160" t="s">
        <v>162</v>
      </c>
      <c r="C22" s="157">
        <v>2283503</v>
      </c>
      <c r="D22" s="157">
        <v>3182000</v>
      </c>
      <c r="E22" s="157">
        <f>+D22-C22</f>
        <v>898497</v>
      </c>
      <c r="F22" s="161">
        <f>IF(C22=0,0,E22/C22)</f>
        <v>0.39347309813037251</v>
      </c>
    </row>
    <row r="23" spans="1:6" ht="15" customHeight="1" x14ac:dyDescent="0.2">
      <c r="A23" s="147">
        <v>3</v>
      </c>
      <c r="B23" s="160" t="s">
        <v>163</v>
      </c>
      <c r="C23" s="157">
        <v>21288563</v>
      </c>
      <c r="D23" s="157">
        <v>29802000</v>
      </c>
      <c r="E23" s="157">
        <f>+D23-C23</f>
        <v>8513437</v>
      </c>
      <c r="F23" s="161">
        <f>IF(C23=0,0,E23/C23)</f>
        <v>0.39990660712984716</v>
      </c>
    </row>
    <row r="24" spans="1:6" ht="15.75" customHeight="1" x14ac:dyDescent="0.25">
      <c r="A24" s="147"/>
      <c r="B24" s="162" t="s">
        <v>164</v>
      </c>
      <c r="C24" s="158">
        <f>SUM(C21:C23)</f>
        <v>33564380</v>
      </c>
      <c r="D24" s="158">
        <f>SUM(D21:D23)</f>
        <v>39203000</v>
      </c>
      <c r="E24" s="158">
        <f>+D24-C24</f>
        <v>5638620</v>
      </c>
      <c r="F24" s="159">
        <f>IF(C24=0,0,E24/C24)</f>
        <v>0.16799416524303443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190940</v>
      </c>
      <c r="D27" s="157">
        <v>567333</v>
      </c>
      <c r="E27" s="157">
        <f>+D27-C27</f>
        <v>376393</v>
      </c>
      <c r="F27" s="161">
        <f>IF(C27=0,0,E27/C27)</f>
        <v>1.9712632240494397</v>
      </c>
    </row>
    <row r="28" spans="1:6" ht="15" customHeight="1" x14ac:dyDescent="0.2">
      <c r="A28" s="147">
        <v>2</v>
      </c>
      <c r="B28" s="160" t="s">
        <v>167</v>
      </c>
      <c r="C28" s="157">
        <v>7662386</v>
      </c>
      <c r="D28" s="157">
        <v>8103000</v>
      </c>
      <c r="E28" s="157">
        <f>+D28-C28</f>
        <v>440614</v>
      </c>
      <c r="F28" s="161">
        <f>IF(C28=0,0,E28/C28)</f>
        <v>5.750349825759235E-2</v>
      </c>
    </row>
    <row r="29" spans="1:6" ht="15" customHeight="1" x14ac:dyDescent="0.2">
      <c r="A29" s="147">
        <v>3</v>
      </c>
      <c r="B29" s="160" t="s">
        <v>168</v>
      </c>
      <c r="C29" s="157">
        <v>5440237</v>
      </c>
      <c r="D29" s="157">
        <v>5454416</v>
      </c>
      <c r="E29" s="157">
        <f>+D29-C29</f>
        <v>14179</v>
      </c>
      <c r="F29" s="161">
        <f>IF(C29=0,0,E29/C29)</f>
        <v>2.6063202761203233E-3</v>
      </c>
    </row>
    <row r="30" spans="1:6" ht="15.75" customHeight="1" x14ac:dyDescent="0.25">
      <c r="A30" s="147"/>
      <c r="B30" s="162" t="s">
        <v>169</v>
      </c>
      <c r="C30" s="158">
        <f>SUM(C27:C29)</f>
        <v>13293563</v>
      </c>
      <c r="D30" s="158">
        <f>SUM(D27:D29)</f>
        <v>14124749</v>
      </c>
      <c r="E30" s="158">
        <f>+D30-C30</f>
        <v>831186</v>
      </c>
      <c r="F30" s="159">
        <f>IF(C30=0,0,E30/C30)</f>
        <v>6.252544934717652E-2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22000804</v>
      </c>
      <c r="D33" s="157">
        <v>22597000</v>
      </c>
      <c r="E33" s="157">
        <f>+D33-C33</f>
        <v>596196</v>
      </c>
      <c r="F33" s="161">
        <f>IF(C33=0,0,E33/C33)</f>
        <v>2.7098827842837018E-2</v>
      </c>
    </row>
    <row r="34" spans="1:6" ht="15" customHeight="1" x14ac:dyDescent="0.2">
      <c r="A34" s="147">
        <v>2</v>
      </c>
      <c r="B34" s="160" t="s">
        <v>173</v>
      </c>
      <c r="C34" s="157">
        <v>9140729</v>
      </c>
      <c r="D34" s="157">
        <v>15450000</v>
      </c>
      <c r="E34" s="157">
        <f>+D34-C34</f>
        <v>6309271</v>
      </c>
      <c r="F34" s="161">
        <f>IF(C34=0,0,E34/C34)</f>
        <v>0.69023717911339455</v>
      </c>
    </row>
    <row r="35" spans="1:6" ht="15.75" customHeight="1" x14ac:dyDescent="0.25">
      <c r="A35" s="147"/>
      <c r="B35" s="162" t="s">
        <v>174</v>
      </c>
      <c r="C35" s="158">
        <f>SUM(C33:C34)</f>
        <v>31141533</v>
      </c>
      <c r="D35" s="158">
        <f>SUM(D33:D34)</f>
        <v>38047000</v>
      </c>
      <c r="E35" s="158">
        <f>+D35-C35</f>
        <v>6905467</v>
      </c>
      <c r="F35" s="159">
        <f>IF(C35=0,0,E35/C35)</f>
        <v>0.22174460711359328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8325635</v>
      </c>
      <c r="D38" s="157">
        <v>9731000</v>
      </c>
      <c r="E38" s="157">
        <f>+D38-C38</f>
        <v>1405365</v>
      </c>
      <c r="F38" s="161">
        <f>IF(C38=0,0,E38/C38)</f>
        <v>0.1687997371972228</v>
      </c>
    </row>
    <row r="39" spans="1:6" ht="15" customHeight="1" x14ac:dyDescent="0.2">
      <c r="A39" s="147">
        <v>2</v>
      </c>
      <c r="B39" s="160" t="s">
        <v>178</v>
      </c>
      <c r="C39" s="157">
        <v>10113544</v>
      </c>
      <c r="D39" s="157">
        <v>10533000</v>
      </c>
      <c r="E39" s="157">
        <f>+D39-C39</f>
        <v>419456</v>
      </c>
      <c r="F39" s="161">
        <f>IF(C39=0,0,E39/C39)</f>
        <v>4.1474679894604703E-2</v>
      </c>
    </row>
    <row r="40" spans="1:6" ht="15" customHeight="1" x14ac:dyDescent="0.2">
      <c r="A40" s="147">
        <v>3</v>
      </c>
      <c r="B40" s="160" t="s">
        <v>179</v>
      </c>
      <c r="C40" s="157">
        <v>198627</v>
      </c>
      <c r="D40" s="157">
        <v>0</v>
      </c>
      <c r="E40" s="157">
        <f>+D40-C40</f>
        <v>-198627</v>
      </c>
      <c r="F40" s="161">
        <f>IF(C40=0,0,E40/C40)</f>
        <v>-1</v>
      </c>
    </row>
    <row r="41" spans="1:6" ht="15.75" customHeight="1" x14ac:dyDescent="0.25">
      <c r="A41" s="147"/>
      <c r="B41" s="162" t="s">
        <v>180</v>
      </c>
      <c r="C41" s="158">
        <f>SUM(C38:C40)</f>
        <v>18637806</v>
      </c>
      <c r="D41" s="158">
        <f>SUM(D38:D40)</f>
        <v>20264000</v>
      </c>
      <c r="E41" s="158">
        <f>+D41-C41</f>
        <v>1626194</v>
      </c>
      <c r="F41" s="159">
        <f>IF(C41=0,0,E41/C41)</f>
        <v>8.7252437330874677E-2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2456725</v>
      </c>
      <c r="D47" s="157">
        <v>1952000</v>
      </c>
      <c r="E47" s="157">
        <f>+D47-C47</f>
        <v>-504725</v>
      </c>
      <c r="F47" s="161">
        <f>IF(C47=0,0,E47/C47)</f>
        <v>-0.20544627502060669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3436127</v>
      </c>
      <c r="D50" s="157">
        <v>6772000</v>
      </c>
      <c r="E50" s="157">
        <f>+D50-C50</f>
        <v>3335873</v>
      </c>
      <c r="F50" s="161">
        <f>IF(C50=0,0,E50/C50)</f>
        <v>0.97082354639394874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183266</v>
      </c>
      <c r="D53" s="157">
        <v>224536</v>
      </c>
      <c r="E53" s="157">
        <f t="shared" ref="E53:E59" si="0">+D53-C53</f>
        <v>41270</v>
      </c>
      <c r="F53" s="161">
        <f t="shared" ref="F53:F59" si="1">IF(C53=0,0,E53/C53)</f>
        <v>0.22519179771479708</v>
      </c>
    </row>
    <row r="54" spans="1:6" ht="15" customHeight="1" x14ac:dyDescent="0.2">
      <c r="A54" s="147">
        <v>2</v>
      </c>
      <c r="B54" s="160" t="s">
        <v>189</v>
      </c>
      <c r="C54" s="157">
        <v>2550842</v>
      </c>
      <c r="D54" s="157">
        <v>2066516</v>
      </c>
      <c r="E54" s="157">
        <f t="shared" si="0"/>
        <v>-484326</v>
      </c>
      <c r="F54" s="161">
        <f t="shared" si="1"/>
        <v>-0.18986907068332731</v>
      </c>
    </row>
    <row r="55" spans="1:6" ht="15" customHeight="1" x14ac:dyDescent="0.2">
      <c r="A55" s="147">
        <v>3</v>
      </c>
      <c r="B55" s="160" t="s">
        <v>190</v>
      </c>
      <c r="C55" s="157">
        <v>221636</v>
      </c>
      <c r="D55" s="157">
        <v>83890</v>
      </c>
      <c r="E55" s="157">
        <f t="shared" si="0"/>
        <v>-137746</v>
      </c>
      <c r="F55" s="161">
        <f t="shared" si="1"/>
        <v>-0.62149650778754351</v>
      </c>
    </row>
    <row r="56" spans="1:6" ht="15" customHeight="1" x14ac:dyDescent="0.2">
      <c r="A56" s="147">
        <v>4</v>
      </c>
      <c r="B56" s="160" t="s">
        <v>191</v>
      </c>
      <c r="C56" s="157">
        <v>1780756</v>
      </c>
      <c r="D56" s="157">
        <v>1697010</v>
      </c>
      <c r="E56" s="157">
        <f t="shared" si="0"/>
        <v>-83746</v>
      </c>
      <c r="F56" s="161">
        <f t="shared" si="1"/>
        <v>-4.70283407721215E-2</v>
      </c>
    </row>
    <row r="57" spans="1:6" ht="15" customHeight="1" x14ac:dyDescent="0.2">
      <c r="A57" s="147">
        <v>5</v>
      </c>
      <c r="B57" s="160" t="s">
        <v>192</v>
      </c>
      <c r="C57" s="157">
        <v>600366</v>
      </c>
      <c r="D57" s="157">
        <v>722832</v>
      </c>
      <c r="E57" s="157">
        <f t="shared" si="0"/>
        <v>122466</v>
      </c>
      <c r="F57" s="161">
        <f t="shared" si="1"/>
        <v>0.20398556880303015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5336866</v>
      </c>
      <c r="D59" s="158">
        <f>SUM(D53:D58)</f>
        <v>4794784</v>
      </c>
      <c r="E59" s="158">
        <f t="shared" si="0"/>
        <v>-542082</v>
      </c>
      <c r="F59" s="159">
        <f t="shared" si="1"/>
        <v>-0.10157309552085438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206306</v>
      </c>
      <c r="D62" s="157">
        <v>436004</v>
      </c>
      <c r="E62" s="157">
        <f t="shared" ref="E62:E90" si="2">+D62-C62</f>
        <v>229698</v>
      </c>
      <c r="F62" s="161">
        <f t="shared" ref="F62:F90" si="3">IF(C62=0,0,E62/C62)</f>
        <v>1.1133849718379494</v>
      </c>
    </row>
    <row r="63" spans="1:6" ht="15" customHeight="1" x14ac:dyDescent="0.2">
      <c r="A63" s="147">
        <v>2</v>
      </c>
      <c r="B63" s="160" t="s">
        <v>198</v>
      </c>
      <c r="C63" s="157">
        <v>1806649</v>
      </c>
      <c r="D63" s="157">
        <v>1135518</v>
      </c>
      <c r="E63" s="157">
        <f t="shared" si="2"/>
        <v>-671131</v>
      </c>
      <c r="F63" s="161">
        <f t="shared" si="3"/>
        <v>-0.37147835578465987</v>
      </c>
    </row>
    <row r="64" spans="1:6" ht="15" customHeight="1" x14ac:dyDescent="0.2">
      <c r="A64" s="147">
        <v>3</v>
      </c>
      <c r="B64" s="160" t="s">
        <v>199</v>
      </c>
      <c r="C64" s="157">
        <v>3026561</v>
      </c>
      <c r="D64" s="157">
        <v>2332523</v>
      </c>
      <c r="E64" s="157">
        <f t="shared" si="2"/>
        <v>-694038</v>
      </c>
      <c r="F64" s="161">
        <f t="shared" si="3"/>
        <v>-0.22931571509710197</v>
      </c>
    </row>
    <row r="65" spans="1:6" ht="15" customHeight="1" x14ac:dyDescent="0.2">
      <c r="A65" s="147">
        <v>4</v>
      </c>
      <c r="B65" s="160" t="s">
        <v>200</v>
      </c>
      <c r="C65" s="157">
        <v>838055</v>
      </c>
      <c r="D65" s="157">
        <v>630786</v>
      </c>
      <c r="E65" s="157">
        <f t="shared" si="2"/>
        <v>-207269</v>
      </c>
      <c r="F65" s="161">
        <f t="shared" si="3"/>
        <v>-0.24732147651407127</v>
      </c>
    </row>
    <row r="66" spans="1:6" ht="15" customHeight="1" x14ac:dyDescent="0.2">
      <c r="A66" s="147">
        <v>5</v>
      </c>
      <c r="B66" s="160" t="s">
        <v>201</v>
      </c>
      <c r="C66" s="157">
        <v>819565</v>
      </c>
      <c r="D66" s="157">
        <v>805590</v>
      </c>
      <c r="E66" s="157">
        <f t="shared" si="2"/>
        <v>-13975</v>
      </c>
      <c r="F66" s="161">
        <f t="shared" si="3"/>
        <v>-1.7051728660935985E-2</v>
      </c>
    </row>
    <row r="67" spans="1:6" ht="15" customHeight="1" x14ac:dyDescent="0.2">
      <c r="A67" s="147">
        <v>6</v>
      </c>
      <c r="B67" s="160" t="s">
        <v>202</v>
      </c>
      <c r="C67" s="157">
        <v>7653967</v>
      </c>
      <c r="D67" s="157">
        <v>7679925</v>
      </c>
      <c r="E67" s="157">
        <f t="shared" si="2"/>
        <v>25958</v>
      </c>
      <c r="F67" s="161">
        <f t="shared" si="3"/>
        <v>3.3914439401162822E-3</v>
      </c>
    </row>
    <row r="68" spans="1:6" ht="15" customHeight="1" x14ac:dyDescent="0.2">
      <c r="A68" s="147">
        <v>7</v>
      </c>
      <c r="B68" s="160" t="s">
        <v>203</v>
      </c>
      <c r="C68" s="157">
        <v>14500368</v>
      </c>
      <c r="D68" s="157">
        <v>14088709</v>
      </c>
      <c r="E68" s="157">
        <f t="shared" si="2"/>
        <v>-411659</v>
      </c>
      <c r="F68" s="161">
        <f t="shared" si="3"/>
        <v>-2.8389555354733066E-2</v>
      </c>
    </row>
    <row r="69" spans="1:6" ht="15" customHeight="1" x14ac:dyDescent="0.2">
      <c r="A69" s="147">
        <v>8</v>
      </c>
      <c r="B69" s="160" t="s">
        <v>204</v>
      </c>
      <c r="C69" s="157">
        <v>680907</v>
      </c>
      <c r="D69" s="157">
        <v>752427</v>
      </c>
      <c r="E69" s="157">
        <f t="shared" si="2"/>
        <v>71520</v>
      </c>
      <c r="F69" s="161">
        <f t="shared" si="3"/>
        <v>0.10503637060567743</v>
      </c>
    </row>
    <row r="70" spans="1:6" ht="15" customHeight="1" x14ac:dyDescent="0.2">
      <c r="A70" s="147">
        <v>9</v>
      </c>
      <c r="B70" s="160" t="s">
        <v>205</v>
      </c>
      <c r="C70" s="157">
        <v>420469</v>
      </c>
      <c r="D70" s="157">
        <v>364779</v>
      </c>
      <c r="E70" s="157">
        <f t="shared" si="2"/>
        <v>-55690</v>
      </c>
      <c r="F70" s="161">
        <f t="shared" si="3"/>
        <v>-0.13244733856717142</v>
      </c>
    </row>
    <row r="71" spans="1:6" ht="15" customHeight="1" x14ac:dyDescent="0.2">
      <c r="A71" s="147">
        <v>10</v>
      </c>
      <c r="B71" s="160" t="s">
        <v>206</v>
      </c>
      <c r="C71" s="157">
        <v>27197</v>
      </c>
      <c r="D71" s="157">
        <v>22388</v>
      </c>
      <c r="E71" s="157">
        <f t="shared" si="2"/>
        <v>-4809</v>
      </c>
      <c r="F71" s="161">
        <f t="shared" si="3"/>
        <v>-0.17682097290142296</v>
      </c>
    </row>
    <row r="72" spans="1:6" ht="15" customHeight="1" x14ac:dyDescent="0.2">
      <c r="A72" s="147">
        <v>11</v>
      </c>
      <c r="B72" s="160" t="s">
        <v>207</v>
      </c>
      <c r="C72" s="157">
        <v>776442</v>
      </c>
      <c r="D72" s="157">
        <v>809699</v>
      </c>
      <c r="E72" s="157">
        <f t="shared" si="2"/>
        <v>33257</v>
      </c>
      <c r="F72" s="161">
        <f t="shared" si="3"/>
        <v>4.283256186553535E-2</v>
      </c>
    </row>
    <row r="73" spans="1:6" ht="15" customHeight="1" x14ac:dyDescent="0.2">
      <c r="A73" s="147">
        <v>12</v>
      </c>
      <c r="B73" s="160" t="s">
        <v>208</v>
      </c>
      <c r="C73" s="157">
        <v>594030</v>
      </c>
      <c r="D73" s="157">
        <v>521842</v>
      </c>
      <c r="E73" s="157">
        <f t="shared" si="2"/>
        <v>-72188</v>
      </c>
      <c r="F73" s="161">
        <f t="shared" si="3"/>
        <v>-0.12152248202952713</v>
      </c>
    </row>
    <row r="74" spans="1:6" ht="15" customHeight="1" x14ac:dyDescent="0.2">
      <c r="A74" s="147">
        <v>13</v>
      </c>
      <c r="B74" s="160" t="s">
        <v>209</v>
      </c>
      <c r="C74" s="157">
        <v>208017</v>
      </c>
      <c r="D74" s="157">
        <v>186184</v>
      </c>
      <c r="E74" s="157">
        <f t="shared" si="2"/>
        <v>-21833</v>
      </c>
      <c r="F74" s="161">
        <f t="shared" si="3"/>
        <v>-0.10495776787474101</v>
      </c>
    </row>
    <row r="75" spans="1:6" ht="15" customHeight="1" x14ac:dyDescent="0.2">
      <c r="A75" s="147">
        <v>14</v>
      </c>
      <c r="B75" s="160" t="s">
        <v>210</v>
      </c>
      <c r="C75" s="157">
        <v>272360</v>
      </c>
      <c r="D75" s="157">
        <v>174134</v>
      </c>
      <c r="E75" s="157">
        <f t="shared" si="2"/>
        <v>-98226</v>
      </c>
      <c r="F75" s="161">
        <f t="shared" si="3"/>
        <v>-0.36064767219856075</v>
      </c>
    </row>
    <row r="76" spans="1:6" ht="15" customHeight="1" x14ac:dyDescent="0.2">
      <c r="A76" s="147">
        <v>15</v>
      </c>
      <c r="B76" s="160" t="s">
        <v>211</v>
      </c>
      <c r="C76" s="157">
        <v>1494445</v>
      </c>
      <c r="D76" s="157">
        <v>108856</v>
      </c>
      <c r="E76" s="157">
        <f t="shared" si="2"/>
        <v>-1385589</v>
      </c>
      <c r="F76" s="161">
        <f t="shared" si="3"/>
        <v>-0.92715958098156837</v>
      </c>
    </row>
    <row r="77" spans="1:6" ht="15" customHeight="1" x14ac:dyDescent="0.2">
      <c r="A77" s="147">
        <v>16</v>
      </c>
      <c r="B77" s="160" t="s">
        <v>212</v>
      </c>
      <c r="C77" s="157">
        <v>62958</v>
      </c>
      <c r="D77" s="157">
        <v>5336948</v>
      </c>
      <c r="E77" s="157">
        <f t="shared" si="2"/>
        <v>5273990</v>
      </c>
      <c r="F77" s="161">
        <f t="shared" si="3"/>
        <v>83.769973633215798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2608</v>
      </c>
      <c r="D79" s="157">
        <v>15196</v>
      </c>
      <c r="E79" s="157">
        <f t="shared" si="2"/>
        <v>12588</v>
      </c>
      <c r="F79" s="161">
        <f t="shared" si="3"/>
        <v>4.8266871165644174</v>
      </c>
    </row>
    <row r="80" spans="1:6" ht="15" customHeight="1" x14ac:dyDescent="0.2">
      <c r="A80" s="147">
        <v>19</v>
      </c>
      <c r="B80" s="160" t="s">
        <v>215</v>
      </c>
      <c r="C80" s="157">
        <v>140072</v>
      </c>
      <c r="D80" s="157">
        <v>129840</v>
      </c>
      <c r="E80" s="157">
        <f t="shared" si="2"/>
        <v>-10232</v>
      </c>
      <c r="F80" s="161">
        <f t="shared" si="3"/>
        <v>-7.3048146667428177E-2</v>
      </c>
    </row>
    <row r="81" spans="1:6" ht="15" customHeight="1" x14ac:dyDescent="0.2">
      <c r="A81" s="147">
        <v>20</v>
      </c>
      <c r="B81" s="160" t="s">
        <v>216</v>
      </c>
      <c r="C81" s="157">
        <v>1123452</v>
      </c>
      <c r="D81" s="157">
        <v>1300511</v>
      </c>
      <c r="E81" s="157">
        <f t="shared" si="2"/>
        <v>177059</v>
      </c>
      <c r="F81" s="161">
        <f t="shared" si="3"/>
        <v>0.15760263900905425</v>
      </c>
    </row>
    <row r="82" spans="1:6" ht="15" customHeight="1" x14ac:dyDescent="0.2">
      <c r="A82" s="147">
        <v>21</v>
      </c>
      <c r="B82" s="160" t="s">
        <v>217</v>
      </c>
      <c r="C82" s="157">
        <v>1345559</v>
      </c>
      <c r="D82" s="157">
        <v>2092680</v>
      </c>
      <c r="E82" s="157">
        <f t="shared" si="2"/>
        <v>747121</v>
      </c>
      <c r="F82" s="161">
        <f t="shared" si="3"/>
        <v>0.55524952826297469</v>
      </c>
    </row>
    <row r="83" spans="1:6" ht="15" customHeight="1" x14ac:dyDescent="0.2">
      <c r="A83" s="147">
        <v>22</v>
      </c>
      <c r="B83" s="160" t="s">
        <v>218</v>
      </c>
      <c r="C83" s="157">
        <v>1911354</v>
      </c>
      <c r="D83" s="157">
        <v>1547675</v>
      </c>
      <c r="E83" s="157">
        <f t="shared" si="2"/>
        <v>-363679</v>
      </c>
      <c r="F83" s="161">
        <f t="shared" si="3"/>
        <v>-0.19027296879594255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6499557</v>
      </c>
      <c r="D85" s="157">
        <v>6496272</v>
      </c>
      <c r="E85" s="157">
        <f t="shared" si="2"/>
        <v>-3285</v>
      </c>
      <c r="F85" s="161">
        <f t="shared" si="3"/>
        <v>-5.0541906163758545E-4</v>
      </c>
    </row>
    <row r="86" spans="1:6" ht="15" customHeight="1" x14ac:dyDescent="0.2">
      <c r="A86" s="147">
        <v>25</v>
      </c>
      <c r="B86" s="160" t="s">
        <v>221</v>
      </c>
      <c r="C86" s="157">
        <v>119006</v>
      </c>
      <c r="D86" s="157">
        <v>89089</v>
      </c>
      <c r="E86" s="157">
        <f t="shared" si="2"/>
        <v>-29917</v>
      </c>
      <c r="F86" s="161">
        <f t="shared" si="3"/>
        <v>-0.25139068618388988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15701283</v>
      </c>
      <c r="D88" s="157">
        <v>14465831</v>
      </c>
      <c r="E88" s="157">
        <f t="shared" si="2"/>
        <v>-1235452</v>
      </c>
      <c r="F88" s="161">
        <f t="shared" si="3"/>
        <v>-7.8684780090900852E-2</v>
      </c>
    </row>
    <row r="89" spans="1:6" ht="15" customHeight="1" x14ac:dyDescent="0.2">
      <c r="A89" s="147">
        <v>28</v>
      </c>
      <c r="B89" s="160" t="s">
        <v>224</v>
      </c>
      <c r="C89" s="157">
        <v>9940980</v>
      </c>
      <c r="D89" s="157">
        <v>32413061</v>
      </c>
      <c r="E89" s="157">
        <f t="shared" si="2"/>
        <v>22472081</v>
      </c>
      <c r="F89" s="161">
        <f t="shared" si="3"/>
        <v>2.2605498653050304</v>
      </c>
    </row>
    <row r="90" spans="1:6" ht="15.75" customHeight="1" x14ac:dyDescent="0.25">
      <c r="A90" s="147"/>
      <c r="B90" s="162" t="s">
        <v>225</v>
      </c>
      <c r="C90" s="158">
        <f>SUM(C62:C89)</f>
        <v>70172167</v>
      </c>
      <c r="D90" s="158">
        <f>SUM(D62:D89)</f>
        <v>93936467</v>
      </c>
      <c r="E90" s="158">
        <f t="shared" si="2"/>
        <v>23764300</v>
      </c>
      <c r="F90" s="159">
        <f t="shared" si="3"/>
        <v>0.33865706327695422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311061228</v>
      </c>
      <c r="D95" s="158">
        <f>+D93+D90+D59+D50+D47+D44+D41+D35+D30+D24+D18</f>
        <v>354816000</v>
      </c>
      <c r="E95" s="158">
        <f>+D95-C95</f>
        <v>43754772</v>
      </c>
      <c r="F95" s="159">
        <f>IF(C95=0,0,E95/C95)</f>
        <v>0.14066289225862633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65598155</v>
      </c>
      <c r="D103" s="157">
        <v>94877823</v>
      </c>
      <c r="E103" s="157">
        <f t="shared" ref="E103:E121" si="4">D103-C103</f>
        <v>29279668</v>
      </c>
      <c r="F103" s="161">
        <f t="shared" ref="F103:F121" si="5">IF(C103=0,0,E103/C103)</f>
        <v>0.44634895600341201</v>
      </c>
    </row>
    <row r="104" spans="1:6" ht="15" customHeight="1" x14ac:dyDescent="0.2">
      <c r="A104" s="147">
        <v>2</v>
      </c>
      <c r="B104" s="169" t="s">
        <v>234</v>
      </c>
      <c r="C104" s="157">
        <v>3156827</v>
      </c>
      <c r="D104" s="157">
        <v>2828706</v>
      </c>
      <c r="E104" s="157">
        <f t="shared" si="4"/>
        <v>-328121</v>
      </c>
      <c r="F104" s="161">
        <f t="shared" si="5"/>
        <v>-0.10394012722268278</v>
      </c>
    </row>
    <row r="105" spans="1:6" ht="15" customHeight="1" x14ac:dyDescent="0.2">
      <c r="A105" s="147">
        <v>3</v>
      </c>
      <c r="B105" s="169" t="s">
        <v>235</v>
      </c>
      <c r="C105" s="157">
        <v>4169503</v>
      </c>
      <c r="D105" s="157">
        <v>3067768</v>
      </c>
      <c r="E105" s="157">
        <f t="shared" si="4"/>
        <v>-1101735</v>
      </c>
      <c r="F105" s="161">
        <f t="shared" si="5"/>
        <v>-0.26423652891004035</v>
      </c>
    </row>
    <row r="106" spans="1:6" ht="15" customHeight="1" x14ac:dyDescent="0.2">
      <c r="A106" s="147">
        <v>4</v>
      </c>
      <c r="B106" s="169" t="s">
        <v>236</v>
      </c>
      <c r="C106" s="157">
        <v>2251991</v>
      </c>
      <c r="D106" s="157">
        <v>3262680</v>
      </c>
      <c r="E106" s="157">
        <f t="shared" si="4"/>
        <v>1010689</v>
      </c>
      <c r="F106" s="161">
        <f t="shared" si="5"/>
        <v>0.44879797476988142</v>
      </c>
    </row>
    <row r="107" spans="1:6" ht="15" customHeight="1" x14ac:dyDescent="0.2">
      <c r="A107" s="147">
        <v>5</v>
      </c>
      <c r="B107" s="169" t="s">
        <v>237</v>
      </c>
      <c r="C107" s="157">
        <v>12981176</v>
      </c>
      <c r="D107" s="157">
        <v>13770060</v>
      </c>
      <c r="E107" s="157">
        <f t="shared" si="4"/>
        <v>788884</v>
      </c>
      <c r="F107" s="161">
        <f t="shared" si="5"/>
        <v>6.077138157590653E-2</v>
      </c>
    </row>
    <row r="108" spans="1:6" ht="15" customHeight="1" x14ac:dyDescent="0.2">
      <c r="A108" s="147">
        <v>6</v>
      </c>
      <c r="B108" s="169" t="s">
        <v>238</v>
      </c>
      <c r="C108" s="157">
        <v>183380</v>
      </c>
      <c r="D108" s="157">
        <v>135971</v>
      </c>
      <c r="E108" s="157">
        <f t="shared" si="4"/>
        <v>-47409</v>
      </c>
      <c r="F108" s="161">
        <f t="shared" si="5"/>
        <v>-0.25852873813938271</v>
      </c>
    </row>
    <row r="109" spans="1:6" ht="15" customHeight="1" x14ac:dyDescent="0.2">
      <c r="A109" s="147">
        <v>7</v>
      </c>
      <c r="B109" s="169" t="s">
        <v>239</v>
      </c>
      <c r="C109" s="157">
        <v>4190034</v>
      </c>
      <c r="D109" s="157">
        <v>5136453</v>
      </c>
      <c r="E109" s="157">
        <f t="shared" si="4"/>
        <v>946419</v>
      </c>
      <c r="F109" s="161">
        <f t="shared" si="5"/>
        <v>0.22587382345823448</v>
      </c>
    </row>
    <row r="110" spans="1:6" ht="15" customHeight="1" x14ac:dyDescent="0.2">
      <c r="A110" s="147">
        <v>8</v>
      </c>
      <c r="B110" s="169" t="s">
        <v>240</v>
      </c>
      <c r="C110" s="157">
        <v>3262440</v>
      </c>
      <c r="D110" s="157">
        <v>2951739</v>
      </c>
      <c r="E110" s="157">
        <f t="shared" si="4"/>
        <v>-310701</v>
      </c>
      <c r="F110" s="161">
        <f t="shared" si="5"/>
        <v>-9.523577445102438E-2</v>
      </c>
    </row>
    <row r="111" spans="1:6" ht="15" customHeight="1" x14ac:dyDescent="0.2">
      <c r="A111" s="147">
        <v>9</v>
      </c>
      <c r="B111" s="169" t="s">
        <v>241</v>
      </c>
      <c r="C111" s="157">
        <v>1596817</v>
      </c>
      <c r="D111" s="157">
        <v>2043397</v>
      </c>
      <c r="E111" s="157">
        <f t="shared" si="4"/>
        <v>446580</v>
      </c>
      <c r="F111" s="161">
        <f t="shared" si="5"/>
        <v>0.27966886625079768</v>
      </c>
    </row>
    <row r="112" spans="1:6" ht="15" customHeight="1" x14ac:dyDescent="0.2">
      <c r="A112" s="147">
        <v>10</v>
      </c>
      <c r="B112" s="169" t="s">
        <v>242</v>
      </c>
      <c r="C112" s="157">
        <v>5707067</v>
      </c>
      <c r="D112" s="157">
        <v>6167483</v>
      </c>
      <c r="E112" s="157">
        <f t="shared" si="4"/>
        <v>460416</v>
      </c>
      <c r="F112" s="161">
        <f t="shared" si="5"/>
        <v>8.0674714349770207E-2</v>
      </c>
    </row>
    <row r="113" spans="1:6" ht="15" customHeight="1" x14ac:dyDescent="0.2">
      <c r="A113" s="147">
        <v>11</v>
      </c>
      <c r="B113" s="169" t="s">
        <v>243</v>
      </c>
      <c r="C113" s="157">
        <v>4343643</v>
      </c>
      <c r="D113" s="157">
        <v>4515206</v>
      </c>
      <c r="E113" s="157">
        <f t="shared" si="4"/>
        <v>171563</v>
      </c>
      <c r="F113" s="161">
        <f t="shared" si="5"/>
        <v>3.9497490930999621E-2</v>
      </c>
    </row>
    <row r="114" spans="1:6" ht="15" customHeight="1" x14ac:dyDescent="0.2">
      <c r="A114" s="147">
        <v>12</v>
      </c>
      <c r="B114" s="169" t="s">
        <v>244</v>
      </c>
      <c r="C114" s="157">
        <v>1313602</v>
      </c>
      <c r="D114" s="157">
        <v>1366437</v>
      </c>
      <c r="E114" s="157">
        <f t="shared" si="4"/>
        <v>52835</v>
      </c>
      <c r="F114" s="161">
        <f t="shared" si="5"/>
        <v>4.0221467385098381E-2</v>
      </c>
    </row>
    <row r="115" spans="1:6" ht="15" customHeight="1" x14ac:dyDescent="0.2">
      <c r="A115" s="147">
        <v>13</v>
      </c>
      <c r="B115" s="169" t="s">
        <v>245</v>
      </c>
      <c r="C115" s="157">
        <v>4524126</v>
      </c>
      <c r="D115" s="157">
        <v>4174031</v>
      </c>
      <c r="E115" s="157">
        <f t="shared" si="4"/>
        <v>-350095</v>
      </c>
      <c r="F115" s="161">
        <f t="shared" si="5"/>
        <v>-7.7384007430385454E-2</v>
      </c>
    </row>
    <row r="116" spans="1:6" ht="15" customHeight="1" x14ac:dyDescent="0.2">
      <c r="A116" s="147">
        <v>14</v>
      </c>
      <c r="B116" s="169" t="s">
        <v>246</v>
      </c>
      <c r="C116" s="157">
        <v>1317122</v>
      </c>
      <c r="D116" s="157">
        <v>5318009</v>
      </c>
      <c r="E116" s="157">
        <f t="shared" si="4"/>
        <v>4000887</v>
      </c>
      <c r="F116" s="161">
        <f t="shared" si="5"/>
        <v>3.037597883871046</v>
      </c>
    </row>
    <row r="117" spans="1:6" ht="15" customHeight="1" x14ac:dyDescent="0.2">
      <c r="A117" s="147">
        <v>15</v>
      </c>
      <c r="B117" s="169" t="s">
        <v>203</v>
      </c>
      <c r="C117" s="157">
        <v>4712064</v>
      </c>
      <c r="D117" s="157">
        <v>4937053</v>
      </c>
      <c r="E117" s="157">
        <f t="shared" si="4"/>
        <v>224989</v>
      </c>
      <c r="F117" s="161">
        <f t="shared" si="5"/>
        <v>4.7747441460896968E-2</v>
      </c>
    </row>
    <row r="118" spans="1:6" ht="15" customHeight="1" x14ac:dyDescent="0.2">
      <c r="A118" s="147">
        <v>16</v>
      </c>
      <c r="B118" s="169" t="s">
        <v>247</v>
      </c>
      <c r="C118" s="157">
        <v>1583350</v>
      </c>
      <c r="D118" s="157">
        <v>1684328</v>
      </c>
      <c r="E118" s="157">
        <f t="shared" si="4"/>
        <v>100978</v>
      </c>
      <c r="F118" s="161">
        <f t="shared" si="5"/>
        <v>6.3774907632551239E-2</v>
      </c>
    </row>
    <row r="119" spans="1:6" ht="15" customHeight="1" x14ac:dyDescent="0.2">
      <c r="A119" s="147">
        <v>17</v>
      </c>
      <c r="B119" s="169" t="s">
        <v>248</v>
      </c>
      <c r="C119" s="157">
        <v>12729037</v>
      </c>
      <c r="D119" s="157">
        <v>12088670</v>
      </c>
      <c r="E119" s="157">
        <f t="shared" si="4"/>
        <v>-640367</v>
      </c>
      <c r="F119" s="161">
        <f t="shared" si="5"/>
        <v>-5.030757629190645E-2</v>
      </c>
    </row>
    <row r="120" spans="1:6" ht="15" customHeight="1" x14ac:dyDescent="0.2">
      <c r="A120" s="147">
        <v>18</v>
      </c>
      <c r="B120" s="169" t="s">
        <v>249</v>
      </c>
      <c r="C120" s="157">
        <v>14174011</v>
      </c>
      <c r="D120" s="157">
        <v>9269408</v>
      </c>
      <c r="E120" s="157">
        <f t="shared" si="4"/>
        <v>-4904603</v>
      </c>
      <c r="F120" s="161">
        <f t="shared" si="5"/>
        <v>-0.34602788159258518</v>
      </c>
    </row>
    <row r="121" spans="1:6" ht="15.75" customHeight="1" x14ac:dyDescent="0.25">
      <c r="A121" s="147"/>
      <c r="B121" s="165" t="s">
        <v>250</v>
      </c>
      <c r="C121" s="158">
        <f>SUM(C103:C120)</f>
        <v>147794345</v>
      </c>
      <c r="D121" s="158">
        <f>SUM(D103:D120)</f>
        <v>177595222</v>
      </c>
      <c r="E121" s="158">
        <f t="shared" si="4"/>
        <v>29800877</v>
      </c>
      <c r="F121" s="159">
        <f t="shared" si="5"/>
        <v>0.20163746454575104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3488551</v>
      </c>
      <c r="D124" s="157">
        <v>3864635</v>
      </c>
      <c r="E124" s="157">
        <f t="shared" ref="E124:E130" si="6">D124-C124</f>
        <v>376084</v>
      </c>
      <c r="F124" s="161">
        <f t="shared" ref="F124:F130" si="7">IF(C124=0,0,E124/C124)</f>
        <v>0.10780521769640175</v>
      </c>
    </row>
    <row r="125" spans="1:6" ht="15" customHeight="1" x14ac:dyDescent="0.2">
      <c r="A125" s="147">
        <v>2</v>
      </c>
      <c r="B125" s="169" t="s">
        <v>253</v>
      </c>
      <c r="C125" s="157">
        <v>5121514</v>
      </c>
      <c r="D125" s="157">
        <v>5140934</v>
      </c>
      <c r="E125" s="157">
        <f t="shared" si="6"/>
        <v>19420</v>
      </c>
      <c r="F125" s="161">
        <f t="shared" si="7"/>
        <v>3.7918474888480242E-3</v>
      </c>
    </row>
    <row r="126" spans="1:6" ht="15" customHeight="1" x14ac:dyDescent="0.2">
      <c r="A126" s="147">
        <v>3</v>
      </c>
      <c r="B126" s="169" t="s">
        <v>254</v>
      </c>
      <c r="C126" s="157">
        <v>4796462</v>
      </c>
      <c r="D126" s="157">
        <v>4311708</v>
      </c>
      <c r="E126" s="157">
        <f t="shared" si="6"/>
        <v>-484754</v>
      </c>
      <c r="F126" s="161">
        <f t="shared" si="7"/>
        <v>-0.10106490992735896</v>
      </c>
    </row>
    <row r="127" spans="1:6" ht="15" customHeight="1" x14ac:dyDescent="0.2">
      <c r="A127" s="147">
        <v>4</v>
      </c>
      <c r="B127" s="169" t="s">
        <v>255</v>
      </c>
      <c r="C127" s="157">
        <v>3003950</v>
      </c>
      <c r="D127" s="157">
        <v>3595831</v>
      </c>
      <c r="E127" s="157">
        <f t="shared" si="6"/>
        <v>591881</v>
      </c>
      <c r="F127" s="161">
        <f t="shared" si="7"/>
        <v>0.19703423825296693</v>
      </c>
    </row>
    <row r="128" spans="1:6" ht="15" customHeight="1" x14ac:dyDescent="0.2">
      <c r="A128" s="147">
        <v>5</v>
      </c>
      <c r="B128" s="169" t="s">
        <v>256</v>
      </c>
      <c r="C128" s="157">
        <v>1972702</v>
      </c>
      <c r="D128" s="157">
        <v>2458539</v>
      </c>
      <c r="E128" s="157">
        <f t="shared" si="6"/>
        <v>485837</v>
      </c>
      <c r="F128" s="161">
        <f t="shared" si="7"/>
        <v>0.24627997538401644</v>
      </c>
    </row>
    <row r="129" spans="1:6" ht="15" customHeight="1" x14ac:dyDescent="0.2">
      <c r="A129" s="147">
        <v>6</v>
      </c>
      <c r="B129" s="169" t="s">
        <v>257</v>
      </c>
      <c r="C129" s="157">
        <v>773028</v>
      </c>
      <c r="D129" s="157">
        <v>993052</v>
      </c>
      <c r="E129" s="157">
        <f t="shared" si="6"/>
        <v>220024</v>
      </c>
      <c r="F129" s="161">
        <f t="shared" si="7"/>
        <v>0.28462617136766066</v>
      </c>
    </row>
    <row r="130" spans="1:6" ht="15.75" customHeight="1" x14ac:dyDescent="0.25">
      <c r="A130" s="147"/>
      <c r="B130" s="165" t="s">
        <v>258</v>
      </c>
      <c r="C130" s="158">
        <f>SUM(C124:C129)</f>
        <v>19156207</v>
      </c>
      <c r="D130" s="158">
        <f>SUM(D124:D129)</f>
        <v>20364699</v>
      </c>
      <c r="E130" s="158">
        <f t="shared" si="6"/>
        <v>1208492</v>
      </c>
      <c r="F130" s="159">
        <f t="shared" si="7"/>
        <v>6.3086184023799702E-2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10393211</v>
      </c>
      <c r="D133" s="157">
        <v>11039053</v>
      </c>
      <c r="E133" s="157">
        <f t="shared" ref="E133:E167" si="8">D133-C133</f>
        <v>645842</v>
      </c>
      <c r="F133" s="161">
        <f t="shared" ref="F133:F167" si="9">IF(C133=0,0,E133/C133)</f>
        <v>6.2140757076903377E-2</v>
      </c>
    </row>
    <row r="134" spans="1:6" ht="15" customHeight="1" x14ac:dyDescent="0.2">
      <c r="A134" s="147">
        <v>2</v>
      </c>
      <c r="B134" s="169" t="s">
        <v>261</v>
      </c>
      <c r="C134" s="157">
        <v>1911991</v>
      </c>
      <c r="D134" s="157">
        <v>1991870</v>
      </c>
      <c r="E134" s="157">
        <f t="shared" si="8"/>
        <v>79879</v>
      </c>
      <c r="F134" s="161">
        <f t="shared" si="9"/>
        <v>4.1777916318643762E-2</v>
      </c>
    </row>
    <row r="135" spans="1:6" ht="15" customHeight="1" x14ac:dyDescent="0.2">
      <c r="A135" s="147">
        <v>3</v>
      </c>
      <c r="B135" s="169" t="s">
        <v>262</v>
      </c>
      <c r="C135" s="157">
        <v>994025</v>
      </c>
      <c r="D135" s="157">
        <v>1304450</v>
      </c>
      <c r="E135" s="157">
        <f t="shared" si="8"/>
        <v>310425</v>
      </c>
      <c r="F135" s="161">
        <f t="shared" si="9"/>
        <v>0.31229093835668115</v>
      </c>
    </row>
    <row r="136" spans="1:6" ht="15" customHeight="1" x14ac:dyDescent="0.2">
      <c r="A136" s="147">
        <v>4</v>
      </c>
      <c r="B136" s="169" t="s">
        <v>263</v>
      </c>
      <c r="C136" s="157">
        <v>3514997</v>
      </c>
      <c r="D136" s="157">
        <v>3612492</v>
      </c>
      <c r="E136" s="157">
        <f t="shared" si="8"/>
        <v>97495</v>
      </c>
      <c r="F136" s="161">
        <f t="shared" si="9"/>
        <v>2.7736865778263821E-2</v>
      </c>
    </row>
    <row r="137" spans="1:6" ht="15" customHeight="1" x14ac:dyDescent="0.2">
      <c r="A137" s="147">
        <v>5</v>
      </c>
      <c r="B137" s="169" t="s">
        <v>264</v>
      </c>
      <c r="C137" s="157">
        <v>15596373</v>
      </c>
      <c r="D137" s="157">
        <v>16683853</v>
      </c>
      <c r="E137" s="157">
        <f t="shared" si="8"/>
        <v>1087480</v>
      </c>
      <c r="F137" s="161">
        <f t="shared" si="9"/>
        <v>6.9726467814023169E-2</v>
      </c>
    </row>
    <row r="138" spans="1:6" ht="15" customHeight="1" x14ac:dyDescent="0.2">
      <c r="A138" s="147">
        <v>6</v>
      </c>
      <c r="B138" s="169" t="s">
        <v>265</v>
      </c>
      <c r="C138" s="157">
        <v>967526</v>
      </c>
      <c r="D138" s="157">
        <v>808822</v>
      </c>
      <c r="E138" s="157">
        <f t="shared" si="8"/>
        <v>-158704</v>
      </c>
      <c r="F138" s="161">
        <f t="shared" si="9"/>
        <v>-0.16403073405779275</v>
      </c>
    </row>
    <row r="139" spans="1:6" ht="15" customHeight="1" x14ac:dyDescent="0.2">
      <c r="A139" s="147">
        <v>7</v>
      </c>
      <c r="B139" s="169" t="s">
        <v>266</v>
      </c>
      <c r="C139" s="157">
        <v>2251210</v>
      </c>
      <c r="D139" s="157">
        <v>2233595</v>
      </c>
      <c r="E139" s="157">
        <f t="shared" si="8"/>
        <v>-17615</v>
      </c>
      <c r="F139" s="161">
        <f t="shared" si="9"/>
        <v>-7.8246809493561238E-3</v>
      </c>
    </row>
    <row r="140" spans="1:6" ht="15" customHeight="1" x14ac:dyDescent="0.2">
      <c r="A140" s="147">
        <v>8</v>
      </c>
      <c r="B140" s="169" t="s">
        <v>267</v>
      </c>
      <c r="C140" s="157">
        <v>1063458</v>
      </c>
      <c r="D140" s="157">
        <v>1051983</v>
      </c>
      <c r="E140" s="157">
        <f t="shared" si="8"/>
        <v>-11475</v>
      </c>
      <c r="F140" s="161">
        <f t="shared" si="9"/>
        <v>-1.0790270983903455E-2</v>
      </c>
    </row>
    <row r="141" spans="1:6" ht="15" customHeight="1" x14ac:dyDescent="0.2">
      <c r="A141" s="147">
        <v>9</v>
      </c>
      <c r="B141" s="169" t="s">
        <v>268</v>
      </c>
      <c r="C141" s="157">
        <v>1264679</v>
      </c>
      <c r="D141" s="157">
        <v>1319241</v>
      </c>
      <c r="E141" s="157">
        <f t="shared" si="8"/>
        <v>54562</v>
      </c>
      <c r="F141" s="161">
        <f t="shared" si="9"/>
        <v>4.3142963550434538E-2</v>
      </c>
    </row>
    <row r="142" spans="1:6" ht="15" customHeight="1" x14ac:dyDescent="0.2">
      <c r="A142" s="147">
        <v>10</v>
      </c>
      <c r="B142" s="169" t="s">
        <v>269</v>
      </c>
      <c r="C142" s="157">
        <v>12203649</v>
      </c>
      <c r="D142" s="157">
        <v>12464652</v>
      </c>
      <c r="E142" s="157">
        <f t="shared" si="8"/>
        <v>261003</v>
      </c>
      <c r="F142" s="161">
        <f t="shared" si="9"/>
        <v>2.1387291620727538E-2</v>
      </c>
    </row>
    <row r="143" spans="1:6" ht="15" customHeight="1" x14ac:dyDescent="0.2">
      <c r="A143" s="147">
        <v>11</v>
      </c>
      <c r="B143" s="169" t="s">
        <v>270</v>
      </c>
      <c r="C143" s="157">
        <v>1300056</v>
      </c>
      <c r="D143" s="157">
        <v>1093572</v>
      </c>
      <c r="E143" s="157">
        <f t="shared" si="8"/>
        <v>-206484</v>
      </c>
      <c r="F143" s="161">
        <f t="shared" si="9"/>
        <v>-0.15882700437519615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1346787</v>
      </c>
      <c r="D145" s="157">
        <v>1393724</v>
      </c>
      <c r="E145" s="157">
        <f t="shared" si="8"/>
        <v>46937</v>
      </c>
      <c r="F145" s="161">
        <f t="shared" si="9"/>
        <v>3.4851093751276187E-2</v>
      </c>
    </row>
    <row r="146" spans="1:6" ht="15" customHeight="1" x14ac:dyDescent="0.2">
      <c r="A146" s="147">
        <v>14</v>
      </c>
      <c r="B146" s="169" t="s">
        <v>273</v>
      </c>
      <c r="C146" s="157">
        <v>361228</v>
      </c>
      <c r="D146" s="157">
        <v>493058</v>
      </c>
      <c r="E146" s="157">
        <f t="shared" si="8"/>
        <v>131830</v>
      </c>
      <c r="F146" s="161">
        <f t="shared" si="9"/>
        <v>0.36494956094211967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199384</v>
      </c>
      <c r="D148" s="157">
        <v>192130</v>
      </c>
      <c r="E148" s="157">
        <f t="shared" si="8"/>
        <v>-7254</v>
      </c>
      <c r="F148" s="161">
        <f t="shared" si="9"/>
        <v>-3.6382056734743005E-2</v>
      </c>
    </row>
    <row r="149" spans="1:6" ht="15" customHeight="1" x14ac:dyDescent="0.2">
      <c r="A149" s="147">
        <v>17</v>
      </c>
      <c r="B149" s="169" t="s">
        <v>276</v>
      </c>
      <c r="C149" s="157">
        <v>310500</v>
      </c>
      <c r="D149" s="157">
        <v>302488</v>
      </c>
      <c r="E149" s="157">
        <f t="shared" si="8"/>
        <v>-8012</v>
      </c>
      <c r="F149" s="161">
        <f t="shared" si="9"/>
        <v>-2.5803542673107891E-2</v>
      </c>
    </row>
    <row r="150" spans="1:6" ht="15" customHeight="1" x14ac:dyDescent="0.2">
      <c r="A150" s="147">
        <v>18</v>
      </c>
      <c r="B150" s="169" t="s">
        <v>277</v>
      </c>
      <c r="C150" s="157">
        <v>1977968</v>
      </c>
      <c r="D150" s="157">
        <v>2081553</v>
      </c>
      <c r="E150" s="157">
        <f t="shared" si="8"/>
        <v>103585</v>
      </c>
      <c r="F150" s="161">
        <f t="shared" si="9"/>
        <v>5.2369401324996158E-2</v>
      </c>
    </row>
    <row r="151" spans="1:6" ht="15" customHeight="1" x14ac:dyDescent="0.2">
      <c r="A151" s="147">
        <v>19</v>
      </c>
      <c r="B151" s="169" t="s">
        <v>278</v>
      </c>
      <c r="C151" s="157">
        <v>456774</v>
      </c>
      <c r="D151" s="157">
        <v>834869</v>
      </c>
      <c r="E151" s="157">
        <f t="shared" si="8"/>
        <v>378095</v>
      </c>
      <c r="F151" s="161">
        <f t="shared" si="9"/>
        <v>0.82775070384916827</v>
      </c>
    </row>
    <row r="152" spans="1:6" ht="15" customHeight="1" x14ac:dyDescent="0.2">
      <c r="A152" s="147">
        <v>20</v>
      </c>
      <c r="B152" s="169" t="s">
        <v>279</v>
      </c>
      <c r="C152" s="157">
        <v>938610</v>
      </c>
      <c r="D152" s="157">
        <v>7578269</v>
      </c>
      <c r="E152" s="157">
        <f t="shared" si="8"/>
        <v>6639659</v>
      </c>
      <c r="F152" s="161">
        <f t="shared" si="9"/>
        <v>7.0739274032878408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3500126</v>
      </c>
      <c r="D154" s="157">
        <v>3974004</v>
      </c>
      <c r="E154" s="157">
        <f t="shared" si="8"/>
        <v>473878</v>
      </c>
      <c r="F154" s="161">
        <f t="shared" si="9"/>
        <v>0.13538884028746392</v>
      </c>
    </row>
    <row r="155" spans="1:6" ht="15" customHeight="1" x14ac:dyDescent="0.2">
      <c r="A155" s="147">
        <v>23</v>
      </c>
      <c r="B155" s="169" t="s">
        <v>282</v>
      </c>
      <c r="C155" s="157">
        <v>648073</v>
      </c>
      <c r="D155" s="157">
        <v>658295</v>
      </c>
      <c r="E155" s="157">
        <f t="shared" si="8"/>
        <v>10222</v>
      </c>
      <c r="F155" s="161">
        <f t="shared" si="9"/>
        <v>1.5772914471054958E-2</v>
      </c>
    </row>
    <row r="156" spans="1:6" ht="15" customHeight="1" x14ac:dyDescent="0.2">
      <c r="A156" s="147">
        <v>24</v>
      </c>
      <c r="B156" s="169" t="s">
        <v>283</v>
      </c>
      <c r="C156" s="157">
        <v>15258278</v>
      </c>
      <c r="D156" s="157">
        <v>16887712</v>
      </c>
      <c r="E156" s="157">
        <f t="shared" si="8"/>
        <v>1629434</v>
      </c>
      <c r="F156" s="161">
        <f t="shared" si="9"/>
        <v>0.10679016334608663</v>
      </c>
    </row>
    <row r="157" spans="1:6" ht="15" customHeight="1" x14ac:dyDescent="0.2">
      <c r="A157" s="147">
        <v>25</v>
      </c>
      <c r="B157" s="169" t="s">
        <v>284</v>
      </c>
      <c r="C157" s="157">
        <v>1116663</v>
      </c>
      <c r="D157" s="157">
        <v>1186938</v>
      </c>
      <c r="E157" s="157">
        <f t="shared" si="8"/>
        <v>70275</v>
      </c>
      <c r="F157" s="161">
        <f t="shared" si="9"/>
        <v>6.2933042466706612E-2</v>
      </c>
    </row>
    <row r="158" spans="1:6" ht="15" customHeight="1" x14ac:dyDescent="0.2">
      <c r="A158" s="147">
        <v>26</v>
      </c>
      <c r="B158" s="169" t="s">
        <v>285</v>
      </c>
      <c r="C158" s="157">
        <v>360522</v>
      </c>
      <c r="D158" s="157">
        <v>322260</v>
      </c>
      <c r="E158" s="157">
        <f t="shared" si="8"/>
        <v>-38262</v>
      </c>
      <c r="F158" s="161">
        <f t="shared" si="9"/>
        <v>-0.10612944563715945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3259290</v>
      </c>
      <c r="D160" s="157">
        <v>3402511</v>
      </c>
      <c r="E160" s="157">
        <f t="shared" si="8"/>
        <v>143221</v>
      </c>
      <c r="F160" s="161">
        <f t="shared" si="9"/>
        <v>4.394239236152659E-2</v>
      </c>
    </row>
    <row r="161" spans="1:6" ht="15" customHeight="1" x14ac:dyDescent="0.2">
      <c r="A161" s="147">
        <v>29</v>
      </c>
      <c r="B161" s="169" t="s">
        <v>288</v>
      </c>
      <c r="C161" s="157">
        <v>1289764</v>
      </c>
      <c r="D161" s="157">
        <v>1223486</v>
      </c>
      <c r="E161" s="157">
        <f t="shared" si="8"/>
        <v>-66278</v>
      </c>
      <c r="F161" s="161">
        <f t="shared" si="9"/>
        <v>-5.1387695733483021E-2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5227215</v>
      </c>
      <c r="D163" s="157">
        <v>5583940</v>
      </c>
      <c r="E163" s="157">
        <f t="shared" si="8"/>
        <v>356725</v>
      </c>
      <c r="F163" s="161">
        <f t="shared" si="9"/>
        <v>6.8243797127150882E-2</v>
      </c>
    </row>
    <row r="164" spans="1:6" ht="15" customHeight="1" x14ac:dyDescent="0.2">
      <c r="A164" s="147">
        <v>32</v>
      </c>
      <c r="B164" s="169" t="s">
        <v>291</v>
      </c>
      <c r="C164" s="157">
        <v>5069515</v>
      </c>
      <c r="D164" s="157">
        <v>4867709</v>
      </c>
      <c r="E164" s="157">
        <f t="shared" si="8"/>
        <v>-201806</v>
      </c>
      <c r="F164" s="161">
        <f t="shared" si="9"/>
        <v>-3.9807752812645786E-2</v>
      </c>
    </row>
    <row r="165" spans="1:6" ht="15" customHeight="1" x14ac:dyDescent="0.2">
      <c r="A165" s="147">
        <v>33</v>
      </c>
      <c r="B165" s="169" t="s">
        <v>292</v>
      </c>
      <c r="C165" s="157">
        <v>324615</v>
      </c>
      <c r="D165" s="157">
        <v>359317</v>
      </c>
      <c r="E165" s="157">
        <f t="shared" si="8"/>
        <v>34702</v>
      </c>
      <c r="F165" s="161">
        <f t="shared" si="9"/>
        <v>0.10690202239576113</v>
      </c>
    </row>
    <row r="166" spans="1:6" ht="15" customHeight="1" x14ac:dyDescent="0.2">
      <c r="A166" s="147">
        <v>34</v>
      </c>
      <c r="B166" s="169" t="s">
        <v>293</v>
      </c>
      <c r="C166" s="157">
        <v>13544964</v>
      </c>
      <c r="D166" s="157">
        <v>14022454</v>
      </c>
      <c r="E166" s="157">
        <f t="shared" si="8"/>
        <v>477490</v>
      </c>
      <c r="F166" s="161">
        <f t="shared" si="9"/>
        <v>3.5252216248046135E-2</v>
      </c>
    </row>
    <row r="167" spans="1:6" ht="15.75" customHeight="1" x14ac:dyDescent="0.25">
      <c r="A167" s="147"/>
      <c r="B167" s="165" t="s">
        <v>294</v>
      </c>
      <c r="C167" s="158">
        <f>SUM(C133:C166)</f>
        <v>106651451</v>
      </c>
      <c r="D167" s="158">
        <f>SUM(D133:D166)</f>
        <v>118968300</v>
      </c>
      <c r="E167" s="158">
        <f t="shared" si="8"/>
        <v>12316849</v>
      </c>
      <c r="F167" s="159">
        <f t="shared" si="9"/>
        <v>0.1154869332251279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15262839</v>
      </c>
      <c r="D170" s="157">
        <v>15899700</v>
      </c>
      <c r="E170" s="157">
        <f t="shared" ref="E170:E183" si="10">D170-C170</f>
        <v>636861</v>
      </c>
      <c r="F170" s="161">
        <f t="shared" ref="F170:F183" si="11">IF(C170=0,0,E170/C170)</f>
        <v>4.1726247652877684E-2</v>
      </c>
    </row>
    <row r="171" spans="1:6" ht="15" customHeight="1" x14ac:dyDescent="0.2">
      <c r="A171" s="147">
        <v>2</v>
      </c>
      <c r="B171" s="169" t="s">
        <v>297</v>
      </c>
      <c r="C171" s="157">
        <v>4168431</v>
      </c>
      <c r="D171" s="157">
        <v>4306593</v>
      </c>
      <c r="E171" s="157">
        <f t="shared" si="10"/>
        <v>138162</v>
      </c>
      <c r="F171" s="161">
        <f t="shared" si="11"/>
        <v>3.3144845146771053E-2</v>
      </c>
    </row>
    <row r="172" spans="1:6" ht="15" customHeight="1" x14ac:dyDescent="0.2">
      <c r="A172" s="147">
        <v>3</v>
      </c>
      <c r="B172" s="169" t="s">
        <v>298</v>
      </c>
      <c r="C172" s="157">
        <v>5431471</v>
      </c>
      <c r="D172" s="157">
        <v>4980454</v>
      </c>
      <c r="E172" s="157">
        <f t="shared" si="10"/>
        <v>-451017</v>
      </c>
      <c r="F172" s="161">
        <f t="shared" si="11"/>
        <v>-8.3037725875734214E-2</v>
      </c>
    </row>
    <row r="173" spans="1:6" ht="15" customHeight="1" x14ac:dyDescent="0.2">
      <c r="A173" s="147">
        <v>4</v>
      </c>
      <c r="B173" s="169" t="s">
        <v>299</v>
      </c>
      <c r="C173" s="157">
        <v>2162379</v>
      </c>
      <c r="D173" s="157">
        <v>2265565</v>
      </c>
      <c r="E173" s="157">
        <f t="shared" si="10"/>
        <v>103186</v>
      </c>
      <c r="F173" s="161">
        <f t="shared" si="11"/>
        <v>4.7718739406921729E-2</v>
      </c>
    </row>
    <row r="174" spans="1:6" ht="15" customHeight="1" x14ac:dyDescent="0.2">
      <c r="A174" s="147">
        <v>5</v>
      </c>
      <c r="B174" s="169" t="s">
        <v>300</v>
      </c>
      <c r="C174" s="157">
        <v>1559551</v>
      </c>
      <c r="D174" s="157">
        <v>1796955</v>
      </c>
      <c r="E174" s="157">
        <f t="shared" si="10"/>
        <v>237404</v>
      </c>
      <c r="F174" s="161">
        <f t="shared" si="11"/>
        <v>0.15222586500858259</v>
      </c>
    </row>
    <row r="175" spans="1:6" ht="15" customHeight="1" x14ac:dyDescent="0.2">
      <c r="A175" s="147">
        <v>6</v>
      </c>
      <c r="B175" s="169" t="s">
        <v>301</v>
      </c>
      <c r="C175" s="157">
        <v>3517004</v>
      </c>
      <c r="D175" s="157">
        <v>3597389</v>
      </c>
      <c r="E175" s="157">
        <f t="shared" si="10"/>
        <v>80385</v>
      </c>
      <c r="F175" s="161">
        <f t="shared" si="11"/>
        <v>2.285610138629356E-2</v>
      </c>
    </row>
    <row r="176" spans="1:6" ht="15" customHeight="1" x14ac:dyDescent="0.2">
      <c r="A176" s="147">
        <v>7</v>
      </c>
      <c r="B176" s="169" t="s">
        <v>302</v>
      </c>
      <c r="C176" s="157">
        <v>124897</v>
      </c>
      <c r="D176" s="157">
        <v>122058</v>
      </c>
      <c r="E176" s="157">
        <f t="shared" si="10"/>
        <v>-2839</v>
      </c>
      <c r="F176" s="161">
        <f t="shared" si="11"/>
        <v>-2.2730730121620215E-2</v>
      </c>
    </row>
    <row r="177" spans="1:6" ht="15" customHeight="1" x14ac:dyDescent="0.2">
      <c r="A177" s="147">
        <v>8</v>
      </c>
      <c r="B177" s="169" t="s">
        <v>303</v>
      </c>
      <c r="C177" s="157">
        <v>1673746</v>
      </c>
      <c r="D177" s="157">
        <v>1684554</v>
      </c>
      <c r="E177" s="157">
        <f t="shared" si="10"/>
        <v>10808</v>
      </c>
      <c r="F177" s="161">
        <f t="shared" si="11"/>
        <v>6.4573716681025671E-3</v>
      </c>
    </row>
    <row r="178" spans="1:6" ht="15" customHeight="1" x14ac:dyDescent="0.2">
      <c r="A178" s="147">
        <v>9</v>
      </c>
      <c r="B178" s="169" t="s">
        <v>304</v>
      </c>
      <c r="C178" s="157">
        <v>1127278</v>
      </c>
      <c r="D178" s="157">
        <v>907242</v>
      </c>
      <c r="E178" s="157">
        <f t="shared" si="10"/>
        <v>-220036</v>
      </c>
      <c r="F178" s="161">
        <f t="shared" si="11"/>
        <v>-0.19519231281014976</v>
      </c>
    </row>
    <row r="179" spans="1:6" ht="15" customHeight="1" x14ac:dyDescent="0.2">
      <c r="A179" s="147">
        <v>10</v>
      </c>
      <c r="B179" s="169" t="s">
        <v>305</v>
      </c>
      <c r="C179" s="157">
        <v>1932778</v>
      </c>
      <c r="D179" s="157">
        <v>1790141</v>
      </c>
      <c r="E179" s="157">
        <f t="shared" si="10"/>
        <v>-142637</v>
      </c>
      <c r="F179" s="161">
        <f t="shared" si="11"/>
        <v>-7.3798956734813834E-2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498851</v>
      </c>
      <c r="D181" s="157">
        <v>537128</v>
      </c>
      <c r="E181" s="157">
        <f t="shared" si="10"/>
        <v>38277</v>
      </c>
      <c r="F181" s="161">
        <f t="shared" si="11"/>
        <v>7.6730326289813994E-2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37459225</v>
      </c>
      <c r="D183" s="158">
        <f>SUM(D170:D182)</f>
        <v>37887779</v>
      </c>
      <c r="E183" s="158">
        <f t="shared" si="10"/>
        <v>428554</v>
      </c>
      <c r="F183" s="159">
        <f t="shared" si="11"/>
        <v>1.144054635406899E-2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311061228</v>
      </c>
      <c r="D188" s="158">
        <f>+D186+D183+D167+D130+D121</f>
        <v>354816000</v>
      </c>
      <c r="E188" s="158">
        <f>D188-C188</f>
        <v>43754772</v>
      </c>
      <c r="F188" s="159">
        <f>IF(C188=0,0,E188/C188)</f>
        <v>0.14066289225862633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334131914</v>
      </c>
      <c r="D11" s="183">
        <v>324018792</v>
      </c>
      <c r="E11" s="76">
        <v>355511000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16843048</v>
      </c>
      <c r="D12" s="185">
        <v>15796662</v>
      </c>
      <c r="E12" s="185">
        <v>16016000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350974962</v>
      </c>
      <c r="D13" s="76">
        <f>+D11+D12</f>
        <v>339815454</v>
      </c>
      <c r="E13" s="76">
        <f>+E11+E12</f>
        <v>371527000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338981125</v>
      </c>
      <c r="D14" s="185">
        <v>311061228</v>
      </c>
      <c r="E14" s="185">
        <v>354816000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11993837</v>
      </c>
      <c r="D15" s="76">
        <f>+D13-D14</f>
        <v>28754226</v>
      </c>
      <c r="E15" s="76">
        <f>+E13-E14</f>
        <v>16711000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9816666</v>
      </c>
      <c r="D16" s="185">
        <v>8793292</v>
      </c>
      <c r="E16" s="185">
        <v>23036000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21810503</v>
      </c>
      <c r="D17" s="76">
        <f>D15+D16</f>
        <v>37547518</v>
      </c>
      <c r="E17" s="76">
        <f>E15+E16</f>
        <v>39747000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3.3243113390646638E-2</v>
      </c>
      <c r="D20" s="189">
        <f>IF(+D27=0,0,+D24/+D27)</f>
        <v>8.248280150722323E-2</v>
      </c>
      <c r="E20" s="189">
        <f>IF(+E27=0,0,+E24/+E27)</f>
        <v>4.235318567630518E-2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2.7208685673826113E-2</v>
      </c>
      <c r="D21" s="189">
        <f>IF(D27=0,0,+D26/D27)</f>
        <v>2.5223956945704396E-2</v>
      </c>
      <c r="E21" s="189">
        <f>IF(E27=0,0,+E26/E27)</f>
        <v>5.8383578794767882E-2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6.0451799064472747E-2</v>
      </c>
      <c r="D22" s="189">
        <f>IF(D27=0,0,+D28/D27)</f>
        <v>0.10770675845292763</v>
      </c>
      <c r="E22" s="189">
        <f>IF(E27=0,0,+E28/E27)</f>
        <v>0.10073676447107306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11993837</v>
      </c>
      <c r="D24" s="76">
        <f>+D15</f>
        <v>28754226</v>
      </c>
      <c r="E24" s="76">
        <f>+E15</f>
        <v>16711000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350974962</v>
      </c>
      <c r="D25" s="76">
        <f>+D13</f>
        <v>339815454</v>
      </c>
      <c r="E25" s="76">
        <f>+E13</f>
        <v>371527000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9816666</v>
      </c>
      <c r="D26" s="76">
        <f>+D16</f>
        <v>8793292</v>
      </c>
      <c r="E26" s="76">
        <f>+E16</f>
        <v>23036000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360791628</v>
      </c>
      <c r="D27" s="76">
        <f>+D25+D26</f>
        <v>348608746</v>
      </c>
      <c r="E27" s="76">
        <f>+E25+E26</f>
        <v>394563000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21810503</v>
      </c>
      <c r="D28" s="76">
        <f>+D17</f>
        <v>37547518</v>
      </c>
      <c r="E28" s="76">
        <f>+E17</f>
        <v>39747000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207578029</v>
      </c>
      <c r="D31" s="76">
        <v>265968153</v>
      </c>
      <c r="E31" s="76">
        <v>280584110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247213116</v>
      </c>
      <c r="D32" s="76">
        <v>313160208</v>
      </c>
      <c r="E32" s="76">
        <v>349714145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80520124</v>
      </c>
      <c r="D33" s="76">
        <f>+D32-C32</f>
        <v>65947092</v>
      </c>
      <c r="E33" s="76">
        <f>+E32-D32</f>
        <v>36553937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1.4830000000000001</v>
      </c>
      <c r="D34" s="193">
        <f>IF(C32=0,0,+D33/C32)</f>
        <v>0.26676210820464719</v>
      </c>
      <c r="E34" s="193">
        <f>IF(D32=0,0,+E33/D32)</f>
        <v>0.11672599540488235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0.36440264382238396</v>
      </c>
      <c r="D38" s="195">
        <f>IF((D40+D41)=0,0,+D39/(D40+D41))</f>
        <v>0.33956504524630149</v>
      </c>
      <c r="E38" s="195">
        <f>IF((E40+E41)=0,0,+E39/(E40+E41))</f>
        <v>0.36975725930303682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338981125</v>
      </c>
      <c r="D39" s="76">
        <v>311061228</v>
      </c>
      <c r="E39" s="196">
        <v>354816000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913394783</v>
      </c>
      <c r="D40" s="76">
        <v>900265499</v>
      </c>
      <c r="E40" s="196">
        <v>945067227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16843048</v>
      </c>
      <c r="D41" s="76">
        <v>15792359</v>
      </c>
      <c r="E41" s="196">
        <v>14524481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1.5629140425868648</v>
      </c>
      <c r="D43" s="197">
        <f>IF(D38=0,0,IF((D46-D47)=0,0,((+D44-D45)/(D46-D47)/D38)))</f>
        <v>1.6667234112164386</v>
      </c>
      <c r="E43" s="197">
        <f>IF(E38=0,0,IF((E46-E47)=0,0,((+E44-E45)/(E46-E47)/E38)))</f>
        <v>1.5839339182671326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201982906</v>
      </c>
      <c r="D44" s="76">
        <v>194645274</v>
      </c>
      <c r="E44" s="196">
        <v>204763434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2853510</v>
      </c>
      <c r="D45" s="76">
        <v>2737112</v>
      </c>
      <c r="E45" s="196">
        <v>1941594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384784752</v>
      </c>
      <c r="D46" s="76">
        <v>374660379</v>
      </c>
      <c r="E46" s="196">
        <v>379988841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35146642</v>
      </c>
      <c r="D47" s="76">
        <v>35576664</v>
      </c>
      <c r="E47" s="76">
        <v>33682096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0.72074072769358688</v>
      </c>
      <c r="D49" s="198">
        <f>IF(D38=0,0,IF(D51=0,0,(D50/D51)/D38))</f>
        <v>0.75537871398532486</v>
      </c>
      <c r="E49" s="198">
        <f>IF(E38=0,0,IF(E51=0,0,(E50/E51)/E38))</f>
        <v>0.71998016280151678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100509240</v>
      </c>
      <c r="D50" s="199">
        <v>96022685</v>
      </c>
      <c r="E50" s="199">
        <v>107132787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382688495</v>
      </c>
      <c r="D51" s="199">
        <v>374357144</v>
      </c>
      <c r="E51" s="199">
        <v>402425195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0.62986815582696765</v>
      </c>
      <c r="D53" s="198">
        <f>IF(D38=0,0,IF(D55=0,0,(D54/D55)/D38))</f>
        <v>0.73958453925011025</v>
      </c>
      <c r="E53" s="198">
        <f>IF(E38=0,0,IF(E55=0,0,(E54/E55)/E38))</f>
        <v>0.68320447909659598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33024913</v>
      </c>
      <c r="D54" s="199">
        <v>37410847</v>
      </c>
      <c r="E54" s="199">
        <v>40411069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143883340</v>
      </c>
      <c r="D55" s="199">
        <v>148965857</v>
      </c>
      <c r="E55" s="199">
        <v>159967930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13157866.696854968</v>
      </c>
      <c r="D57" s="88">
        <f>+D60*D38</f>
        <v>14043914.166855924</v>
      </c>
      <c r="E57" s="88">
        <f>+E60*E38</f>
        <v>10661184.804719049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18272000</v>
      </c>
      <c r="D58" s="199">
        <v>16801601</v>
      </c>
      <c r="E58" s="199">
        <v>15719561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17836044</v>
      </c>
      <c r="D59" s="199">
        <v>24556938</v>
      </c>
      <c r="E59" s="199">
        <v>13113368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36108044</v>
      </c>
      <c r="D60" s="76">
        <v>41358539</v>
      </c>
      <c r="E60" s="201">
        <v>28832929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3.8815927278709007E-2</v>
      </c>
      <c r="D62" s="202">
        <f>IF(D63=0,0,+D57/D63)</f>
        <v>4.5148391707808481E-2</v>
      </c>
      <c r="E62" s="202">
        <f>IF(E63=0,0,+E57/E63)</f>
        <v>3.0047080190067667E-2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338981125</v>
      </c>
      <c r="D63" s="199">
        <v>311061228</v>
      </c>
      <c r="E63" s="199">
        <v>354816000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1.8819330203826345</v>
      </c>
      <c r="D67" s="203">
        <f>IF(D69=0,0,D68/D69)</f>
        <v>1.3577814725268444</v>
      </c>
      <c r="E67" s="203">
        <f>IF(E69=0,0,E68/E69)</f>
        <v>1.221245774215292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117477179</v>
      </c>
      <c r="D68" s="204">
        <v>129669077</v>
      </c>
      <c r="E68" s="204">
        <v>103797452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62423677</v>
      </c>
      <c r="D69" s="204">
        <v>95500697</v>
      </c>
      <c r="E69" s="204">
        <v>84993090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93.988275223928511</v>
      </c>
      <c r="D71" s="203">
        <f>IF((D77/365)=0,0,+D74/(D77/365))</f>
        <v>103.99350658033131</v>
      </c>
      <c r="E71" s="203">
        <f>IF((E77/365)=0,0,+E74/(E77/365))</f>
        <v>57.020647552547885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73750817</v>
      </c>
      <c r="D72" s="183">
        <v>74550518</v>
      </c>
      <c r="E72" s="183">
        <v>43468380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8738868</v>
      </c>
      <c r="D73" s="206">
        <v>8764926</v>
      </c>
      <c r="E73" s="206">
        <v>8795652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82489685</v>
      </c>
      <c r="D74" s="204">
        <f>+D72+D73</f>
        <v>83315444</v>
      </c>
      <c r="E74" s="204">
        <f>+E72+E73</f>
        <v>52264032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338981125</v>
      </c>
      <c r="D75" s="204">
        <f>+D14</f>
        <v>311061228</v>
      </c>
      <c r="E75" s="204">
        <f>+E14</f>
        <v>354816000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18635476</v>
      </c>
      <c r="D76" s="204">
        <v>18637806</v>
      </c>
      <c r="E76" s="204">
        <v>20264000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320345649</v>
      </c>
      <c r="D77" s="204">
        <f>+D75-D76</f>
        <v>292423422</v>
      </c>
      <c r="E77" s="204">
        <f>+E75-E76</f>
        <v>334552000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23.925191833067466</v>
      </c>
      <c r="D79" s="203">
        <f>IF((D84/365)=0,0,+D83/(D84/365))</f>
        <v>4.927496967521563</v>
      </c>
      <c r="E79" s="203">
        <f>IF((E84/365)=0,0,+E83/(E84/365))</f>
        <v>17.017654390440804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26795462</v>
      </c>
      <c r="D80" s="212">
        <v>40426872</v>
      </c>
      <c r="E80" s="212">
        <v>44469740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4893626</v>
      </c>
      <c r="D82" s="212">
        <v>36052621</v>
      </c>
      <c r="E82" s="212">
        <v>27894498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21901836</v>
      </c>
      <c r="D83" s="212">
        <f>+D80+D81-D82</f>
        <v>4374251</v>
      </c>
      <c r="E83" s="212">
        <f>+E80+E81-E82</f>
        <v>16575242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334131914</v>
      </c>
      <c r="D84" s="204">
        <f>+D11</f>
        <v>324018792</v>
      </c>
      <c r="E84" s="204">
        <f>+E11</f>
        <v>355511000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71.125180492150207</v>
      </c>
      <c r="D86" s="203">
        <f>IF((D90/365)=0,0,+D87/(D90/365))</f>
        <v>119.20301789300585</v>
      </c>
      <c r="E86" s="203">
        <f>IF((E90/365)=0,0,+E87/(E90/365))</f>
        <v>92.728418452138982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62423677</v>
      </c>
      <c r="D87" s="76">
        <f>+D69</f>
        <v>95500697</v>
      </c>
      <c r="E87" s="76">
        <f>+E69</f>
        <v>84993090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338981125</v>
      </c>
      <c r="D88" s="76">
        <f t="shared" si="0"/>
        <v>311061228</v>
      </c>
      <c r="E88" s="76">
        <f t="shared" si="0"/>
        <v>354816000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18635476</v>
      </c>
      <c r="D89" s="201">
        <f t="shared" si="0"/>
        <v>18637806</v>
      </c>
      <c r="E89" s="201">
        <f t="shared" si="0"/>
        <v>20264000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320345649</v>
      </c>
      <c r="D90" s="76">
        <f>+D88-D89</f>
        <v>292423422</v>
      </c>
      <c r="E90" s="76">
        <f>+E88-E89</f>
        <v>334552000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45.721696188704939</v>
      </c>
      <c r="D94" s="214">
        <f>IF(D96=0,0,(D95/D96)*100)</f>
        <v>51.380149033703383</v>
      </c>
      <c r="E94" s="214">
        <f>IF(E96=0,0,(E95/E96)*100)</f>
        <v>54.68170308168078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247213116</v>
      </c>
      <c r="D95" s="76">
        <f>+D32</f>
        <v>313160208</v>
      </c>
      <c r="E95" s="76">
        <f>+E32</f>
        <v>349714145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540691043</v>
      </c>
      <c r="D96" s="76">
        <v>609496496</v>
      </c>
      <c r="E96" s="76">
        <v>639545086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21.888120141132177</v>
      </c>
      <c r="D98" s="214">
        <f>IF(D104=0,0,(D101/D104)*100)</f>
        <v>26.071473131220017</v>
      </c>
      <c r="E98" s="214">
        <f>IF(E104=0,0,(E101/E104)*100)</f>
        <v>30.718739049177245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21810503</v>
      </c>
      <c r="D99" s="76">
        <f>+D28</f>
        <v>37547518</v>
      </c>
      <c r="E99" s="76">
        <f>+E28</f>
        <v>39747000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18635476</v>
      </c>
      <c r="D100" s="201">
        <f>+D76</f>
        <v>18637806</v>
      </c>
      <c r="E100" s="201">
        <f>+E76</f>
        <v>20264000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40445979</v>
      </c>
      <c r="D101" s="76">
        <f>+D99+D100</f>
        <v>56185324</v>
      </c>
      <c r="E101" s="76">
        <f>+E99+E100</f>
        <v>60011000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62423677</v>
      </c>
      <c r="D102" s="204">
        <f>+D69</f>
        <v>95500697</v>
      </c>
      <c r="E102" s="204">
        <f>+E69</f>
        <v>84993090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122361397</v>
      </c>
      <c r="D103" s="216">
        <v>120004287</v>
      </c>
      <c r="E103" s="216">
        <v>110363236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184785074</v>
      </c>
      <c r="D104" s="204">
        <f>+D102+D103</f>
        <v>215504984</v>
      </c>
      <c r="E104" s="204">
        <f>+E102+E103</f>
        <v>195356326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33.108721704518622</v>
      </c>
      <c r="D106" s="214">
        <f>IF(D109=0,0,(D107/D109)*100)</f>
        <v>27.704091259834211</v>
      </c>
      <c r="E106" s="214">
        <f>IF(E109=0,0,(E107/E109)*100)</f>
        <v>23.987972579769139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122361397</v>
      </c>
      <c r="D107" s="204">
        <f>+D103</f>
        <v>120004287</v>
      </c>
      <c r="E107" s="204">
        <f>+E103</f>
        <v>110363236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247213116</v>
      </c>
      <c r="D108" s="204">
        <f>+D32</f>
        <v>313160208</v>
      </c>
      <c r="E108" s="204">
        <f>+E32</f>
        <v>349714145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369574513</v>
      </c>
      <c r="D109" s="204">
        <f>+D107+D108</f>
        <v>433164495</v>
      </c>
      <c r="E109" s="204">
        <f>+E107+E108</f>
        <v>460077381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2.7851370939932094</v>
      </c>
      <c r="D111" s="214">
        <f>IF((+D113+D115)=0,0,((+D112+D113+D114)/(+D113+D115)))</f>
        <v>8.4191536806524443</v>
      </c>
      <c r="E111" s="214">
        <f>IF((+E113+E115)=0,0,((+E112+E113+E114)/(+E113+E115)))</f>
        <v>7.4942692056447164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21810503</v>
      </c>
      <c r="D112" s="76">
        <f>+D17</f>
        <v>37547518</v>
      </c>
      <c r="E112" s="76">
        <f>+E17</f>
        <v>39747000</v>
      </c>
    </row>
    <row r="113" spans="1:8" ht="24" customHeight="1" x14ac:dyDescent="0.2">
      <c r="A113" s="85">
        <v>17</v>
      </c>
      <c r="B113" s="75" t="s">
        <v>88</v>
      </c>
      <c r="C113" s="218">
        <v>2529391</v>
      </c>
      <c r="D113" s="76">
        <v>2456725</v>
      </c>
      <c r="E113" s="76">
        <v>1952000</v>
      </c>
    </row>
    <row r="114" spans="1:8" ht="24" customHeight="1" x14ac:dyDescent="0.2">
      <c r="A114" s="85">
        <v>18</v>
      </c>
      <c r="B114" s="75" t="s">
        <v>374</v>
      </c>
      <c r="C114" s="218">
        <v>18635476</v>
      </c>
      <c r="D114" s="76">
        <v>18637806</v>
      </c>
      <c r="E114" s="76">
        <v>20264000</v>
      </c>
    </row>
    <row r="115" spans="1:8" ht="24" customHeight="1" x14ac:dyDescent="0.2">
      <c r="A115" s="85">
        <v>19</v>
      </c>
      <c r="B115" s="75" t="s">
        <v>104</v>
      </c>
      <c r="C115" s="218">
        <v>12900862</v>
      </c>
      <c r="D115" s="76">
        <v>4508589</v>
      </c>
      <c r="E115" s="76">
        <v>6316051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16.655735061449462</v>
      </c>
      <c r="D119" s="214">
        <f>IF(+D121=0,0,(+D120)/(+D121))</f>
        <v>17.651208355747453</v>
      </c>
      <c r="E119" s="214">
        <f>IF(+E121=0,0,(+E120)/(+E121))</f>
        <v>17.234769245953416</v>
      </c>
    </row>
    <row r="120" spans="1:8" ht="24" customHeight="1" x14ac:dyDescent="0.2">
      <c r="A120" s="85">
        <v>21</v>
      </c>
      <c r="B120" s="75" t="s">
        <v>378</v>
      </c>
      <c r="C120" s="218">
        <v>310387551</v>
      </c>
      <c r="D120" s="218">
        <v>328979797</v>
      </c>
      <c r="E120" s="218">
        <v>349245364</v>
      </c>
    </row>
    <row r="121" spans="1:8" ht="24" customHeight="1" x14ac:dyDescent="0.2">
      <c r="A121" s="85">
        <v>22</v>
      </c>
      <c r="B121" s="75" t="s">
        <v>374</v>
      </c>
      <c r="C121" s="218">
        <v>18635476</v>
      </c>
      <c r="D121" s="218">
        <v>18637806</v>
      </c>
      <c r="E121" s="218">
        <v>20264000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59611</v>
      </c>
      <c r="D124" s="218">
        <v>59071</v>
      </c>
      <c r="E124" s="218">
        <v>58011</v>
      </c>
    </row>
    <row r="125" spans="1:8" ht="24" customHeight="1" x14ac:dyDescent="0.2">
      <c r="A125" s="85">
        <v>2</v>
      </c>
      <c r="B125" s="75" t="s">
        <v>381</v>
      </c>
      <c r="C125" s="218">
        <v>13045</v>
      </c>
      <c r="D125" s="218">
        <v>13110</v>
      </c>
      <c r="E125" s="218">
        <v>12877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4.5696435415868146</v>
      </c>
      <c r="D126" s="219">
        <f>IF(D125=0,0,D124/D125)</f>
        <v>4.505797101449275</v>
      </c>
      <c r="E126" s="219">
        <f>IF(E125=0,0,E124/E125)</f>
        <v>4.5050089306515488</v>
      </c>
    </row>
    <row r="127" spans="1:8" ht="24" customHeight="1" x14ac:dyDescent="0.2">
      <c r="A127" s="85">
        <v>4</v>
      </c>
      <c r="B127" s="75" t="s">
        <v>383</v>
      </c>
      <c r="C127" s="218">
        <v>168</v>
      </c>
      <c r="D127" s="218">
        <v>192</v>
      </c>
      <c r="E127" s="218">
        <v>190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333</v>
      </c>
      <c r="E128" s="218">
        <v>331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334</v>
      </c>
      <c r="D129" s="218">
        <v>366</v>
      </c>
      <c r="E129" s="218">
        <v>366</v>
      </c>
    </row>
    <row r="130" spans="1:7" ht="24" customHeight="1" x14ac:dyDescent="0.2">
      <c r="A130" s="85">
        <v>7</v>
      </c>
      <c r="B130" s="75" t="s">
        <v>386</v>
      </c>
      <c r="C130" s="193">
        <v>0.97209999999999996</v>
      </c>
      <c r="D130" s="193">
        <v>0.84289999999999998</v>
      </c>
      <c r="E130" s="193">
        <v>0.83640000000000003</v>
      </c>
    </row>
    <row r="131" spans="1:7" ht="24" customHeight="1" x14ac:dyDescent="0.2">
      <c r="A131" s="85">
        <v>8</v>
      </c>
      <c r="B131" s="75" t="s">
        <v>387</v>
      </c>
      <c r="C131" s="193">
        <v>0.4889</v>
      </c>
      <c r="D131" s="193">
        <v>0.48599999999999999</v>
      </c>
      <c r="E131" s="193">
        <v>0.48010000000000003</v>
      </c>
    </row>
    <row r="132" spans="1:7" ht="24" customHeight="1" x14ac:dyDescent="0.2">
      <c r="A132" s="85">
        <v>9</v>
      </c>
      <c r="B132" s="75" t="s">
        <v>388</v>
      </c>
      <c r="C132" s="219">
        <v>1685.4</v>
      </c>
      <c r="D132" s="219">
        <v>1651</v>
      </c>
      <c r="E132" s="219">
        <v>1664.9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0.38278969456299161</v>
      </c>
      <c r="D135" s="227">
        <f>IF(D149=0,0,D143/D149)</f>
        <v>0.37664857242296695</v>
      </c>
      <c r="E135" s="227">
        <f>IF(E149=0,0,E143/E149)</f>
        <v>0.36643609587363252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0.41897381299144121</v>
      </c>
      <c r="D136" s="227">
        <f>IF(D149=0,0,D144/D149)</f>
        <v>0.41582971291894416</v>
      </c>
      <c r="E136" s="227">
        <f>IF(E149=0,0,E144/E149)</f>
        <v>0.42581647474693352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0.1575259052032488</v>
      </c>
      <c r="D137" s="227">
        <f>IF(D149=0,0,D145/D149)</f>
        <v>0.16546880577503947</v>
      </c>
      <c r="E137" s="227">
        <f>IF(E149=0,0,E145/E149)</f>
        <v>0.16926619126112177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1.3525049879773618E-3</v>
      </c>
      <c r="D138" s="227">
        <f>IF(D149=0,0,D146/D149)</f>
        <v>1.6698607262744833E-3</v>
      </c>
      <c r="E138" s="227">
        <f>IF(E149=0,0,E146/E149)</f>
        <v>2.1652703019824429E-3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3.8479135915975557E-2</v>
      </c>
      <c r="D139" s="227">
        <f>IF(D149=0,0,D147/D149)</f>
        <v>3.9517968909747146E-2</v>
      </c>
      <c r="E139" s="227">
        <f>IF(E149=0,0,E147/E149)</f>
        <v>3.563989421886915E-2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8.7894633836549949E-4</v>
      </c>
      <c r="D140" s="227">
        <f>IF(D149=0,0,D148/D149)</f>
        <v>8.6507924702777046E-4</v>
      </c>
      <c r="E140" s="227">
        <f>IF(E149=0,0,E148/E149)</f>
        <v>6.7607359746059631E-4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349638110</v>
      </c>
      <c r="D143" s="229">
        <f>+D46-D147</f>
        <v>339083715</v>
      </c>
      <c r="E143" s="229">
        <f>+E46-E147</f>
        <v>346306745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382688495</v>
      </c>
      <c r="D144" s="229">
        <f>+D51</f>
        <v>374357144</v>
      </c>
      <c r="E144" s="229">
        <f>+E51</f>
        <v>402425195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143883340</v>
      </c>
      <c r="D145" s="229">
        <f>+D55</f>
        <v>148965857</v>
      </c>
      <c r="E145" s="229">
        <f>+E55</f>
        <v>159967930</v>
      </c>
    </row>
    <row r="146" spans="1:7" ht="20.100000000000001" customHeight="1" x14ac:dyDescent="0.2">
      <c r="A146" s="226">
        <v>11</v>
      </c>
      <c r="B146" s="224" t="s">
        <v>400</v>
      </c>
      <c r="C146" s="228">
        <v>1235371</v>
      </c>
      <c r="D146" s="229">
        <v>1503318</v>
      </c>
      <c r="E146" s="229">
        <v>2046326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35146642</v>
      </c>
      <c r="D147" s="229">
        <f>+D47</f>
        <v>35576664</v>
      </c>
      <c r="E147" s="229">
        <f>+E47</f>
        <v>33682096</v>
      </c>
    </row>
    <row r="148" spans="1:7" ht="20.100000000000001" customHeight="1" x14ac:dyDescent="0.2">
      <c r="A148" s="226">
        <v>13</v>
      </c>
      <c r="B148" s="224" t="s">
        <v>402</v>
      </c>
      <c r="C148" s="230">
        <v>802825</v>
      </c>
      <c r="D148" s="229">
        <v>778801</v>
      </c>
      <c r="E148" s="229">
        <v>638935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913394783</v>
      </c>
      <c r="D149" s="229">
        <f>SUM(D143:D148)</f>
        <v>900265499</v>
      </c>
      <c r="E149" s="229">
        <f>SUM(E143:E148)</f>
        <v>945067227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0.59283043822972858</v>
      </c>
      <c r="D152" s="227">
        <f>IF(D166=0,0,D160/D166)</f>
        <v>0.58418309561517145</v>
      </c>
      <c r="E152" s="227">
        <f>IF(E166=0,0,E160/E166)</f>
        <v>0.5749642825602399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0.29922722607633967</v>
      </c>
      <c r="D153" s="227">
        <f>IF(D166=0,0,D161/D166)</f>
        <v>0.29230038362089306</v>
      </c>
      <c r="E153" s="227">
        <f>IF(E166=0,0,E161/E166)</f>
        <v>0.30370262894831246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9.8318852161278392E-2</v>
      </c>
      <c r="D154" s="227">
        <f>IF(D166=0,0,D162/D166)</f>
        <v>0.11388147425457366</v>
      </c>
      <c r="E154" s="227">
        <f>IF(E166=0,0,E162/E166)</f>
        <v>0.11455828078020273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4.6512307934658319E-4</v>
      </c>
      <c r="D155" s="227">
        <f>IF(D166=0,0,D163/D166)</f>
        <v>7.8372485071263637E-4</v>
      </c>
      <c r="E155" s="227">
        <f>IF(E166=0,0,E163/E166)</f>
        <v>8.580191086265186E-4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8.4952177718296933E-3</v>
      </c>
      <c r="D156" s="227">
        <f>IF(D166=0,0,D164/D166)</f>
        <v>8.3319778822405332E-3</v>
      </c>
      <c r="E156" s="227">
        <f>IF(E166=0,0,E164/E166)</f>
        <v>5.504077870673427E-3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6.6314268147711023E-4</v>
      </c>
      <c r="D157" s="227">
        <f>IF(D166=0,0,D165/D166)</f>
        <v>5.1934377640859889E-4</v>
      </c>
      <c r="E157" s="227">
        <f>IF(E166=0,0,E165/E166)</f>
        <v>4.1271073194491819E-4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199129396</v>
      </c>
      <c r="D160" s="229">
        <f>+D44-D164</f>
        <v>191908162</v>
      </c>
      <c r="E160" s="229">
        <f>+E44-E164</f>
        <v>202821840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100509240</v>
      </c>
      <c r="D161" s="229">
        <f>+D50</f>
        <v>96022685</v>
      </c>
      <c r="E161" s="229">
        <f>+E50</f>
        <v>107132787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33024913</v>
      </c>
      <c r="D162" s="229">
        <f>+D54</f>
        <v>37410847</v>
      </c>
      <c r="E162" s="229">
        <f>+E54</f>
        <v>40411069</v>
      </c>
    </row>
    <row r="163" spans="1:6" ht="20.100000000000001" customHeight="1" x14ac:dyDescent="0.2">
      <c r="A163" s="226">
        <v>11</v>
      </c>
      <c r="B163" s="224" t="s">
        <v>415</v>
      </c>
      <c r="C163" s="228">
        <v>156233</v>
      </c>
      <c r="D163" s="229">
        <v>257459</v>
      </c>
      <c r="E163" s="229">
        <v>302671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2853510</v>
      </c>
      <c r="D164" s="229">
        <f>+D45</f>
        <v>2737112</v>
      </c>
      <c r="E164" s="229">
        <f>+E45</f>
        <v>1941594</v>
      </c>
    </row>
    <row r="165" spans="1:6" ht="20.100000000000001" customHeight="1" x14ac:dyDescent="0.2">
      <c r="A165" s="226">
        <v>13</v>
      </c>
      <c r="B165" s="224" t="s">
        <v>417</v>
      </c>
      <c r="C165" s="230">
        <v>222747</v>
      </c>
      <c r="D165" s="229">
        <v>170608</v>
      </c>
      <c r="E165" s="229">
        <v>145586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335896039</v>
      </c>
      <c r="D166" s="229">
        <f>SUM(D160:D165)</f>
        <v>328506873</v>
      </c>
      <c r="E166" s="229">
        <f>SUM(E160:E165)</f>
        <v>352755547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4907</v>
      </c>
      <c r="D169" s="218">
        <v>4782</v>
      </c>
      <c r="E169" s="218">
        <v>4515</v>
      </c>
    </row>
    <row r="170" spans="1:6" ht="20.100000000000001" customHeight="1" x14ac:dyDescent="0.2">
      <c r="A170" s="226">
        <v>2</v>
      </c>
      <c r="B170" s="224" t="s">
        <v>420</v>
      </c>
      <c r="C170" s="218">
        <v>5319</v>
      </c>
      <c r="D170" s="218">
        <v>5620</v>
      </c>
      <c r="E170" s="218">
        <v>5676</v>
      </c>
    </row>
    <row r="171" spans="1:6" ht="20.100000000000001" customHeight="1" x14ac:dyDescent="0.2">
      <c r="A171" s="226">
        <v>3</v>
      </c>
      <c r="B171" s="224" t="s">
        <v>421</v>
      </c>
      <c r="C171" s="218">
        <v>2803</v>
      </c>
      <c r="D171" s="218">
        <v>2698</v>
      </c>
      <c r="E171" s="218">
        <v>2671</v>
      </c>
    </row>
    <row r="172" spans="1:6" ht="20.100000000000001" customHeight="1" x14ac:dyDescent="0.2">
      <c r="A172" s="226">
        <v>4</v>
      </c>
      <c r="B172" s="224" t="s">
        <v>422</v>
      </c>
      <c r="C172" s="218">
        <v>2782</v>
      </c>
      <c r="D172" s="218">
        <v>2675</v>
      </c>
      <c r="E172" s="218">
        <v>2638</v>
      </c>
    </row>
    <row r="173" spans="1:6" ht="20.100000000000001" customHeight="1" x14ac:dyDescent="0.2">
      <c r="A173" s="226">
        <v>5</v>
      </c>
      <c r="B173" s="224" t="s">
        <v>423</v>
      </c>
      <c r="C173" s="218">
        <v>21</v>
      </c>
      <c r="D173" s="218">
        <v>23</v>
      </c>
      <c r="E173" s="218">
        <v>33</v>
      </c>
    </row>
    <row r="174" spans="1:6" ht="20.100000000000001" customHeight="1" x14ac:dyDescent="0.2">
      <c r="A174" s="226">
        <v>6</v>
      </c>
      <c r="B174" s="224" t="s">
        <v>424</v>
      </c>
      <c r="C174" s="218">
        <v>16</v>
      </c>
      <c r="D174" s="218">
        <v>10</v>
      </c>
      <c r="E174" s="218">
        <v>15</v>
      </c>
    </row>
    <row r="175" spans="1:6" ht="20.100000000000001" customHeight="1" x14ac:dyDescent="0.2">
      <c r="A175" s="226">
        <v>7</v>
      </c>
      <c r="B175" s="224" t="s">
        <v>425</v>
      </c>
      <c r="C175" s="218">
        <v>193</v>
      </c>
      <c r="D175" s="218">
        <v>231</v>
      </c>
      <c r="E175" s="218">
        <v>203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13045</v>
      </c>
      <c r="D176" s="218">
        <f>+D169+D170+D171+D174</f>
        <v>13110</v>
      </c>
      <c r="E176" s="218">
        <f>+E169+E170+E171+E174</f>
        <v>12877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1.075</v>
      </c>
      <c r="D179" s="231">
        <v>1.06088</v>
      </c>
      <c r="E179" s="231">
        <v>1.0504100000000001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1.4406000000000001</v>
      </c>
      <c r="D180" s="231">
        <v>1.4339</v>
      </c>
      <c r="E180" s="231">
        <v>1.41479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0.95943000000000001</v>
      </c>
      <c r="D181" s="231">
        <v>0.95825000000000005</v>
      </c>
      <c r="E181" s="231">
        <v>0.93491500000000005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0.95901999999999998</v>
      </c>
      <c r="D182" s="231">
        <v>0.95816000000000001</v>
      </c>
      <c r="E182" s="231">
        <v>0.93062</v>
      </c>
    </row>
    <row r="183" spans="1:6" ht="20.100000000000001" customHeight="1" x14ac:dyDescent="0.2">
      <c r="A183" s="226">
        <v>5</v>
      </c>
      <c r="B183" s="224" t="s">
        <v>423</v>
      </c>
      <c r="C183" s="231">
        <v>1.0138</v>
      </c>
      <c r="D183" s="231">
        <v>0.96879999999999999</v>
      </c>
      <c r="E183" s="231">
        <v>1.27826</v>
      </c>
    </row>
    <row r="184" spans="1:6" ht="20.100000000000001" customHeight="1" x14ac:dyDescent="0.2">
      <c r="A184" s="226">
        <v>6</v>
      </c>
      <c r="B184" s="224" t="s">
        <v>424</v>
      </c>
      <c r="C184" s="231">
        <v>1.5285</v>
      </c>
      <c r="D184" s="231">
        <v>1.3916299999999999</v>
      </c>
      <c r="E184" s="231">
        <v>0.68359999999999999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1.0650999999999999</v>
      </c>
      <c r="D185" s="231">
        <v>1.11775</v>
      </c>
      <c r="E185" s="231">
        <v>1.0284199999999999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1.199794</v>
      </c>
      <c r="D186" s="231">
        <v>1.1999169999999999</v>
      </c>
      <c r="E186" s="231">
        <v>1.186639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8469</v>
      </c>
      <c r="D189" s="218">
        <v>8767</v>
      </c>
      <c r="E189" s="218">
        <v>8591</v>
      </c>
    </row>
    <row r="190" spans="1:6" ht="20.100000000000001" customHeight="1" x14ac:dyDescent="0.2">
      <c r="A190" s="226">
        <v>2</v>
      </c>
      <c r="B190" s="224" t="s">
        <v>433</v>
      </c>
      <c r="C190" s="218">
        <v>39838</v>
      </c>
      <c r="D190" s="218">
        <v>39091</v>
      </c>
      <c r="E190" s="218">
        <v>36759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48307</v>
      </c>
      <c r="D191" s="218">
        <f>+D190+D189</f>
        <v>47858</v>
      </c>
      <c r="E191" s="218">
        <f>+E190+E189</f>
        <v>45350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FILING&amp;RNORWALK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696051</v>
      </c>
      <c r="D14" s="258">
        <v>1052736</v>
      </c>
      <c r="E14" s="258">
        <f t="shared" ref="E14:E24" si="0">D14-C14</f>
        <v>356685</v>
      </c>
      <c r="F14" s="259">
        <f t="shared" ref="F14:F24" si="1">IF(C14=0,0,E14/C14)</f>
        <v>0.51244089872724841</v>
      </c>
    </row>
    <row r="15" spans="1:7" ht="20.25" customHeight="1" x14ac:dyDescent="0.3">
      <c r="A15" s="256">
        <v>2</v>
      </c>
      <c r="B15" s="257" t="s">
        <v>442</v>
      </c>
      <c r="C15" s="258">
        <v>159219</v>
      </c>
      <c r="D15" s="258">
        <v>343646</v>
      </c>
      <c r="E15" s="258">
        <f t="shared" si="0"/>
        <v>184427</v>
      </c>
      <c r="F15" s="259">
        <f t="shared" si="1"/>
        <v>1.1583228132320891</v>
      </c>
    </row>
    <row r="16" spans="1:7" ht="20.25" customHeight="1" x14ac:dyDescent="0.3">
      <c r="A16" s="256">
        <v>3</v>
      </c>
      <c r="B16" s="257" t="s">
        <v>443</v>
      </c>
      <c r="C16" s="258">
        <v>269958</v>
      </c>
      <c r="D16" s="258">
        <v>409810</v>
      </c>
      <c r="E16" s="258">
        <f t="shared" si="0"/>
        <v>139852</v>
      </c>
      <c r="F16" s="259">
        <f t="shared" si="1"/>
        <v>0.51805095607464868</v>
      </c>
    </row>
    <row r="17" spans="1:6" ht="20.25" customHeight="1" x14ac:dyDescent="0.3">
      <c r="A17" s="256">
        <v>4</v>
      </c>
      <c r="B17" s="257" t="s">
        <v>444</v>
      </c>
      <c r="C17" s="258">
        <v>57443</v>
      </c>
      <c r="D17" s="258">
        <v>53083</v>
      </c>
      <c r="E17" s="258">
        <f t="shared" si="0"/>
        <v>-4360</v>
      </c>
      <c r="F17" s="259">
        <f t="shared" si="1"/>
        <v>-7.5901328273244778E-2</v>
      </c>
    </row>
    <row r="18" spans="1:6" ht="20.25" customHeight="1" x14ac:dyDescent="0.3">
      <c r="A18" s="256">
        <v>5</v>
      </c>
      <c r="B18" s="257" t="s">
        <v>381</v>
      </c>
      <c r="C18" s="260">
        <v>22</v>
      </c>
      <c r="D18" s="260">
        <v>26</v>
      </c>
      <c r="E18" s="260">
        <f t="shared" si="0"/>
        <v>4</v>
      </c>
      <c r="F18" s="259">
        <f t="shared" si="1"/>
        <v>0.18181818181818182</v>
      </c>
    </row>
    <row r="19" spans="1:6" ht="20.25" customHeight="1" x14ac:dyDescent="0.3">
      <c r="A19" s="256">
        <v>6</v>
      </c>
      <c r="B19" s="257" t="s">
        <v>380</v>
      </c>
      <c r="C19" s="260">
        <v>81</v>
      </c>
      <c r="D19" s="260">
        <v>118</v>
      </c>
      <c r="E19" s="260">
        <f t="shared" si="0"/>
        <v>37</v>
      </c>
      <c r="F19" s="259">
        <f t="shared" si="1"/>
        <v>0.4567901234567901</v>
      </c>
    </row>
    <row r="20" spans="1:6" ht="20.25" customHeight="1" x14ac:dyDescent="0.3">
      <c r="A20" s="256">
        <v>7</v>
      </c>
      <c r="B20" s="257" t="s">
        <v>445</v>
      </c>
      <c r="C20" s="260">
        <v>115</v>
      </c>
      <c r="D20" s="260">
        <v>141</v>
      </c>
      <c r="E20" s="260">
        <f t="shared" si="0"/>
        <v>26</v>
      </c>
      <c r="F20" s="259">
        <f t="shared" si="1"/>
        <v>0.22608695652173913</v>
      </c>
    </row>
    <row r="21" spans="1:6" ht="20.25" customHeight="1" x14ac:dyDescent="0.3">
      <c r="A21" s="256">
        <v>8</v>
      </c>
      <c r="B21" s="257" t="s">
        <v>446</v>
      </c>
      <c r="C21" s="260">
        <v>21</v>
      </c>
      <c r="D21" s="260">
        <v>19</v>
      </c>
      <c r="E21" s="260">
        <f t="shared" si="0"/>
        <v>-2</v>
      </c>
      <c r="F21" s="259">
        <f t="shared" si="1"/>
        <v>-9.5238095238095233E-2</v>
      </c>
    </row>
    <row r="22" spans="1:6" ht="20.25" customHeight="1" x14ac:dyDescent="0.3">
      <c r="A22" s="256">
        <v>9</v>
      </c>
      <c r="B22" s="257" t="s">
        <v>447</v>
      </c>
      <c r="C22" s="260">
        <v>21</v>
      </c>
      <c r="D22" s="260">
        <v>24</v>
      </c>
      <c r="E22" s="260">
        <f t="shared" si="0"/>
        <v>3</v>
      </c>
      <c r="F22" s="259">
        <f t="shared" si="1"/>
        <v>0.14285714285714285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966009</v>
      </c>
      <c r="D23" s="263">
        <f>+D14+D16</f>
        <v>1462546</v>
      </c>
      <c r="E23" s="263">
        <f t="shared" si="0"/>
        <v>496537</v>
      </c>
      <c r="F23" s="264">
        <f t="shared" si="1"/>
        <v>0.51400866865629613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216662</v>
      </c>
      <c r="D24" s="263">
        <f>+D15+D17</f>
        <v>396729</v>
      </c>
      <c r="E24" s="263">
        <f t="shared" si="0"/>
        <v>180067</v>
      </c>
      <c r="F24" s="264">
        <f t="shared" si="1"/>
        <v>0.83109636207549087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6312384</v>
      </c>
      <c r="D40" s="258">
        <v>5957226</v>
      </c>
      <c r="E40" s="258">
        <f t="shared" ref="E40:E50" si="4">D40-C40</f>
        <v>-355158</v>
      </c>
      <c r="F40" s="259">
        <f t="shared" ref="F40:F50" si="5">IF(C40=0,0,E40/C40)</f>
        <v>-5.6263687380235426E-2</v>
      </c>
    </row>
    <row r="41" spans="1:6" ht="20.25" customHeight="1" x14ac:dyDescent="0.3">
      <c r="A41" s="256">
        <v>2</v>
      </c>
      <c r="B41" s="257" t="s">
        <v>442</v>
      </c>
      <c r="C41" s="258">
        <v>1575029</v>
      </c>
      <c r="D41" s="258">
        <v>1764178</v>
      </c>
      <c r="E41" s="258">
        <f t="shared" si="4"/>
        <v>189149</v>
      </c>
      <c r="F41" s="259">
        <f t="shared" si="5"/>
        <v>0.12009239194960855</v>
      </c>
    </row>
    <row r="42" spans="1:6" ht="20.25" customHeight="1" x14ac:dyDescent="0.3">
      <c r="A42" s="256">
        <v>3</v>
      </c>
      <c r="B42" s="257" t="s">
        <v>443</v>
      </c>
      <c r="C42" s="258">
        <v>3779979</v>
      </c>
      <c r="D42" s="258">
        <v>5271169</v>
      </c>
      <c r="E42" s="258">
        <f t="shared" si="4"/>
        <v>1491190</v>
      </c>
      <c r="F42" s="259">
        <f t="shared" si="5"/>
        <v>0.39449690064415704</v>
      </c>
    </row>
    <row r="43" spans="1:6" ht="20.25" customHeight="1" x14ac:dyDescent="0.3">
      <c r="A43" s="256">
        <v>4</v>
      </c>
      <c r="B43" s="257" t="s">
        <v>444</v>
      </c>
      <c r="C43" s="258">
        <v>800665</v>
      </c>
      <c r="D43" s="258">
        <v>754104</v>
      </c>
      <c r="E43" s="258">
        <f t="shared" si="4"/>
        <v>-46561</v>
      </c>
      <c r="F43" s="259">
        <f t="shared" si="5"/>
        <v>-5.815291039323562E-2</v>
      </c>
    </row>
    <row r="44" spans="1:6" ht="20.25" customHeight="1" x14ac:dyDescent="0.3">
      <c r="A44" s="256">
        <v>5</v>
      </c>
      <c r="B44" s="257" t="s">
        <v>381</v>
      </c>
      <c r="C44" s="260">
        <v>130</v>
      </c>
      <c r="D44" s="260">
        <v>126</v>
      </c>
      <c r="E44" s="260">
        <f t="shared" si="4"/>
        <v>-4</v>
      </c>
      <c r="F44" s="259">
        <f t="shared" si="5"/>
        <v>-3.0769230769230771E-2</v>
      </c>
    </row>
    <row r="45" spans="1:6" ht="20.25" customHeight="1" x14ac:dyDescent="0.3">
      <c r="A45" s="256">
        <v>6</v>
      </c>
      <c r="B45" s="257" t="s">
        <v>380</v>
      </c>
      <c r="C45" s="260">
        <v>835</v>
      </c>
      <c r="D45" s="260">
        <v>744</v>
      </c>
      <c r="E45" s="260">
        <f t="shared" si="4"/>
        <v>-91</v>
      </c>
      <c r="F45" s="259">
        <f t="shared" si="5"/>
        <v>-0.10898203592814371</v>
      </c>
    </row>
    <row r="46" spans="1:6" ht="20.25" customHeight="1" x14ac:dyDescent="0.3">
      <c r="A46" s="256">
        <v>7</v>
      </c>
      <c r="B46" s="257" t="s">
        <v>445</v>
      </c>
      <c r="C46" s="260">
        <v>1876</v>
      </c>
      <c r="D46" s="260">
        <v>2341</v>
      </c>
      <c r="E46" s="260">
        <f t="shared" si="4"/>
        <v>465</v>
      </c>
      <c r="F46" s="259">
        <f t="shared" si="5"/>
        <v>0.24786780383795309</v>
      </c>
    </row>
    <row r="47" spans="1:6" ht="20.25" customHeight="1" x14ac:dyDescent="0.3">
      <c r="A47" s="256">
        <v>8</v>
      </c>
      <c r="B47" s="257" t="s">
        <v>446</v>
      </c>
      <c r="C47" s="260">
        <v>155</v>
      </c>
      <c r="D47" s="260">
        <v>145</v>
      </c>
      <c r="E47" s="260">
        <f t="shared" si="4"/>
        <v>-10</v>
      </c>
      <c r="F47" s="259">
        <f t="shared" si="5"/>
        <v>-6.4516129032258063E-2</v>
      </c>
    </row>
    <row r="48" spans="1:6" ht="20.25" customHeight="1" x14ac:dyDescent="0.3">
      <c r="A48" s="256">
        <v>9</v>
      </c>
      <c r="B48" s="257" t="s">
        <v>447</v>
      </c>
      <c r="C48" s="260">
        <v>107</v>
      </c>
      <c r="D48" s="260">
        <v>107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10092363</v>
      </c>
      <c r="D49" s="263">
        <f>+D40+D42</f>
        <v>11228395</v>
      </c>
      <c r="E49" s="263">
        <f t="shared" si="4"/>
        <v>1136032</v>
      </c>
      <c r="F49" s="264">
        <f t="shared" si="5"/>
        <v>0.11256352947273102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2375694</v>
      </c>
      <c r="D50" s="263">
        <f>+D41+D43</f>
        <v>2518282</v>
      </c>
      <c r="E50" s="263">
        <f t="shared" si="4"/>
        <v>142588</v>
      </c>
      <c r="F50" s="264">
        <f t="shared" si="5"/>
        <v>6.0019514297716792E-2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10023</v>
      </c>
      <c r="D55" s="258">
        <v>0</v>
      </c>
      <c r="E55" s="258">
        <f t="shared" si="6"/>
        <v>-10023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2336</v>
      </c>
      <c r="D56" s="258">
        <v>0</v>
      </c>
      <c r="E56" s="258">
        <f t="shared" si="6"/>
        <v>-2336</v>
      </c>
      <c r="F56" s="259">
        <f t="shared" si="7"/>
        <v>-1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8</v>
      </c>
      <c r="D59" s="260">
        <v>0</v>
      </c>
      <c r="E59" s="260">
        <f t="shared" si="6"/>
        <v>-8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2</v>
      </c>
      <c r="D60" s="260">
        <v>0</v>
      </c>
      <c r="E60" s="260">
        <f t="shared" si="6"/>
        <v>-2</v>
      </c>
      <c r="F60" s="259">
        <f t="shared" si="7"/>
        <v>-1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10023</v>
      </c>
      <c r="D62" s="263">
        <f>+D53+D55</f>
        <v>0</v>
      </c>
      <c r="E62" s="263">
        <f t="shared" si="6"/>
        <v>-10023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2336</v>
      </c>
      <c r="D63" s="263">
        <f>+D54+D56</f>
        <v>0</v>
      </c>
      <c r="E63" s="263">
        <f t="shared" si="6"/>
        <v>-2336</v>
      </c>
      <c r="F63" s="264">
        <f t="shared" si="7"/>
        <v>-1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1621471</v>
      </c>
      <c r="D66" s="258">
        <v>1110659</v>
      </c>
      <c r="E66" s="258">
        <f t="shared" ref="E66:E76" si="8">D66-C66</f>
        <v>-510812</v>
      </c>
      <c r="F66" s="259">
        <f t="shared" ref="F66:F76" si="9">IF(C66=0,0,E66/C66)</f>
        <v>-0.31502999436931034</v>
      </c>
    </row>
    <row r="67" spans="1:6" ht="20.25" customHeight="1" x14ac:dyDescent="0.3">
      <c r="A67" s="256">
        <v>2</v>
      </c>
      <c r="B67" s="257" t="s">
        <v>442</v>
      </c>
      <c r="C67" s="258">
        <v>359815</v>
      </c>
      <c r="D67" s="258">
        <v>279793</v>
      </c>
      <c r="E67" s="258">
        <f t="shared" si="8"/>
        <v>-80022</v>
      </c>
      <c r="F67" s="259">
        <f t="shared" si="9"/>
        <v>-0.22239762099968038</v>
      </c>
    </row>
    <row r="68" spans="1:6" ht="20.25" customHeight="1" x14ac:dyDescent="0.3">
      <c r="A68" s="256">
        <v>3</v>
      </c>
      <c r="B68" s="257" t="s">
        <v>443</v>
      </c>
      <c r="C68" s="258">
        <v>504875</v>
      </c>
      <c r="D68" s="258">
        <v>334439</v>
      </c>
      <c r="E68" s="258">
        <f t="shared" si="8"/>
        <v>-170436</v>
      </c>
      <c r="F68" s="259">
        <f t="shared" si="9"/>
        <v>-0.33758058925476603</v>
      </c>
    </row>
    <row r="69" spans="1:6" ht="20.25" customHeight="1" x14ac:dyDescent="0.3">
      <c r="A69" s="256">
        <v>4</v>
      </c>
      <c r="B69" s="257" t="s">
        <v>444</v>
      </c>
      <c r="C69" s="258">
        <v>96782</v>
      </c>
      <c r="D69" s="258">
        <v>38317</v>
      </c>
      <c r="E69" s="258">
        <f t="shared" si="8"/>
        <v>-58465</v>
      </c>
      <c r="F69" s="259">
        <f t="shared" si="9"/>
        <v>-0.60408960343865592</v>
      </c>
    </row>
    <row r="70" spans="1:6" ht="20.25" customHeight="1" x14ac:dyDescent="0.3">
      <c r="A70" s="256">
        <v>5</v>
      </c>
      <c r="B70" s="257" t="s">
        <v>381</v>
      </c>
      <c r="C70" s="260">
        <v>20</v>
      </c>
      <c r="D70" s="260">
        <v>21</v>
      </c>
      <c r="E70" s="260">
        <f t="shared" si="8"/>
        <v>1</v>
      </c>
      <c r="F70" s="259">
        <f t="shared" si="9"/>
        <v>0.05</v>
      </c>
    </row>
    <row r="71" spans="1:6" ht="20.25" customHeight="1" x14ac:dyDescent="0.3">
      <c r="A71" s="256">
        <v>6</v>
      </c>
      <c r="B71" s="257" t="s">
        <v>380</v>
      </c>
      <c r="C71" s="260">
        <v>179</v>
      </c>
      <c r="D71" s="260">
        <v>143</v>
      </c>
      <c r="E71" s="260">
        <f t="shared" si="8"/>
        <v>-36</v>
      </c>
      <c r="F71" s="259">
        <f t="shared" si="9"/>
        <v>-0.2011173184357542</v>
      </c>
    </row>
    <row r="72" spans="1:6" ht="20.25" customHeight="1" x14ac:dyDescent="0.3">
      <c r="A72" s="256">
        <v>7</v>
      </c>
      <c r="B72" s="257" t="s">
        <v>445</v>
      </c>
      <c r="C72" s="260">
        <v>261</v>
      </c>
      <c r="D72" s="260">
        <v>117</v>
      </c>
      <c r="E72" s="260">
        <f t="shared" si="8"/>
        <v>-144</v>
      </c>
      <c r="F72" s="259">
        <f t="shared" si="9"/>
        <v>-0.55172413793103448</v>
      </c>
    </row>
    <row r="73" spans="1:6" ht="20.25" customHeight="1" x14ac:dyDescent="0.3">
      <c r="A73" s="256">
        <v>8</v>
      </c>
      <c r="B73" s="257" t="s">
        <v>446</v>
      </c>
      <c r="C73" s="260">
        <v>46</v>
      </c>
      <c r="D73" s="260">
        <v>34</v>
      </c>
      <c r="E73" s="260">
        <f t="shared" si="8"/>
        <v>-12</v>
      </c>
      <c r="F73" s="259">
        <f t="shared" si="9"/>
        <v>-0.2608695652173913</v>
      </c>
    </row>
    <row r="74" spans="1:6" ht="20.25" customHeight="1" x14ac:dyDescent="0.3">
      <c r="A74" s="256">
        <v>9</v>
      </c>
      <c r="B74" s="257" t="s">
        <v>447</v>
      </c>
      <c r="C74" s="260">
        <v>19</v>
      </c>
      <c r="D74" s="260">
        <v>21</v>
      </c>
      <c r="E74" s="260">
        <f t="shared" si="8"/>
        <v>2</v>
      </c>
      <c r="F74" s="259">
        <f t="shared" si="9"/>
        <v>0.10526315789473684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2126346</v>
      </c>
      <c r="D75" s="263">
        <f>+D66+D68</f>
        <v>1445098</v>
      </c>
      <c r="E75" s="263">
        <f t="shared" si="8"/>
        <v>-681248</v>
      </c>
      <c r="F75" s="264">
        <f t="shared" si="9"/>
        <v>-0.32038435889549488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456597</v>
      </c>
      <c r="D76" s="263">
        <f>+D67+D69</f>
        <v>318110</v>
      </c>
      <c r="E76" s="263">
        <f t="shared" si="8"/>
        <v>-138487</v>
      </c>
      <c r="F76" s="264">
        <f t="shared" si="9"/>
        <v>-0.30330247461109028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2698</v>
      </c>
      <c r="D81" s="258">
        <v>7773</v>
      </c>
      <c r="E81" s="258">
        <f t="shared" si="10"/>
        <v>5075</v>
      </c>
      <c r="F81" s="259">
        <f t="shared" si="11"/>
        <v>1.8810229799851741</v>
      </c>
    </row>
    <row r="82" spans="1:6" ht="20.25" customHeight="1" x14ac:dyDescent="0.3">
      <c r="A82" s="256">
        <v>4</v>
      </c>
      <c r="B82" s="257" t="s">
        <v>444</v>
      </c>
      <c r="C82" s="258">
        <v>445</v>
      </c>
      <c r="D82" s="258">
        <v>712</v>
      </c>
      <c r="E82" s="258">
        <f t="shared" si="10"/>
        <v>267</v>
      </c>
      <c r="F82" s="259">
        <f t="shared" si="11"/>
        <v>0.6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3</v>
      </c>
      <c r="D85" s="260">
        <v>4</v>
      </c>
      <c r="E85" s="260">
        <f t="shared" si="10"/>
        <v>1</v>
      </c>
      <c r="F85" s="259">
        <f t="shared" si="11"/>
        <v>0.33333333333333331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1</v>
      </c>
      <c r="E86" s="260">
        <f t="shared" si="10"/>
        <v>1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2698</v>
      </c>
      <c r="D88" s="263">
        <f>+D79+D81</f>
        <v>7773</v>
      </c>
      <c r="E88" s="263">
        <f t="shared" si="10"/>
        <v>5075</v>
      </c>
      <c r="F88" s="264">
        <f t="shared" si="11"/>
        <v>1.8810229799851741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445</v>
      </c>
      <c r="D89" s="263">
        <f>+D80+D82</f>
        <v>712</v>
      </c>
      <c r="E89" s="263">
        <f t="shared" si="10"/>
        <v>267</v>
      </c>
      <c r="F89" s="264">
        <f t="shared" si="11"/>
        <v>0.6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15645451</v>
      </c>
      <c r="D92" s="258">
        <v>12324589</v>
      </c>
      <c r="E92" s="258">
        <f t="shared" ref="E92:E102" si="12">D92-C92</f>
        <v>-3320862</v>
      </c>
      <c r="F92" s="259">
        <f t="shared" ref="F92:F102" si="13">IF(C92=0,0,E92/C92)</f>
        <v>-0.21225735199324072</v>
      </c>
    </row>
    <row r="93" spans="1:6" ht="20.25" customHeight="1" x14ac:dyDescent="0.3">
      <c r="A93" s="256">
        <v>2</v>
      </c>
      <c r="B93" s="257" t="s">
        <v>442</v>
      </c>
      <c r="C93" s="258">
        <v>3938791</v>
      </c>
      <c r="D93" s="258">
        <v>3635726</v>
      </c>
      <c r="E93" s="258">
        <f t="shared" si="12"/>
        <v>-303065</v>
      </c>
      <c r="F93" s="259">
        <f t="shared" si="13"/>
        <v>-7.6943661138659039E-2</v>
      </c>
    </row>
    <row r="94" spans="1:6" ht="20.25" customHeight="1" x14ac:dyDescent="0.3">
      <c r="A94" s="256">
        <v>3</v>
      </c>
      <c r="B94" s="257" t="s">
        <v>443</v>
      </c>
      <c r="C94" s="258">
        <v>7936122</v>
      </c>
      <c r="D94" s="258">
        <v>9359199</v>
      </c>
      <c r="E94" s="258">
        <f t="shared" si="12"/>
        <v>1423077</v>
      </c>
      <c r="F94" s="259">
        <f t="shared" si="13"/>
        <v>0.17931642179895924</v>
      </c>
    </row>
    <row r="95" spans="1:6" ht="20.25" customHeight="1" x14ac:dyDescent="0.3">
      <c r="A95" s="256">
        <v>4</v>
      </c>
      <c r="B95" s="257" t="s">
        <v>444</v>
      </c>
      <c r="C95" s="258">
        <v>1696042</v>
      </c>
      <c r="D95" s="258">
        <v>1654791</v>
      </c>
      <c r="E95" s="258">
        <f t="shared" si="12"/>
        <v>-41251</v>
      </c>
      <c r="F95" s="259">
        <f t="shared" si="13"/>
        <v>-2.4321921273176016E-2</v>
      </c>
    </row>
    <row r="96" spans="1:6" ht="20.25" customHeight="1" x14ac:dyDescent="0.3">
      <c r="A96" s="256">
        <v>5</v>
      </c>
      <c r="B96" s="257" t="s">
        <v>381</v>
      </c>
      <c r="C96" s="260">
        <v>335</v>
      </c>
      <c r="D96" s="260">
        <v>304</v>
      </c>
      <c r="E96" s="260">
        <f t="shared" si="12"/>
        <v>-31</v>
      </c>
      <c r="F96" s="259">
        <f t="shared" si="13"/>
        <v>-9.2537313432835819E-2</v>
      </c>
    </row>
    <row r="97" spans="1:6" ht="20.25" customHeight="1" x14ac:dyDescent="0.3">
      <c r="A97" s="256">
        <v>6</v>
      </c>
      <c r="B97" s="257" t="s">
        <v>380</v>
      </c>
      <c r="C97" s="260">
        <v>1968</v>
      </c>
      <c r="D97" s="260">
        <v>1578</v>
      </c>
      <c r="E97" s="260">
        <f t="shared" si="12"/>
        <v>-390</v>
      </c>
      <c r="F97" s="259">
        <f t="shared" si="13"/>
        <v>-0.19817073170731708</v>
      </c>
    </row>
    <row r="98" spans="1:6" ht="20.25" customHeight="1" x14ac:dyDescent="0.3">
      <c r="A98" s="256">
        <v>7</v>
      </c>
      <c r="B98" s="257" t="s">
        <v>445</v>
      </c>
      <c r="C98" s="260">
        <v>3368</v>
      </c>
      <c r="D98" s="260">
        <v>3401</v>
      </c>
      <c r="E98" s="260">
        <f t="shared" si="12"/>
        <v>33</v>
      </c>
      <c r="F98" s="259">
        <f t="shared" si="13"/>
        <v>9.7980997624703085E-3</v>
      </c>
    </row>
    <row r="99" spans="1:6" ht="20.25" customHeight="1" x14ac:dyDescent="0.3">
      <c r="A99" s="256">
        <v>8</v>
      </c>
      <c r="B99" s="257" t="s">
        <v>446</v>
      </c>
      <c r="C99" s="260">
        <v>445</v>
      </c>
      <c r="D99" s="260">
        <v>354</v>
      </c>
      <c r="E99" s="260">
        <f t="shared" si="12"/>
        <v>-91</v>
      </c>
      <c r="F99" s="259">
        <f t="shared" si="13"/>
        <v>-0.20449438202247192</v>
      </c>
    </row>
    <row r="100" spans="1:6" ht="20.25" customHeight="1" x14ac:dyDescent="0.3">
      <c r="A100" s="256">
        <v>9</v>
      </c>
      <c r="B100" s="257" t="s">
        <v>447</v>
      </c>
      <c r="C100" s="260">
        <v>301</v>
      </c>
      <c r="D100" s="260">
        <v>264</v>
      </c>
      <c r="E100" s="260">
        <f t="shared" si="12"/>
        <v>-37</v>
      </c>
      <c r="F100" s="259">
        <f t="shared" si="13"/>
        <v>-0.12292358803986711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23581573</v>
      </c>
      <c r="D101" s="263">
        <f>+D92+D94</f>
        <v>21683788</v>
      </c>
      <c r="E101" s="263">
        <f t="shared" si="12"/>
        <v>-1897785</v>
      </c>
      <c r="F101" s="264">
        <f t="shared" si="13"/>
        <v>-8.04774558508035E-2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5634833</v>
      </c>
      <c r="D102" s="263">
        <f>+D93+D95</f>
        <v>5290517</v>
      </c>
      <c r="E102" s="263">
        <f t="shared" si="12"/>
        <v>-344316</v>
      </c>
      <c r="F102" s="264">
        <f t="shared" si="13"/>
        <v>-6.1104916507729687E-2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1809636</v>
      </c>
      <c r="D105" s="258">
        <v>2389780</v>
      </c>
      <c r="E105" s="258">
        <f t="shared" ref="E105:E115" si="14">D105-C105</f>
        <v>580144</v>
      </c>
      <c r="F105" s="259">
        <f t="shared" ref="F105:F115" si="15">IF(C105=0,0,E105/C105)</f>
        <v>0.3205860184037011</v>
      </c>
    </row>
    <row r="106" spans="1:6" ht="20.25" customHeight="1" x14ac:dyDescent="0.3">
      <c r="A106" s="256">
        <v>2</v>
      </c>
      <c r="B106" s="257" t="s">
        <v>442</v>
      </c>
      <c r="C106" s="258">
        <v>437554</v>
      </c>
      <c r="D106" s="258">
        <v>750149</v>
      </c>
      <c r="E106" s="258">
        <f t="shared" si="14"/>
        <v>312595</v>
      </c>
      <c r="F106" s="259">
        <f t="shared" si="15"/>
        <v>0.714414677959749</v>
      </c>
    </row>
    <row r="107" spans="1:6" ht="20.25" customHeight="1" x14ac:dyDescent="0.3">
      <c r="A107" s="256">
        <v>3</v>
      </c>
      <c r="B107" s="257" t="s">
        <v>443</v>
      </c>
      <c r="C107" s="258">
        <v>996356</v>
      </c>
      <c r="D107" s="258">
        <v>1886454</v>
      </c>
      <c r="E107" s="258">
        <f t="shared" si="14"/>
        <v>890098</v>
      </c>
      <c r="F107" s="259">
        <f t="shared" si="15"/>
        <v>0.89335337971568396</v>
      </c>
    </row>
    <row r="108" spans="1:6" ht="20.25" customHeight="1" x14ac:dyDescent="0.3">
      <c r="A108" s="256">
        <v>4</v>
      </c>
      <c r="B108" s="257" t="s">
        <v>444</v>
      </c>
      <c r="C108" s="258">
        <v>209086</v>
      </c>
      <c r="D108" s="258">
        <v>334504</v>
      </c>
      <c r="E108" s="258">
        <f t="shared" si="14"/>
        <v>125418</v>
      </c>
      <c r="F108" s="259">
        <f t="shared" si="15"/>
        <v>0.59983930057488311</v>
      </c>
    </row>
    <row r="109" spans="1:6" ht="20.25" customHeight="1" x14ac:dyDescent="0.3">
      <c r="A109" s="256">
        <v>5</v>
      </c>
      <c r="B109" s="257" t="s">
        <v>381</v>
      </c>
      <c r="C109" s="260">
        <v>51</v>
      </c>
      <c r="D109" s="260">
        <v>63</v>
      </c>
      <c r="E109" s="260">
        <f t="shared" si="14"/>
        <v>12</v>
      </c>
      <c r="F109" s="259">
        <f t="shared" si="15"/>
        <v>0.23529411764705882</v>
      </c>
    </row>
    <row r="110" spans="1:6" ht="20.25" customHeight="1" x14ac:dyDescent="0.3">
      <c r="A110" s="256">
        <v>6</v>
      </c>
      <c r="B110" s="257" t="s">
        <v>380</v>
      </c>
      <c r="C110" s="260">
        <v>242</v>
      </c>
      <c r="D110" s="260">
        <v>369</v>
      </c>
      <c r="E110" s="260">
        <f t="shared" si="14"/>
        <v>127</v>
      </c>
      <c r="F110" s="259">
        <f t="shared" si="15"/>
        <v>0.52479338842975209</v>
      </c>
    </row>
    <row r="111" spans="1:6" ht="20.25" customHeight="1" x14ac:dyDescent="0.3">
      <c r="A111" s="256">
        <v>7</v>
      </c>
      <c r="B111" s="257" t="s">
        <v>445</v>
      </c>
      <c r="C111" s="260">
        <v>409</v>
      </c>
      <c r="D111" s="260">
        <v>699</v>
      </c>
      <c r="E111" s="260">
        <f t="shared" si="14"/>
        <v>290</v>
      </c>
      <c r="F111" s="259">
        <f t="shared" si="15"/>
        <v>0.70904645476772621</v>
      </c>
    </row>
    <row r="112" spans="1:6" ht="20.25" customHeight="1" x14ac:dyDescent="0.3">
      <c r="A112" s="256">
        <v>8</v>
      </c>
      <c r="B112" s="257" t="s">
        <v>446</v>
      </c>
      <c r="C112" s="260">
        <v>91</v>
      </c>
      <c r="D112" s="260">
        <v>114</v>
      </c>
      <c r="E112" s="260">
        <f t="shared" si="14"/>
        <v>23</v>
      </c>
      <c r="F112" s="259">
        <f t="shared" si="15"/>
        <v>0.25274725274725274</v>
      </c>
    </row>
    <row r="113" spans="1:6" ht="20.25" customHeight="1" x14ac:dyDescent="0.3">
      <c r="A113" s="256">
        <v>9</v>
      </c>
      <c r="B113" s="257" t="s">
        <v>447</v>
      </c>
      <c r="C113" s="260">
        <v>49</v>
      </c>
      <c r="D113" s="260">
        <v>62</v>
      </c>
      <c r="E113" s="260">
        <f t="shared" si="14"/>
        <v>13</v>
      </c>
      <c r="F113" s="259">
        <f t="shared" si="15"/>
        <v>0.26530612244897961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2805992</v>
      </c>
      <c r="D114" s="263">
        <f>+D105+D107</f>
        <v>4276234</v>
      </c>
      <c r="E114" s="263">
        <f t="shared" si="14"/>
        <v>1470242</v>
      </c>
      <c r="F114" s="264">
        <f t="shared" si="15"/>
        <v>0.52396514316505538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646640</v>
      </c>
      <c r="D115" s="263">
        <f>+D106+D108</f>
        <v>1084653</v>
      </c>
      <c r="E115" s="263">
        <f t="shared" si="14"/>
        <v>438013</v>
      </c>
      <c r="F115" s="264">
        <f t="shared" si="15"/>
        <v>0.67736762340715084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6610327</v>
      </c>
      <c r="D118" s="258">
        <v>5835897</v>
      </c>
      <c r="E118" s="258">
        <f t="shared" ref="E118:E128" si="16">D118-C118</f>
        <v>-774430</v>
      </c>
      <c r="F118" s="259">
        <f t="shared" ref="F118:F128" si="17">IF(C118=0,0,E118/C118)</f>
        <v>-0.11715456739129547</v>
      </c>
    </row>
    <row r="119" spans="1:6" ht="20.25" customHeight="1" x14ac:dyDescent="0.3">
      <c r="A119" s="256">
        <v>2</v>
      </c>
      <c r="B119" s="257" t="s">
        <v>442</v>
      </c>
      <c r="C119" s="258">
        <v>1640555</v>
      </c>
      <c r="D119" s="258">
        <v>1567948</v>
      </c>
      <c r="E119" s="258">
        <f t="shared" si="16"/>
        <v>-72607</v>
      </c>
      <c r="F119" s="259">
        <f t="shared" si="17"/>
        <v>-4.4257583561660534E-2</v>
      </c>
    </row>
    <row r="120" spans="1:6" ht="20.25" customHeight="1" x14ac:dyDescent="0.3">
      <c r="A120" s="256">
        <v>3</v>
      </c>
      <c r="B120" s="257" t="s">
        <v>443</v>
      </c>
      <c r="C120" s="258">
        <v>4246664</v>
      </c>
      <c r="D120" s="258">
        <v>4529311</v>
      </c>
      <c r="E120" s="258">
        <f t="shared" si="16"/>
        <v>282647</v>
      </c>
      <c r="F120" s="259">
        <f t="shared" si="17"/>
        <v>6.6557420130248124E-2</v>
      </c>
    </row>
    <row r="121" spans="1:6" ht="20.25" customHeight="1" x14ac:dyDescent="0.3">
      <c r="A121" s="256">
        <v>4</v>
      </c>
      <c r="B121" s="257" t="s">
        <v>444</v>
      </c>
      <c r="C121" s="258">
        <v>907701</v>
      </c>
      <c r="D121" s="258">
        <v>752684</v>
      </c>
      <c r="E121" s="258">
        <f t="shared" si="16"/>
        <v>-155017</v>
      </c>
      <c r="F121" s="259">
        <f t="shared" si="17"/>
        <v>-0.17077980524423791</v>
      </c>
    </row>
    <row r="122" spans="1:6" ht="20.25" customHeight="1" x14ac:dyDescent="0.3">
      <c r="A122" s="256">
        <v>5</v>
      </c>
      <c r="B122" s="257" t="s">
        <v>381</v>
      </c>
      <c r="C122" s="260">
        <v>130</v>
      </c>
      <c r="D122" s="260">
        <v>139</v>
      </c>
      <c r="E122" s="260">
        <f t="shared" si="16"/>
        <v>9</v>
      </c>
      <c r="F122" s="259">
        <f t="shared" si="17"/>
        <v>6.9230769230769235E-2</v>
      </c>
    </row>
    <row r="123" spans="1:6" ht="20.25" customHeight="1" x14ac:dyDescent="0.3">
      <c r="A123" s="256">
        <v>6</v>
      </c>
      <c r="B123" s="257" t="s">
        <v>380</v>
      </c>
      <c r="C123" s="260">
        <v>758</v>
      </c>
      <c r="D123" s="260">
        <v>697</v>
      </c>
      <c r="E123" s="260">
        <f t="shared" si="16"/>
        <v>-61</v>
      </c>
      <c r="F123" s="259">
        <f t="shared" si="17"/>
        <v>-8.0474934036939311E-2</v>
      </c>
    </row>
    <row r="124" spans="1:6" ht="20.25" customHeight="1" x14ac:dyDescent="0.3">
      <c r="A124" s="256">
        <v>7</v>
      </c>
      <c r="B124" s="257" t="s">
        <v>445</v>
      </c>
      <c r="C124" s="260">
        <v>1782</v>
      </c>
      <c r="D124" s="260">
        <v>2120</v>
      </c>
      <c r="E124" s="260">
        <f t="shared" si="16"/>
        <v>338</v>
      </c>
      <c r="F124" s="259">
        <f t="shared" si="17"/>
        <v>0.18967452300785634</v>
      </c>
    </row>
    <row r="125" spans="1:6" ht="20.25" customHeight="1" x14ac:dyDescent="0.3">
      <c r="A125" s="256">
        <v>8</v>
      </c>
      <c r="B125" s="257" t="s">
        <v>446</v>
      </c>
      <c r="C125" s="260">
        <v>180</v>
      </c>
      <c r="D125" s="260">
        <v>184</v>
      </c>
      <c r="E125" s="260">
        <f t="shared" si="16"/>
        <v>4</v>
      </c>
      <c r="F125" s="259">
        <f t="shared" si="17"/>
        <v>2.2222222222222223E-2</v>
      </c>
    </row>
    <row r="126" spans="1:6" ht="20.25" customHeight="1" x14ac:dyDescent="0.3">
      <c r="A126" s="256">
        <v>9</v>
      </c>
      <c r="B126" s="257" t="s">
        <v>447</v>
      </c>
      <c r="C126" s="260">
        <v>119</v>
      </c>
      <c r="D126" s="260">
        <v>124</v>
      </c>
      <c r="E126" s="260">
        <f t="shared" si="16"/>
        <v>5</v>
      </c>
      <c r="F126" s="259">
        <f t="shared" si="17"/>
        <v>4.2016806722689079E-2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10856991</v>
      </c>
      <c r="D127" s="263">
        <f>+D118+D120</f>
        <v>10365208</v>
      </c>
      <c r="E127" s="263">
        <f t="shared" si="16"/>
        <v>-491783</v>
      </c>
      <c r="F127" s="264">
        <f t="shared" si="17"/>
        <v>-4.5296436185679807E-2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2548256</v>
      </c>
      <c r="D128" s="263">
        <f>+D119+D121</f>
        <v>2320632</v>
      </c>
      <c r="E128" s="263">
        <f t="shared" si="16"/>
        <v>-227624</v>
      </c>
      <c r="F128" s="264">
        <f t="shared" si="17"/>
        <v>-8.9325405296799068E-2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624637</v>
      </c>
      <c r="D131" s="258">
        <v>182759</v>
      </c>
      <c r="E131" s="258">
        <f t="shared" ref="E131:E141" si="18">D131-C131</f>
        <v>-441878</v>
      </c>
      <c r="F131" s="259">
        <f t="shared" ref="F131:F141" si="19">IF(C131=0,0,E131/C131)</f>
        <v>-0.70741566701940484</v>
      </c>
    </row>
    <row r="132" spans="1:6" ht="20.25" customHeight="1" x14ac:dyDescent="0.3">
      <c r="A132" s="256">
        <v>2</v>
      </c>
      <c r="B132" s="257" t="s">
        <v>442</v>
      </c>
      <c r="C132" s="258">
        <v>141944</v>
      </c>
      <c r="D132" s="258">
        <v>58897</v>
      </c>
      <c r="E132" s="258">
        <f t="shared" si="18"/>
        <v>-83047</v>
      </c>
      <c r="F132" s="259">
        <f t="shared" si="19"/>
        <v>-0.58506875951079296</v>
      </c>
    </row>
    <row r="133" spans="1:6" ht="20.25" customHeight="1" x14ac:dyDescent="0.3">
      <c r="A133" s="256">
        <v>3</v>
      </c>
      <c r="B133" s="257" t="s">
        <v>443</v>
      </c>
      <c r="C133" s="258">
        <v>79232</v>
      </c>
      <c r="D133" s="258">
        <v>48457</v>
      </c>
      <c r="E133" s="258">
        <f t="shared" si="18"/>
        <v>-30775</v>
      </c>
      <c r="F133" s="259">
        <f t="shared" si="19"/>
        <v>-0.38841629644588044</v>
      </c>
    </row>
    <row r="134" spans="1:6" ht="20.25" customHeight="1" x14ac:dyDescent="0.3">
      <c r="A134" s="256">
        <v>4</v>
      </c>
      <c r="B134" s="257" t="s">
        <v>444</v>
      </c>
      <c r="C134" s="258">
        <v>17946</v>
      </c>
      <c r="D134" s="258">
        <v>6865</v>
      </c>
      <c r="E134" s="258">
        <f t="shared" si="18"/>
        <v>-11081</v>
      </c>
      <c r="F134" s="259">
        <f t="shared" si="19"/>
        <v>-0.61746350161595898</v>
      </c>
    </row>
    <row r="135" spans="1:6" ht="20.25" customHeight="1" x14ac:dyDescent="0.3">
      <c r="A135" s="256">
        <v>5</v>
      </c>
      <c r="B135" s="257" t="s">
        <v>381</v>
      </c>
      <c r="C135" s="260">
        <v>12</v>
      </c>
      <c r="D135" s="260">
        <v>5</v>
      </c>
      <c r="E135" s="260">
        <f t="shared" si="18"/>
        <v>-7</v>
      </c>
      <c r="F135" s="259">
        <f t="shared" si="19"/>
        <v>-0.58333333333333337</v>
      </c>
    </row>
    <row r="136" spans="1:6" ht="20.25" customHeight="1" x14ac:dyDescent="0.3">
      <c r="A136" s="256">
        <v>6</v>
      </c>
      <c r="B136" s="257" t="s">
        <v>380</v>
      </c>
      <c r="C136" s="260">
        <v>82</v>
      </c>
      <c r="D136" s="260">
        <v>19</v>
      </c>
      <c r="E136" s="260">
        <f t="shared" si="18"/>
        <v>-63</v>
      </c>
      <c r="F136" s="259">
        <f t="shared" si="19"/>
        <v>-0.76829268292682928</v>
      </c>
    </row>
    <row r="137" spans="1:6" ht="20.25" customHeight="1" x14ac:dyDescent="0.3">
      <c r="A137" s="256">
        <v>7</v>
      </c>
      <c r="B137" s="257" t="s">
        <v>445</v>
      </c>
      <c r="C137" s="260">
        <v>31</v>
      </c>
      <c r="D137" s="260">
        <v>25</v>
      </c>
      <c r="E137" s="260">
        <f t="shared" si="18"/>
        <v>-6</v>
      </c>
      <c r="F137" s="259">
        <f t="shared" si="19"/>
        <v>-0.19354838709677419</v>
      </c>
    </row>
    <row r="138" spans="1:6" ht="20.25" customHeight="1" x14ac:dyDescent="0.3">
      <c r="A138" s="256">
        <v>8</v>
      </c>
      <c r="B138" s="257" t="s">
        <v>446</v>
      </c>
      <c r="C138" s="260">
        <v>13</v>
      </c>
      <c r="D138" s="260">
        <v>6</v>
      </c>
      <c r="E138" s="260">
        <f t="shared" si="18"/>
        <v>-7</v>
      </c>
      <c r="F138" s="259">
        <f t="shared" si="19"/>
        <v>-0.53846153846153844</v>
      </c>
    </row>
    <row r="139" spans="1:6" ht="20.25" customHeight="1" x14ac:dyDescent="0.3">
      <c r="A139" s="256">
        <v>9</v>
      </c>
      <c r="B139" s="257" t="s">
        <v>447</v>
      </c>
      <c r="C139" s="260">
        <v>11</v>
      </c>
      <c r="D139" s="260">
        <v>5</v>
      </c>
      <c r="E139" s="260">
        <f t="shared" si="18"/>
        <v>-6</v>
      </c>
      <c r="F139" s="259">
        <f t="shared" si="19"/>
        <v>-0.54545454545454541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703869</v>
      </c>
      <c r="D140" s="263">
        <f>+D131+D133</f>
        <v>231216</v>
      </c>
      <c r="E140" s="263">
        <f t="shared" si="18"/>
        <v>-472653</v>
      </c>
      <c r="F140" s="264">
        <f t="shared" si="19"/>
        <v>-0.67150705600047733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159890</v>
      </c>
      <c r="D141" s="263">
        <f>+D132+D134</f>
        <v>65762</v>
      </c>
      <c r="E141" s="263">
        <f t="shared" si="18"/>
        <v>-94128</v>
      </c>
      <c r="F141" s="264">
        <f t="shared" si="19"/>
        <v>-0.58870473450497218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236065</v>
      </c>
      <c r="D183" s="258">
        <v>269325</v>
      </c>
      <c r="E183" s="258">
        <f t="shared" ref="E183:E193" si="26">D183-C183</f>
        <v>33260</v>
      </c>
      <c r="F183" s="259">
        <f t="shared" ref="F183:F193" si="27">IF(C183=0,0,E183/C183)</f>
        <v>0.14089339800478681</v>
      </c>
    </row>
    <row r="184" spans="1:6" ht="20.25" customHeight="1" x14ac:dyDescent="0.3">
      <c r="A184" s="256">
        <v>2</v>
      </c>
      <c r="B184" s="257" t="s">
        <v>442</v>
      </c>
      <c r="C184" s="258">
        <v>46137</v>
      </c>
      <c r="D184" s="258">
        <v>68394</v>
      </c>
      <c r="E184" s="258">
        <f t="shared" si="26"/>
        <v>22257</v>
      </c>
      <c r="F184" s="259">
        <f t="shared" si="27"/>
        <v>0.48241108004421612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10815</v>
      </c>
      <c r="E185" s="258">
        <f t="shared" si="26"/>
        <v>10815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2137</v>
      </c>
      <c r="E186" s="258">
        <f t="shared" si="26"/>
        <v>2137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4</v>
      </c>
      <c r="D187" s="260">
        <v>2</v>
      </c>
      <c r="E187" s="260">
        <f t="shared" si="26"/>
        <v>-2</v>
      </c>
      <c r="F187" s="259">
        <f t="shared" si="27"/>
        <v>-0.5</v>
      </c>
    </row>
    <row r="188" spans="1:6" ht="20.25" customHeight="1" x14ac:dyDescent="0.3">
      <c r="A188" s="256">
        <v>6</v>
      </c>
      <c r="B188" s="257" t="s">
        <v>380</v>
      </c>
      <c r="C188" s="260">
        <v>29</v>
      </c>
      <c r="D188" s="260">
        <v>30</v>
      </c>
      <c r="E188" s="260">
        <f t="shared" si="26"/>
        <v>1</v>
      </c>
      <c r="F188" s="259">
        <f t="shared" si="27"/>
        <v>3.4482758620689655E-2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3</v>
      </c>
      <c r="E190" s="260">
        <f t="shared" si="26"/>
        <v>3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4</v>
      </c>
      <c r="D191" s="260">
        <v>2</v>
      </c>
      <c r="E191" s="260">
        <f t="shared" si="26"/>
        <v>-2</v>
      </c>
      <c r="F191" s="259">
        <f t="shared" si="27"/>
        <v>-0.5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236065</v>
      </c>
      <c r="D192" s="263">
        <f>+D183+D185</f>
        <v>280140</v>
      </c>
      <c r="E192" s="263">
        <f t="shared" si="26"/>
        <v>44075</v>
      </c>
      <c r="F192" s="264">
        <f t="shared" si="27"/>
        <v>0.18670705102408236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46137</v>
      </c>
      <c r="D193" s="263">
        <f>+D184+D186</f>
        <v>70531</v>
      </c>
      <c r="E193" s="263">
        <f t="shared" si="26"/>
        <v>24394</v>
      </c>
      <c r="F193" s="264">
        <f t="shared" si="27"/>
        <v>0.52872965299000807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33556022</v>
      </c>
      <c r="D198" s="263">
        <f t="shared" si="28"/>
        <v>29122971</v>
      </c>
      <c r="E198" s="263">
        <f t="shared" ref="E198:E208" si="29">D198-C198</f>
        <v>-4433051</v>
      </c>
      <c r="F198" s="273">
        <f t="shared" ref="F198:F208" si="30">IF(C198=0,0,E198/C198)</f>
        <v>-0.13210895498876477</v>
      </c>
    </row>
    <row r="199" spans="1:9" ht="20.25" customHeight="1" x14ac:dyDescent="0.3">
      <c r="A199" s="271"/>
      <c r="B199" s="272" t="s">
        <v>466</v>
      </c>
      <c r="C199" s="263">
        <f t="shared" si="28"/>
        <v>8299044</v>
      </c>
      <c r="D199" s="263">
        <f t="shared" si="28"/>
        <v>8468731</v>
      </c>
      <c r="E199" s="263">
        <f t="shared" si="29"/>
        <v>169687</v>
      </c>
      <c r="F199" s="273">
        <f t="shared" si="30"/>
        <v>2.0446571918404096E-2</v>
      </c>
    </row>
    <row r="200" spans="1:9" ht="20.25" customHeight="1" x14ac:dyDescent="0.3">
      <c r="A200" s="271"/>
      <c r="B200" s="272" t="s">
        <v>467</v>
      </c>
      <c r="C200" s="263">
        <f t="shared" si="28"/>
        <v>17825907</v>
      </c>
      <c r="D200" s="263">
        <f t="shared" si="28"/>
        <v>21857427</v>
      </c>
      <c r="E200" s="263">
        <f t="shared" si="29"/>
        <v>4031520</v>
      </c>
      <c r="F200" s="273">
        <f t="shared" si="30"/>
        <v>0.22616072214446087</v>
      </c>
    </row>
    <row r="201" spans="1:9" ht="20.25" customHeight="1" x14ac:dyDescent="0.3">
      <c r="A201" s="271"/>
      <c r="B201" s="272" t="s">
        <v>468</v>
      </c>
      <c r="C201" s="263">
        <f t="shared" si="28"/>
        <v>3788446</v>
      </c>
      <c r="D201" s="263">
        <f t="shared" si="28"/>
        <v>3597197</v>
      </c>
      <c r="E201" s="263">
        <f t="shared" si="29"/>
        <v>-191249</v>
      </c>
      <c r="F201" s="273">
        <f t="shared" si="30"/>
        <v>-5.0482176596947669E-2</v>
      </c>
    </row>
    <row r="202" spans="1:9" ht="20.25" customHeight="1" x14ac:dyDescent="0.3">
      <c r="A202" s="271"/>
      <c r="B202" s="272" t="s">
        <v>138</v>
      </c>
      <c r="C202" s="274">
        <f t="shared" si="28"/>
        <v>704</v>
      </c>
      <c r="D202" s="274">
        <f t="shared" si="28"/>
        <v>686</v>
      </c>
      <c r="E202" s="274">
        <f t="shared" si="29"/>
        <v>-18</v>
      </c>
      <c r="F202" s="273">
        <f t="shared" si="30"/>
        <v>-2.556818181818182E-2</v>
      </c>
    </row>
    <row r="203" spans="1:9" ht="20.25" customHeight="1" x14ac:dyDescent="0.3">
      <c r="A203" s="271"/>
      <c r="B203" s="272" t="s">
        <v>140</v>
      </c>
      <c r="C203" s="274">
        <f t="shared" si="28"/>
        <v>4174</v>
      </c>
      <c r="D203" s="274">
        <f t="shared" si="28"/>
        <v>3698</v>
      </c>
      <c r="E203" s="274">
        <f t="shared" si="29"/>
        <v>-476</v>
      </c>
      <c r="F203" s="273">
        <f t="shared" si="30"/>
        <v>-0.11403929084810734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7853</v>
      </c>
      <c r="D204" s="274">
        <f t="shared" si="28"/>
        <v>8848</v>
      </c>
      <c r="E204" s="274">
        <f t="shared" si="29"/>
        <v>995</v>
      </c>
      <c r="F204" s="273">
        <f t="shared" si="30"/>
        <v>0.12670317076276583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953</v>
      </c>
      <c r="D205" s="274">
        <f t="shared" si="28"/>
        <v>860</v>
      </c>
      <c r="E205" s="274">
        <f t="shared" si="29"/>
        <v>-93</v>
      </c>
      <c r="F205" s="273">
        <f t="shared" si="30"/>
        <v>-9.7586568730325285E-2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631</v>
      </c>
      <c r="D206" s="274">
        <f t="shared" si="28"/>
        <v>609</v>
      </c>
      <c r="E206" s="274">
        <f t="shared" si="29"/>
        <v>-22</v>
      </c>
      <c r="F206" s="273">
        <f t="shared" si="30"/>
        <v>-3.486529318541997E-2</v>
      </c>
    </row>
    <row r="207" spans="1:9" ht="20.25" customHeight="1" x14ac:dyDescent="0.3">
      <c r="A207" s="271"/>
      <c r="B207" s="262" t="s">
        <v>471</v>
      </c>
      <c r="C207" s="263">
        <f>+C198+C200</f>
        <v>51381929</v>
      </c>
      <c r="D207" s="263">
        <f>+D198+D200</f>
        <v>50980398</v>
      </c>
      <c r="E207" s="263">
        <f t="shared" si="29"/>
        <v>-401531</v>
      </c>
      <c r="F207" s="273">
        <f t="shared" si="30"/>
        <v>-7.8146345965329558E-3</v>
      </c>
    </row>
    <row r="208" spans="1:9" ht="20.25" customHeight="1" x14ac:dyDescent="0.3">
      <c r="A208" s="271"/>
      <c r="B208" s="262" t="s">
        <v>472</v>
      </c>
      <c r="C208" s="263">
        <f>+C199+C201</f>
        <v>12087490</v>
      </c>
      <c r="D208" s="263">
        <f>+D199+D201</f>
        <v>12065928</v>
      </c>
      <c r="E208" s="263">
        <f t="shared" si="29"/>
        <v>-21562</v>
      </c>
      <c r="F208" s="273">
        <f t="shared" si="30"/>
        <v>-1.7838277425669018E-3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FILING&amp;RNORWALK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FILING&amp;RNORWALK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144314483</v>
      </c>
      <c r="D13" s="22">
        <v>89299000</v>
      </c>
      <c r="E13" s="22">
        <f t="shared" ref="E13:E22" si="0">D13-C13</f>
        <v>-55015483</v>
      </c>
      <c r="F13" s="306">
        <f t="shared" ref="F13:F22" si="1">IF(C13=0,0,E13/C13)</f>
        <v>-0.38121941648781016</v>
      </c>
    </row>
    <row r="14" spans="1:8" ht="24" customHeight="1" x14ac:dyDescent="0.2">
      <c r="A14" s="304">
        <v>2</v>
      </c>
      <c r="B14" s="305" t="s">
        <v>17</v>
      </c>
      <c r="C14" s="22">
        <v>14004464</v>
      </c>
      <c r="D14" s="22">
        <v>13983000</v>
      </c>
      <c r="E14" s="22">
        <f t="shared" si="0"/>
        <v>-21464</v>
      </c>
      <c r="F14" s="306">
        <f t="shared" si="1"/>
        <v>-1.5326541594165974E-3</v>
      </c>
    </row>
    <row r="15" spans="1:8" ht="35.1" customHeight="1" x14ac:dyDescent="0.2">
      <c r="A15" s="304">
        <v>3</v>
      </c>
      <c r="B15" s="305" t="s">
        <v>18</v>
      </c>
      <c r="C15" s="22">
        <v>128633349</v>
      </c>
      <c r="D15" s="22">
        <v>143408000</v>
      </c>
      <c r="E15" s="22">
        <f t="shared" si="0"/>
        <v>14774651</v>
      </c>
      <c r="F15" s="306">
        <f t="shared" si="1"/>
        <v>0.11485863592030089</v>
      </c>
    </row>
    <row r="16" spans="1:8" ht="35.1" customHeight="1" x14ac:dyDescent="0.2">
      <c r="A16" s="304">
        <v>4</v>
      </c>
      <c r="B16" s="305" t="s">
        <v>19</v>
      </c>
      <c r="C16" s="22">
        <v>9863637</v>
      </c>
      <c r="D16" s="22">
        <v>7368000</v>
      </c>
      <c r="E16" s="22">
        <f t="shared" si="0"/>
        <v>-2495637</v>
      </c>
      <c r="F16" s="306">
        <f t="shared" si="1"/>
        <v>-0.25301387307744599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14459240</v>
      </c>
      <c r="D19" s="22">
        <v>14880000</v>
      </c>
      <c r="E19" s="22">
        <f t="shared" si="0"/>
        <v>420760</v>
      </c>
      <c r="F19" s="306">
        <f t="shared" si="1"/>
        <v>2.9099731382838931E-2</v>
      </c>
    </row>
    <row r="20" spans="1:11" ht="24" customHeight="1" x14ac:dyDescent="0.2">
      <c r="A20" s="304">
        <v>8</v>
      </c>
      <c r="B20" s="305" t="s">
        <v>23</v>
      </c>
      <c r="C20" s="22">
        <v>30762442</v>
      </c>
      <c r="D20" s="22">
        <v>23102000</v>
      </c>
      <c r="E20" s="22">
        <f t="shared" si="0"/>
        <v>-7660442</v>
      </c>
      <c r="F20" s="306">
        <f t="shared" si="1"/>
        <v>-0.24901930737488265</v>
      </c>
    </row>
    <row r="21" spans="1:11" ht="24" customHeight="1" x14ac:dyDescent="0.2">
      <c r="A21" s="304">
        <v>9</v>
      </c>
      <c r="B21" s="305" t="s">
        <v>24</v>
      </c>
      <c r="C21" s="22">
        <v>16375353</v>
      </c>
      <c r="D21" s="22">
        <v>41268000</v>
      </c>
      <c r="E21" s="22">
        <f t="shared" si="0"/>
        <v>24892647</v>
      </c>
      <c r="F21" s="306">
        <f t="shared" si="1"/>
        <v>1.5201288790537828</v>
      </c>
    </row>
    <row r="22" spans="1:11" ht="24" customHeight="1" x14ac:dyDescent="0.25">
      <c r="A22" s="307"/>
      <c r="B22" s="308" t="s">
        <v>25</v>
      </c>
      <c r="C22" s="309">
        <f>SUM(C13:C21)</f>
        <v>358412968</v>
      </c>
      <c r="D22" s="309">
        <f>SUM(D13:D21)</f>
        <v>333308000</v>
      </c>
      <c r="E22" s="309">
        <f t="shared" si="0"/>
        <v>-25104968</v>
      </c>
      <c r="F22" s="310">
        <f t="shared" si="1"/>
        <v>-7.0044809316162915E-2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15765862</v>
      </c>
      <c r="D25" s="22">
        <v>14563000</v>
      </c>
      <c r="E25" s="22">
        <f>D25-C25</f>
        <v>-1202862</v>
      </c>
      <c r="F25" s="306">
        <f>IF(C25=0,0,E25/C25)</f>
        <v>-7.6295352578882147E-2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117033285</v>
      </c>
      <c r="D28" s="22">
        <v>132780000</v>
      </c>
      <c r="E28" s="22">
        <f>D28-C28</f>
        <v>15746715</v>
      </c>
      <c r="F28" s="306">
        <f>IF(C28=0,0,E28/C28)</f>
        <v>0.1345490302181982</v>
      </c>
    </row>
    <row r="29" spans="1:11" ht="35.1" customHeight="1" x14ac:dyDescent="0.25">
      <c r="A29" s="307"/>
      <c r="B29" s="308" t="s">
        <v>32</v>
      </c>
      <c r="C29" s="309">
        <f>SUM(C25:C28)</f>
        <v>132799147</v>
      </c>
      <c r="D29" s="309">
        <f>SUM(D25:D28)</f>
        <v>147343000</v>
      </c>
      <c r="E29" s="309">
        <f>D29-C29</f>
        <v>14543853</v>
      </c>
      <c r="F29" s="310">
        <f>IF(C29=0,0,E29/C29)</f>
        <v>0.10951766881454442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433150793</v>
      </c>
      <c r="D32" s="22">
        <v>416915000</v>
      </c>
      <c r="E32" s="22">
        <f>D32-C32</f>
        <v>-16235793</v>
      </c>
      <c r="F32" s="306">
        <f>IF(C32=0,0,E32/C32)</f>
        <v>-3.7483004215578104E-2</v>
      </c>
    </row>
    <row r="33" spans="1:8" ht="24" customHeight="1" x14ac:dyDescent="0.2">
      <c r="A33" s="304">
        <v>7</v>
      </c>
      <c r="B33" s="305" t="s">
        <v>35</v>
      </c>
      <c r="C33" s="22">
        <v>53835196</v>
      </c>
      <c r="D33" s="22">
        <v>34445000</v>
      </c>
      <c r="E33" s="22">
        <f>D33-C33</f>
        <v>-19390196</v>
      </c>
      <c r="F33" s="306">
        <f>IF(C33=0,0,E33/C33)</f>
        <v>-0.36017693703576376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1318420986</v>
      </c>
      <c r="D36" s="22">
        <v>1397769000</v>
      </c>
      <c r="E36" s="22">
        <f>D36-C36</f>
        <v>79348014</v>
      </c>
      <c r="F36" s="306">
        <f>IF(C36=0,0,E36/C36)</f>
        <v>6.0184125436850408E-2</v>
      </c>
    </row>
    <row r="37" spans="1:8" ht="24" customHeight="1" x14ac:dyDescent="0.2">
      <c r="A37" s="304">
        <v>2</v>
      </c>
      <c r="B37" s="305" t="s">
        <v>39</v>
      </c>
      <c r="C37" s="22">
        <v>775229849</v>
      </c>
      <c r="D37" s="22">
        <v>824711000</v>
      </c>
      <c r="E37" s="22">
        <f>D37-C37</f>
        <v>49481151</v>
      </c>
      <c r="F37" s="22">
        <f>IF(C37=0,0,E37/C37)</f>
        <v>6.3827716468641799E-2</v>
      </c>
    </row>
    <row r="38" spans="1:8" ht="24" customHeight="1" x14ac:dyDescent="0.25">
      <c r="A38" s="307"/>
      <c r="B38" s="308" t="s">
        <v>40</v>
      </c>
      <c r="C38" s="309">
        <f>C36-C37</f>
        <v>543191137</v>
      </c>
      <c r="D38" s="309">
        <f>D36-D37</f>
        <v>573058000</v>
      </c>
      <c r="E38" s="309">
        <f>D38-C38</f>
        <v>29866863</v>
      </c>
      <c r="F38" s="310">
        <f>IF(C38=0,0,E38/C38)</f>
        <v>5.4984076443058756E-2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108748595</v>
      </c>
      <c r="D40" s="22">
        <v>106873000</v>
      </c>
      <c r="E40" s="22">
        <f>D40-C40</f>
        <v>-1875595</v>
      </c>
      <c r="F40" s="306">
        <f>IF(C40=0,0,E40/C40)</f>
        <v>-1.7247073398971271E-2</v>
      </c>
    </row>
    <row r="41" spans="1:8" ht="24" customHeight="1" x14ac:dyDescent="0.25">
      <c r="A41" s="307"/>
      <c r="B41" s="308" t="s">
        <v>42</v>
      </c>
      <c r="C41" s="309">
        <f>+C38+C40</f>
        <v>651939732</v>
      </c>
      <c r="D41" s="309">
        <f>+D38+D40</f>
        <v>679931000</v>
      </c>
      <c r="E41" s="309">
        <f>D41-C41</f>
        <v>27991268</v>
      </c>
      <c r="F41" s="310">
        <f>IF(C41=0,0,E41/C41)</f>
        <v>4.2935361393190867E-2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1630137836</v>
      </c>
      <c r="D43" s="309">
        <f>D22+D29+D31+D32+D33+D41</f>
        <v>1611942000</v>
      </c>
      <c r="E43" s="309">
        <f>D43-C43</f>
        <v>-18195836</v>
      </c>
      <c r="F43" s="310">
        <f>IF(C43=0,0,E43/C43)</f>
        <v>-1.1162145677600235E-2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78566464</v>
      </c>
      <c r="D49" s="22">
        <v>69955000</v>
      </c>
      <c r="E49" s="22">
        <f t="shared" ref="E49:E56" si="2">D49-C49</f>
        <v>-8611464</v>
      </c>
      <c r="F49" s="306">
        <f t="shared" ref="F49:F56" si="3">IF(C49=0,0,E49/C49)</f>
        <v>-0.10960737650099665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69089102</v>
      </c>
      <c r="D50" s="22">
        <v>69290000</v>
      </c>
      <c r="E50" s="22">
        <f t="shared" si="2"/>
        <v>200898</v>
      </c>
      <c r="F50" s="306">
        <f t="shared" si="3"/>
        <v>2.9078102650690117E-3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53635921</v>
      </c>
      <c r="D51" s="22">
        <v>46275000</v>
      </c>
      <c r="E51" s="22">
        <f t="shared" si="2"/>
        <v>-7360921</v>
      </c>
      <c r="F51" s="306">
        <f t="shared" si="3"/>
        <v>-0.1372386427372059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11964141</v>
      </c>
      <c r="D53" s="22">
        <v>9227000</v>
      </c>
      <c r="E53" s="22">
        <f t="shared" si="2"/>
        <v>-2737141</v>
      </c>
      <c r="F53" s="306">
        <f t="shared" si="3"/>
        <v>-0.22877873137737176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213255628</v>
      </c>
      <c r="D56" s="309">
        <f>SUM(D49:D55)</f>
        <v>194747000</v>
      </c>
      <c r="E56" s="309">
        <f t="shared" si="2"/>
        <v>-18508628</v>
      </c>
      <c r="F56" s="310">
        <f t="shared" si="3"/>
        <v>-8.6790806758919398E-2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363726412</v>
      </c>
      <c r="D60" s="22">
        <v>354959000</v>
      </c>
      <c r="E60" s="22">
        <f>D60-C60</f>
        <v>-8767412</v>
      </c>
      <c r="F60" s="306">
        <f>IF(C60=0,0,E60/C60)</f>
        <v>-2.4104413951659909E-2</v>
      </c>
    </row>
    <row r="61" spans="1:6" ht="24" customHeight="1" x14ac:dyDescent="0.25">
      <c r="A61" s="307"/>
      <c r="B61" s="308" t="s">
        <v>58</v>
      </c>
      <c r="C61" s="309">
        <f>SUM(C59:C60)</f>
        <v>363726412</v>
      </c>
      <c r="D61" s="309">
        <f>SUM(D59:D60)</f>
        <v>354959000</v>
      </c>
      <c r="E61" s="309">
        <f>D61-C61</f>
        <v>-8767412</v>
      </c>
      <c r="F61" s="310">
        <f>IF(C61=0,0,E61/C61)</f>
        <v>-2.4104413951659909E-2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169569725</v>
      </c>
      <c r="D63" s="22">
        <v>227988000</v>
      </c>
      <c r="E63" s="22">
        <f>D63-C63</f>
        <v>58418275</v>
      </c>
      <c r="F63" s="306">
        <f>IF(C63=0,0,E63/C63)</f>
        <v>0.34450887385705203</v>
      </c>
    </row>
    <row r="64" spans="1:6" ht="24" customHeight="1" x14ac:dyDescent="0.2">
      <c r="A64" s="304">
        <v>4</v>
      </c>
      <c r="B64" s="305" t="s">
        <v>60</v>
      </c>
      <c r="C64" s="22">
        <v>86031950</v>
      </c>
      <c r="D64" s="22">
        <v>78958000</v>
      </c>
      <c r="E64" s="22">
        <f>D64-C64</f>
        <v>-7073950</v>
      </c>
      <c r="F64" s="306">
        <f>IF(C64=0,0,E64/C64)</f>
        <v>-8.2224685131512182E-2</v>
      </c>
    </row>
    <row r="65" spans="1:6" ht="24" customHeight="1" x14ac:dyDescent="0.25">
      <c r="A65" s="307"/>
      <c r="B65" s="308" t="s">
        <v>61</v>
      </c>
      <c r="C65" s="309">
        <f>SUM(C61:C64)</f>
        <v>619328087</v>
      </c>
      <c r="D65" s="309">
        <f>SUM(D61:D64)</f>
        <v>661905000</v>
      </c>
      <c r="E65" s="309">
        <f>D65-C65</f>
        <v>42576913</v>
      </c>
      <c r="F65" s="310">
        <f>IF(C65=0,0,E65/C65)</f>
        <v>6.8746943492004095E-2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661351254</v>
      </c>
      <c r="D70" s="22">
        <v>603321000</v>
      </c>
      <c r="E70" s="22">
        <f>D70-C70</f>
        <v>-58030254</v>
      </c>
      <c r="F70" s="306">
        <f>IF(C70=0,0,E70/C70)</f>
        <v>-8.7744982184610784E-2</v>
      </c>
    </row>
    <row r="71" spans="1:6" ht="24" customHeight="1" x14ac:dyDescent="0.2">
      <c r="A71" s="304">
        <v>2</v>
      </c>
      <c r="B71" s="305" t="s">
        <v>65</v>
      </c>
      <c r="C71" s="22">
        <v>92944545</v>
      </c>
      <c r="D71" s="22">
        <v>107926000</v>
      </c>
      <c r="E71" s="22">
        <f>D71-C71</f>
        <v>14981455</v>
      </c>
      <c r="F71" s="306">
        <f>IF(C71=0,0,E71/C71)</f>
        <v>0.16118702824356179</v>
      </c>
    </row>
    <row r="72" spans="1:6" ht="24" customHeight="1" x14ac:dyDescent="0.2">
      <c r="A72" s="304">
        <v>3</v>
      </c>
      <c r="B72" s="305" t="s">
        <v>66</v>
      </c>
      <c r="C72" s="22">
        <v>43258322</v>
      </c>
      <c r="D72" s="22">
        <v>44043000</v>
      </c>
      <c r="E72" s="22">
        <f>D72-C72</f>
        <v>784678</v>
      </c>
      <c r="F72" s="306">
        <f>IF(C72=0,0,E72/C72)</f>
        <v>1.8139353625413395E-2</v>
      </c>
    </row>
    <row r="73" spans="1:6" ht="24" customHeight="1" x14ac:dyDescent="0.25">
      <c r="A73" s="304"/>
      <c r="B73" s="308" t="s">
        <v>67</v>
      </c>
      <c r="C73" s="309">
        <f>SUM(C70:C72)</f>
        <v>797554121</v>
      </c>
      <c r="D73" s="309">
        <f>SUM(D70:D72)</f>
        <v>755290000</v>
      </c>
      <c r="E73" s="309">
        <f>D73-C73</f>
        <v>-42264121</v>
      </c>
      <c r="F73" s="310">
        <f>IF(C73=0,0,E73/C73)</f>
        <v>-5.2992166784879544E-2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1630137836</v>
      </c>
      <c r="D75" s="309">
        <f>D56+D65+D67+D73</f>
        <v>1611942000</v>
      </c>
      <c r="E75" s="309">
        <f>D75-C75</f>
        <v>-18195836</v>
      </c>
      <c r="F75" s="310">
        <f>IF(C75=0,0,E75/C75)</f>
        <v>-1.1162145677600235E-2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2" orientation="portrait" horizontalDpi="1200" verticalDpi="1200" r:id="rId1"/>
  <headerFooter>
    <oddHeader>&amp;LOFFICE OF HEALTH CARE ACCESS&amp;CTWELVE MONTHS ACTUAL FILING&amp;RWESTERN CONNECTICUT HEALTH NETWORK,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2462700883</v>
      </c>
      <c r="D11" s="76">
        <v>2865780000</v>
      </c>
      <c r="E11" s="76">
        <f t="shared" ref="E11:E20" si="0">D11-C11</f>
        <v>403079117</v>
      </c>
      <c r="F11" s="77">
        <f t="shared" ref="F11:F20" si="1">IF(C11=0,0,E11/C11)</f>
        <v>0.16367359908889106</v>
      </c>
    </row>
    <row r="12" spans="1:7" ht="23.1" customHeight="1" x14ac:dyDescent="0.2">
      <c r="A12" s="74">
        <v>2</v>
      </c>
      <c r="B12" s="75" t="s">
        <v>72</v>
      </c>
      <c r="C12" s="76">
        <v>1433142811</v>
      </c>
      <c r="D12" s="76">
        <v>1669573000</v>
      </c>
      <c r="E12" s="76">
        <f t="shared" si="0"/>
        <v>236430189</v>
      </c>
      <c r="F12" s="77">
        <f t="shared" si="1"/>
        <v>0.16497322331403022</v>
      </c>
    </row>
    <row r="13" spans="1:7" ht="23.1" customHeight="1" x14ac:dyDescent="0.2">
      <c r="A13" s="74">
        <v>3</v>
      </c>
      <c r="B13" s="75" t="s">
        <v>73</v>
      </c>
      <c r="C13" s="76">
        <v>27520752</v>
      </c>
      <c r="D13" s="76">
        <v>33743000</v>
      </c>
      <c r="E13" s="76">
        <f t="shared" si="0"/>
        <v>6222248</v>
      </c>
      <c r="F13" s="77">
        <f t="shared" si="1"/>
        <v>0.22609294978567446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1002037320</v>
      </c>
      <c r="D15" s="79">
        <f>D11-D12-D13-D14</f>
        <v>1162464000</v>
      </c>
      <c r="E15" s="79">
        <f t="shared" si="0"/>
        <v>160426680</v>
      </c>
      <c r="F15" s="80">
        <f t="shared" si="1"/>
        <v>0.16010050404110698</v>
      </c>
    </row>
    <row r="16" spans="1:7" ht="23.1" customHeight="1" x14ac:dyDescent="0.2">
      <c r="A16" s="74">
        <v>5</v>
      </c>
      <c r="B16" s="75" t="s">
        <v>76</v>
      </c>
      <c r="C16" s="76">
        <v>40667790</v>
      </c>
      <c r="D16" s="76">
        <v>38642000</v>
      </c>
      <c r="E16" s="76">
        <f t="shared" si="0"/>
        <v>-2025790</v>
      </c>
      <c r="F16" s="77">
        <f t="shared" si="1"/>
        <v>-4.9813132211020072E-2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961369530</v>
      </c>
      <c r="D17" s="79">
        <f>D15-D16</f>
        <v>1123822000</v>
      </c>
      <c r="E17" s="79">
        <f t="shared" si="0"/>
        <v>162452470</v>
      </c>
      <c r="F17" s="80">
        <f t="shared" si="1"/>
        <v>0.16898025673853009</v>
      </c>
    </row>
    <row r="18" spans="1:7" ht="23.1" customHeight="1" x14ac:dyDescent="0.2">
      <c r="A18" s="74">
        <v>6</v>
      </c>
      <c r="B18" s="75" t="s">
        <v>78</v>
      </c>
      <c r="C18" s="76">
        <v>25099816</v>
      </c>
      <c r="D18" s="76">
        <v>25524000</v>
      </c>
      <c r="E18" s="76">
        <f t="shared" si="0"/>
        <v>424184</v>
      </c>
      <c r="F18" s="77">
        <f t="shared" si="1"/>
        <v>1.689988484377734E-2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7155684</v>
      </c>
      <c r="D19" s="76">
        <v>8093000</v>
      </c>
      <c r="E19" s="76">
        <f t="shared" si="0"/>
        <v>937316</v>
      </c>
      <c r="F19" s="77">
        <f t="shared" si="1"/>
        <v>0.13098901516612527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993625030</v>
      </c>
      <c r="D20" s="79">
        <f>SUM(D17:D19)</f>
        <v>1157439000</v>
      </c>
      <c r="E20" s="79">
        <f t="shared" si="0"/>
        <v>163813970</v>
      </c>
      <c r="F20" s="80">
        <f t="shared" si="1"/>
        <v>0.16486497929706945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469826938</v>
      </c>
      <c r="D23" s="76">
        <v>532907000</v>
      </c>
      <c r="E23" s="76">
        <f t="shared" ref="E23:E32" si="2">D23-C23</f>
        <v>63080062</v>
      </c>
      <c r="F23" s="77">
        <f t="shared" ref="F23:F32" si="3">IF(C23=0,0,E23/C23)</f>
        <v>0.13426233554960615</v>
      </c>
    </row>
    <row r="24" spans="1:7" ht="23.1" customHeight="1" x14ac:dyDescent="0.2">
      <c r="A24" s="74">
        <v>2</v>
      </c>
      <c r="B24" s="75" t="s">
        <v>83</v>
      </c>
      <c r="C24" s="76">
        <v>104721012</v>
      </c>
      <c r="D24" s="76">
        <v>127826000</v>
      </c>
      <c r="E24" s="76">
        <f t="shared" si="2"/>
        <v>23104988</v>
      </c>
      <c r="F24" s="77">
        <f t="shared" si="3"/>
        <v>0.22063373489935334</v>
      </c>
    </row>
    <row r="25" spans="1:7" ht="23.1" customHeight="1" x14ac:dyDescent="0.2">
      <c r="A25" s="74">
        <v>3</v>
      </c>
      <c r="B25" s="75" t="s">
        <v>84</v>
      </c>
      <c r="C25" s="76">
        <v>16270068</v>
      </c>
      <c r="D25" s="76">
        <v>24022000</v>
      </c>
      <c r="E25" s="76">
        <f t="shared" si="2"/>
        <v>7751932</v>
      </c>
      <c r="F25" s="77">
        <f t="shared" si="3"/>
        <v>0.4764535710606741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122783655</v>
      </c>
      <c r="D26" s="76">
        <v>152939000</v>
      </c>
      <c r="E26" s="76">
        <f t="shared" si="2"/>
        <v>30155345</v>
      </c>
      <c r="F26" s="77">
        <f t="shared" si="3"/>
        <v>0.24559738834945091</v>
      </c>
    </row>
    <row r="27" spans="1:7" ht="23.1" customHeight="1" x14ac:dyDescent="0.2">
      <c r="A27" s="74">
        <v>5</v>
      </c>
      <c r="B27" s="75" t="s">
        <v>86</v>
      </c>
      <c r="C27" s="76">
        <v>53445138</v>
      </c>
      <c r="D27" s="76">
        <v>68744000</v>
      </c>
      <c r="E27" s="76">
        <f t="shared" si="2"/>
        <v>15298862</v>
      </c>
      <c r="F27" s="77">
        <f t="shared" si="3"/>
        <v>0.28625357838911369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6326466</v>
      </c>
      <c r="D29" s="76">
        <v>9510000</v>
      </c>
      <c r="E29" s="76">
        <f t="shared" si="2"/>
        <v>3183534</v>
      </c>
      <c r="F29" s="77">
        <f t="shared" si="3"/>
        <v>0.50320890051412592</v>
      </c>
    </row>
    <row r="30" spans="1:7" ht="23.1" customHeight="1" x14ac:dyDescent="0.2">
      <c r="A30" s="74">
        <v>8</v>
      </c>
      <c r="B30" s="75" t="s">
        <v>89</v>
      </c>
      <c r="C30" s="76">
        <v>20861003</v>
      </c>
      <c r="D30" s="76">
        <v>9517000</v>
      </c>
      <c r="E30" s="76">
        <f t="shared" si="2"/>
        <v>-11344003</v>
      </c>
      <c r="F30" s="77">
        <f t="shared" si="3"/>
        <v>-0.54378991269019994</v>
      </c>
    </row>
    <row r="31" spans="1:7" ht="23.1" customHeight="1" x14ac:dyDescent="0.2">
      <c r="A31" s="74">
        <v>9</v>
      </c>
      <c r="B31" s="75" t="s">
        <v>90</v>
      </c>
      <c r="C31" s="76">
        <v>166941322</v>
      </c>
      <c r="D31" s="76">
        <v>219182000</v>
      </c>
      <c r="E31" s="76">
        <f t="shared" si="2"/>
        <v>52240678</v>
      </c>
      <c r="F31" s="77">
        <f t="shared" si="3"/>
        <v>0.31292838330344597</v>
      </c>
    </row>
    <row r="32" spans="1:7" ht="23.1" customHeight="1" x14ac:dyDescent="0.25">
      <c r="A32" s="71"/>
      <c r="B32" s="78" t="s">
        <v>91</v>
      </c>
      <c r="C32" s="79">
        <f>SUM(C23:C31)</f>
        <v>961175602</v>
      </c>
      <c r="D32" s="79">
        <f>SUM(D23:D31)</f>
        <v>1144647000</v>
      </c>
      <c r="E32" s="79">
        <f t="shared" si="2"/>
        <v>183471398</v>
      </c>
      <c r="F32" s="80">
        <f t="shared" si="3"/>
        <v>0.1908822879172499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32449428</v>
      </c>
      <c r="D34" s="79">
        <f>+D20-D32</f>
        <v>12792000</v>
      </c>
      <c r="E34" s="79">
        <f>D34-C34</f>
        <v>-19657428</v>
      </c>
      <c r="F34" s="80">
        <f>IF(C34=0,0,E34/C34)</f>
        <v>-0.60578657965866145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5772965</v>
      </c>
      <c r="D37" s="76">
        <v>9298000</v>
      </c>
      <c r="E37" s="76">
        <f>D37-C37</f>
        <v>3525035</v>
      </c>
      <c r="F37" s="77">
        <f>IF(C37=0,0,E37/C37)</f>
        <v>0.61061083862451959</v>
      </c>
    </row>
    <row r="38" spans="1:6" ht="23.1" customHeight="1" x14ac:dyDescent="0.2">
      <c r="A38" s="85">
        <v>2</v>
      </c>
      <c r="B38" s="75" t="s">
        <v>95</v>
      </c>
      <c r="C38" s="76">
        <v>5517373</v>
      </c>
      <c r="D38" s="76">
        <v>33105000</v>
      </c>
      <c r="E38" s="76">
        <f>D38-C38</f>
        <v>27587627</v>
      </c>
      <c r="F38" s="77">
        <f>IF(C38=0,0,E38/C38)</f>
        <v>5.0001381092052322</v>
      </c>
    </row>
    <row r="39" spans="1:6" ht="23.1" customHeight="1" x14ac:dyDescent="0.2">
      <c r="A39" s="85">
        <v>3</v>
      </c>
      <c r="B39" s="75" t="s">
        <v>96</v>
      </c>
      <c r="C39" s="76">
        <v>306593216</v>
      </c>
      <c r="D39" s="76">
        <v>-21845000</v>
      </c>
      <c r="E39" s="76">
        <f>D39-C39</f>
        <v>-328438216</v>
      </c>
      <c r="F39" s="77">
        <f>IF(C39=0,0,E39/C39)</f>
        <v>-1.0712507611388244</v>
      </c>
    </row>
    <row r="40" spans="1:6" ht="23.1" customHeight="1" x14ac:dyDescent="0.25">
      <c r="A40" s="83"/>
      <c r="B40" s="78" t="s">
        <v>97</v>
      </c>
      <c r="C40" s="79">
        <f>SUM(C37:C39)</f>
        <v>317883554</v>
      </c>
      <c r="D40" s="79">
        <f>SUM(D37:D39)</f>
        <v>20558000</v>
      </c>
      <c r="E40" s="79">
        <f>D40-C40</f>
        <v>-297325554</v>
      </c>
      <c r="F40" s="80">
        <f>IF(C40=0,0,E40/C40)</f>
        <v>-0.9353285197006449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350332982</v>
      </c>
      <c r="D42" s="79">
        <f>D34+D40</f>
        <v>33350000</v>
      </c>
      <c r="E42" s="79">
        <f>D42-C42</f>
        <v>-316982982</v>
      </c>
      <c r="F42" s="80">
        <f>IF(C42=0,0,E42/C42)</f>
        <v>-0.90480485220201168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-1116608</v>
      </c>
      <c r="D46" s="76">
        <v>-1968000</v>
      </c>
      <c r="E46" s="76">
        <f>D46-C46</f>
        <v>-851392</v>
      </c>
      <c r="F46" s="77">
        <f>IF(C46=0,0,E46/C46)</f>
        <v>0.76248065570012036</v>
      </c>
    </row>
    <row r="47" spans="1:6" ht="23.1" customHeight="1" x14ac:dyDescent="0.25">
      <c r="A47" s="83"/>
      <c r="B47" s="78" t="s">
        <v>102</v>
      </c>
      <c r="C47" s="79">
        <f>SUM(C45:C46)</f>
        <v>-1116608</v>
      </c>
      <c r="D47" s="79">
        <f>SUM(D45:D46)</f>
        <v>-1968000</v>
      </c>
      <c r="E47" s="79">
        <f>D47-C47</f>
        <v>-851392</v>
      </c>
      <c r="F47" s="80">
        <f>IF(C47=0,0,E47/C47)</f>
        <v>0.76248065570012036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349216374</v>
      </c>
      <c r="D49" s="79">
        <f>D42+D47</f>
        <v>31382000</v>
      </c>
      <c r="E49" s="79">
        <f>D49-C49</f>
        <v>-317834374</v>
      </c>
      <c r="F49" s="80">
        <f>IF(C49=0,0,E49/C49)</f>
        <v>-0.91013594339651438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FILING&amp;R&amp;8WESTERN CONNECTICUT HEALTH NETWORK,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2016-07-29T20:56:59Z</dcterms:created>
  <dcterms:modified xsi:type="dcterms:W3CDTF">2016-07-29T21:25:56Z</dcterms:modified>
</cp:coreProperties>
</file>