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D230" i="18"/>
  <c r="E230" i="18"/>
  <c r="C230" i="18"/>
  <c r="D228" i="18"/>
  <c r="E228" i="18"/>
  <c r="C228" i="18"/>
  <c r="D227" i="18"/>
  <c r="C227" i="18"/>
  <c r="E227" i="18"/>
  <c r="D221" i="18"/>
  <c r="E221" i="18"/>
  <c r="C221" i="18"/>
  <c r="C245" i="18"/>
  <c r="D220" i="18"/>
  <c r="D244" i="18"/>
  <c r="C220" i="18"/>
  <c r="C244" i="18"/>
  <c r="D219" i="18"/>
  <c r="E219" i="18"/>
  <c r="C219" i="18"/>
  <c r="C243" i="18"/>
  <c r="D218" i="18"/>
  <c r="D242" i="18"/>
  <c r="C218" i="18"/>
  <c r="C217" i="18"/>
  <c r="D216" i="18"/>
  <c r="D240" i="18"/>
  <c r="C216" i="18"/>
  <c r="C240" i="18"/>
  <c r="D215" i="18"/>
  <c r="E215" i="18"/>
  <c r="C215" i="18"/>
  <c r="C239" i="18"/>
  <c r="D210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5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63" i="18"/>
  <c r="C139" i="18"/>
  <c r="C163" i="18"/>
  <c r="E138" i="18"/>
  <c r="E137" i="18"/>
  <c r="D7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D23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E37" i="18"/>
  <c r="C37" i="18"/>
  <c r="C43" i="18"/>
  <c r="D36" i="18"/>
  <c r="C36" i="18"/>
  <c r="E36" i="18"/>
  <c r="D33" i="18"/>
  <c r="D32" i="18"/>
  <c r="C32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D277" i="17"/>
  <c r="C188" i="17"/>
  <c r="D180" i="17"/>
  <c r="C180" i="17"/>
  <c r="D179" i="17"/>
  <c r="D181" i="17"/>
  <c r="C179" i="17"/>
  <c r="C172" i="17"/>
  <c r="D171" i="17"/>
  <c r="D172" i="17"/>
  <c r="D173" i="17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E159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C145" i="17"/>
  <c r="D144" i="17"/>
  <c r="D146" i="17"/>
  <c r="E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C19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E33" i="14"/>
  <c r="E36" i="14"/>
  <c r="E38" i="14"/>
  <c r="E40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E84" i="6"/>
  <c r="F84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E16" i="5"/>
  <c r="F16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E54" i="4"/>
  <c r="F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94" i="17"/>
  <c r="E95" i="17"/>
  <c r="E100" i="17"/>
  <c r="E110" i="17"/>
  <c r="E120" i="17"/>
  <c r="E164" i="17"/>
  <c r="E165" i="17"/>
  <c r="E229" i="17"/>
  <c r="E230" i="17"/>
  <c r="E238" i="17"/>
  <c r="E294" i="17"/>
  <c r="E295" i="17"/>
  <c r="E296" i="17"/>
  <c r="E297" i="17"/>
  <c r="E298" i="17"/>
  <c r="E299" i="17"/>
  <c r="C22" i="19"/>
  <c r="E85" i="17"/>
  <c r="D192" i="17"/>
  <c r="E129" i="17"/>
  <c r="E130" i="17"/>
  <c r="E135" i="17"/>
  <c r="E145" i="17"/>
  <c r="E155" i="17"/>
  <c r="E223" i="17"/>
  <c r="C284" i="18"/>
  <c r="C44" i="18"/>
  <c r="E55" i="18"/>
  <c r="D66" i="18"/>
  <c r="D295" i="18"/>
  <c r="E71" i="18"/>
  <c r="E163" i="18"/>
  <c r="E240" i="18"/>
  <c r="E244" i="18"/>
  <c r="D283" i="18"/>
  <c r="D22" i="18"/>
  <c r="E21" i="18"/>
  <c r="C33" i="18"/>
  <c r="E32" i="18"/>
  <c r="D43" i="18"/>
  <c r="D44" i="18"/>
  <c r="E54" i="18"/>
  <c r="C289" i="18"/>
  <c r="C71" i="18"/>
  <c r="C76" i="18"/>
  <c r="C65" i="18"/>
  <c r="C66" i="18"/>
  <c r="E60" i="18"/>
  <c r="E70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57" i="18"/>
  <c r="E157" i="18"/>
  <c r="E156" i="18"/>
  <c r="E175" i="18"/>
  <c r="C283" i="18"/>
  <c r="D294" i="18"/>
  <c r="E289" i="18"/>
  <c r="C144" i="18"/>
  <c r="E144" i="18"/>
  <c r="D145" i="18"/>
  <c r="E151" i="18"/>
  <c r="C175" i="18"/>
  <c r="D180" i="18"/>
  <c r="C261" i="18"/>
  <c r="C189" i="18"/>
  <c r="E189" i="18"/>
  <c r="E188" i="18"/>
  <c r="D260" i="18"/>
  <c r="E195" i="18"/>
  <c r="D211" i="18"/>
  <c r="E210" i="18"/>
  <c r="D217" i="18"/>
  <c r="E220" i="18"/>
  <c r="C253" i="18"/>
  <c r="C254" i="18"/>
  <c r="E233" i="18"/>
  <c r="D239" i="18"/>
  <c r="E239" i="18"/>
  <c r="C242" i="18"/>
  <c r="E242" i="18"/>
  <c r="D243" i="18"/>
  <c r="E302" i="18"/>
  <c r="C303" i="18"/>
  <c r="C306" i="18"/>
  <c r="C310" i="18"/>
  <c r="E139" i="18"/>
  <c r="E261" i="18"/>
  <c r="C234" i="18"/>
  <c r="E234" i="18"/>
  <c r="E205" i="18"/>
  <c r="C211" i="18"/>
  <c r="C235" i="18"/>
  <c r="E216" i="18"/>
  <c r="C241" i="18"/>
  <c r="E218" i="18"/>
  <c r="C222" i="18"/>
  <c r="C229" i="18"/>
  <c r="E229" i="18"/>
  <c r="C252" i="18"/>
  <c r="E231" i="18"/>
  <c r="D245" i="18"/>
  <c r="E245" i="18"/>
  <c r="D306" i="18"/>
  <c r="D320" i="18"/>
  <c r="E320" i="18"/>
  <c r="E316" i="18"/>
  <c r="E326" i="18"/>
  <c r="D330" i="18"/>
  <c r="E330" i="18"/>
  <c r="D222" i="18"/>
  <c r="C223" i="18"/>
  <c r="C247" i="18"/>
  <c r="E265" i="18"/>
  <c r="E314" i="18"/>
  <c r="E301" i="18"/>
  <c r="E324" i="18"/>
  <c r="C32" i="17"/>
  <c r="C160" i="17"/>
  <c r="C90" i="17"/>
  <c r="C61" i="17"/>
  <c r="F68" i="17"/>
  <c r="F89" i="17"/>
  <c r="E102" i="17"/>
  <c r="F102" i="17"/>
  <c r="D103" i="17"/>
  <c r="E111" i="17"/>
  <c r="F111" i="17"/>
  <c r="C207" i="17"/>
  <c r="C138" i="17"/>
  <c r="F146" i="17"/>
  <c r="F159" i="17"/>
  <c r="D32" i="17"/>
  <c r="E31" i="17"/>
  <c r="F31" i="17"/>
  <c r="D160" i="17"/>
  <c r="E160" i="17"/>
  <c r="D90" i="17"/>
  <c r="E90" i="17"/>
  <c r="E48" i="17"/>
  <c r="F48" i="17"/>
  <c r="D61" i="17"/>
  <c r="E60" i="17"/>
  <c r="F60" i="17"/>
  <c r="C103" i="17"/>
  <c r="D207" i="17"/>
  <c r="E137" i="17"/>
  <c r="F137" i="17"/>
  <c r="D138" i="17"/>
  <c r="E138" i="17"/>
  <c r="C282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4" i="17"/>
  <c r="F95" i="17"/>
  <c r="F100" i="17"/>
  <c r="F110" i="17"/>
  <c r="F120" i="17"/>
  <c r="D124" i="17"/>
  <c r="D125" i="17"/>
  <c r="F129" i="17"/>
  <c r="F130" i="17"/>
  <c r="F135" i="17"/>
  <c r="F145" i="17"/>
  <c r="F155" i="17"/>
  <c r="F164" i="17"/>
  <c r="F165" i="17"/>
  <c r="E171" i="17"/>
  <c r="F171" i="17"/>
  <c r="E172" i="17"/>
  <c r="F172" i="17"/>
  <c r="E180" i="17"/>
  <c r="F180" i="17"/>
  <c r="C278" i="17"/>
  <c r="C262" i="17"/>
  <c r="C255" i="17"/>
  <c r="C215" i="17"/>
  <c r="E189" i="17"/>
  <c r="F189" i="17"/>
  <c r="C192" i="17"/>
  <c r="F227" i="17"/>
  <c r="E239" i="17"/>
  <c r="F239" i="17"/>
  <c r="D21" i="17"/>
  <c r="E88" i="17"/>
  <c r="F88" i="17"/>
  <c r="E101" i="17"/>
  <c r="F101" i="17"/>
  <c r="E109" i="17"/>
  <c r="F109" i="17"/>
  <c r="C194" i="17"/>
  <c r="E123" i="17"/>
  <c r="F123" i="17"/>
  <c r="C124" i="17"/>
  <c r="E136" i="17"/>
  <c r="F136" i="17"/>
  <c r="E144" i="17"/>
  <c r="F144" i="17"/>
  <c r="E158" i="17"/>
  <c r="F158" i="17"/>
  <c r="E170" i="17"/>
  <c r="F170" i="17"/>
  <c r="C173" i="17"/>
  <c r="E179" i="17"/>
  <c r="F179" i="17"/>
  <c r="C181" i="17"/>
  <c r="C277" i="17"/>
  <c r="C261" i="17"/>
  <c r="C254" i="17"/>
  <c r="C214" i="17"/>
  <c r="C304" i="17"/>
  <c r="C206" i="17"/>
  <c r="E188" i="17"/>
  <c r="F188" i="17"/>
  <c r="C190" i="17"/>
  <c r="C280" i="17"/>
  <c r="C264" i="17"/>
  <c r="C200" i="17"/>
  <c r="E191" i="17"/>
  <c r="F191" i="17"/>
  <c r="D279" i="17"/>
  <c r="D190" i="17"/>
  <c r="D193" i="17"/>
  <c r="D290" i="17"/>
  <c r="E290" i="17"/>
  <c r="F290" i="17"/>
  <c r="D274" i="17"/>
  <c r="D199" i="17"/>
  <c r="D200" i="17"/>
  <c r="E200" i="17"/>
  <c r="D283" i="17"/>
  <c r="D284" i="17"/>
  <c r="D267" i="17"/>
  <c r="D285" i="17"/>
  <c r="E285" i="17"/>
  <c r="F285" i="17"/>
  <c r="D269" i="17"/>
  <c r="D205" i="17"/>
  <c r="D206" i="17"/>
  <c r="E206" i="17"/>
  <c r="D214" i="17"/>
  <c r="D215" i="17"/>
  <c r="F223" i="17"/>
  <c r="F229" i="17"/>
  <c r="F230" i="17"/>
  <c r="F238" i="17"/>
  <c r="E306" i="17"/>
  <c r="D261" i="17"/>
  <c r="D262" i="17"/>
  <c r="D264" i="17"/>
  <c r="E277" i="17"/>
  <c r="E278" i="17"/>
  <c r="E280" i="17"/>
  <c r="E198" i="17"/>
  <c r="F198" i="17"/>
  <c r="C199" i="17"/>
  <c r="C286" i="17"/>
  <c r="E203" i="17"/>
  <c r="F203" i="17"/>
  <c r="E204" i="17"/>
  <c r="F204" i="17"/>
  <c r="C205" i="17"/>
  <c r="E226" i="17"/>
  <c r="F226" i="17"/>
  <c r="E237" i="17"/>
  <c r="F237" i="17"/>
  <c r="E250" i="17"/>
  <c r="F250" i="17"/>
  <c r="C267" i="17"/>
  <c r="C269" i="17"/>
  <c r="C274" i="17"/>
  <c r="F294" i="17"/>
  <c r="F295" i="17"/>
  <c r="F296" i="17"/>
  <c r="F297" i="17"/>
  <c r="F298" i="17"/>
  <c r="F299" i="17"/>
  <c r="G36" i="14"/>
  <c r="G38" i="14"/>
  <c r="G40" i="14"/>
  <c r="I33" i="14"/>
  <c r="I36" i="14"/>
  <c r="I38" i="14"/>
  <c r="H40" i="14"/>
  <c r="H33" i="14"/>
  <c r="H36" i="14"/>
  <c r="H38" i="14"/>
  <c r="F36" i="14"/>
  <c r="F38" i="14"/>
  <c r="F40" i="14"/>
  <c r="I40" i="14"/>
  <c r="I17" i="14"/>
  <c r="D31" i="14"/>
  <c r="F31" i="14"/>
  <c r="H31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F206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C141" i="8"/>
  <c r="E157" i="8"/>
  <c r="E155" i="8"/>
  <c r="E153" i="8"/>
  <c r="E156" i="8"/>
  <c r="E154" i="8"/>
  <c r="E152" i="8"/>
  <c r="E158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D95" i="6"/>
  <c r="E95" i="6"/>
  <c r="F95" i="6"/>
  <c r="E41" i="6"/>
  <c r="F41" i="6"/>
  <c r="C21" i="5"/>
  <c r="D18" i="5"/>
  <c r="E43" i="4"/>
  <c r="E41" i="4"/>
  <c r="F41" i="4"/>
  <c r="F75" i="4"/>
  <c r="F65" i="4"/>
  <c r="F73" i="4"/>
  <c r="F43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D258" i="18"/>
  <c r="D101" i="18"/>
  <c r="D99" i="18"/>
  <c r="D97" i="18"/>
  <c r="D100" i="18"/>
  <c r="D98" i="18"/>
  <c r="D96" i="18"/>
  <c r="D89" i="18"/>
  <c r="D87" i="18"/>
  <c r="D85" i="18"/>
  <c r="D83" i="18"/>
  <c r="D86" i="18"/>
  <c r="E44" i="18"/>
  <c r="D95" i="18"/>
  <c r="D88" i="18"/>
  <c r="D84" i="18"/>
  <c r="E76" i="18"/>
  <c r="C259" i="18"/>
  <c r="C263" i="18"/>
  <c r="C77" i="18"/>
  <c r="D246" i="18"/>
  <c r="E246" i="18"/>
  <c r="D223" i="18"/>
  <c r="E222" i="18"/>
  <c r="E303" i="18"/>
  <c r="D253" i="18"/>
  <c r="E253" i="18"/>
  <c r="C246" i="18"/>
  <c r="D181" i="18"/>
  <c r="D169" i="18"/>
  <c r="C180" i="18"/>
  <c r="C145" i="18"/>
  <c r="E145" i="18"/>
  <c r="C168" i="18"/>
  <c r="E168" i="18"/>
  <c r="E294" i="18"/>
  <c r="D116" i="18"/>
  <c r="D117" i="18"/>
  <c r="C294" i="18"/>
  <c r="D284" i="18"/>
  <c r="E284" i="18"/>
  <c r="E22" i="18"/>
  <c r="E65" i="18"/>
  <c r="C258" i="18"/>
  <c r="C100" i="18"/>
  <c r="C98" i="18"/>
  <c r="C96" i="18"/>
  <c r="C102" i="18"/>
  <c r="C101" i="18"/>
  <c r="C99" i="18"/>
  <c r="C97" i="18"/>
  <c r="C95" i="18"/>
  <c r="C103" i="18"/>
  <c r="C88" i="18"/>
  <c r="C86" i="18"/>
  <c r="C84" i="18"/>
  <c r="C89" i="18"/>
  <c r="C85" i="18"/>
  <c r="C87" i="18"/>
  <c r="C83" i="18"/>
  <c r="E306" i="18"/>
  <c r="D310" i="18"/>
  <c r="E310" i="18"/>
  <c r="D252" i="18"/>
  <c r="E243" i="18"/>
  <c r="E217" i="18"/>
  <c r="D241" i="18"/>
  <c r="E241" i="18"/>
  <c r="D235" i="18"/>
  <c r="E235" i="18"/>
  <c r="E211" i="18"/>
  <c r="E260" i="18"/>
  <c r="E180" i="18"/>
  <c r="D128" i="18"/>
  <c r="D129" i="18"/>
  <c r="D259" i="18"/>
  <c r="E43" i="18"/>
  <c r="C295" i="18"/>
  <c r="E295" i="18"/>
  <c r="E283" i="18"/>
  <c r="E66" i="18"/>
  <c r="E33" i="18"/>
  <c r="C270" i="17"/>
  <c r="D272" i="17"/>
  <c r="E262" i="17"/>
  <c r="E214" i="17"/>
  <c r="F214" i="17"/>
  <c r="D254" i="17"/>
  <c r="D216" i="17"/>
  <c r="E205" i="17"/>
  <c r="E269" i="17"/>
  <c r="F269" i="17"/>
  <c r="E283" i="17"/>
  <c r="F283" i="17"/>
  <c r="D286" i="17"/>
  <c r="E286" i="17"/>
  <c r="F286" i="17"/>
  <c r="E199" i="17"/>
  <c r="E274" i="17"/>
  <c r="F274" i="17"/>
  <c r="E193" i="17"/>
  <c r="F193" i="17"/>
  <c r="D194" i="17"/>
  <c r="E190" i="17"/>
  <c r="E279" i="17"/>
  <c r="D287" i="17"/>
  <c r="F200" i="17"/>
  <c r="F280" i="17"/>
  <c r="C281" i="17"/>
  <c r="F206" i="17"/>
  <c r="C287" i="17"/>
  <c r="C284" i="17"/>
  <c r="F277" i="17"/>
  <c r="C279" i="17"/>
  <c r="D196" i="17"/>
  <c r="D49" i="17"/>
  <c r="D161" i="17"/>
  <c r="D126" i="17"/>
  <c r="D91" i="17"/>
  <c r="E21" i="17"/>
  <c r="D282" i="17"/>
  <c r="C272" i="17"/>
  <c r="F262" i="17"/>
  <c r="C196" i="17"/>
  <c r="C161" i="17"/>
  <c r="C126" i="17"/>
  <c r="C91" i="17"/>
  <c r="F21" i="17"/>
  <c r="C49" i="17"/>
  <c r="E207" i="17"/>
  <c r="D208" i="17"/>
  <c r="D209" i="17"/>
  <c r="E173" i="17"/>
  <c r="F173" i="17"/>
  <c r="F138" i="17"/>
  <c r="F90" i="17"/>
  <c r="F160" i="17"/>
  <c r="F205" i="17"/>
  <c r="F199" i="17"/>
  <c r="D300" i="17"/>
  <c r="E264" i="17"/>
  <c r="F264" i="17"/>
  <c r="D271" i="17"/>
  <c r="D268" i="17"/>
  <c r="E261" i="17"/>
  <c r="F261" i="17"/>
  <c r="D263" i="17"/>
  <c r="E215" i="17"/>
  <c r="F215" i="17"/>
  <c r="D255" i="17"/>
  <c r="E255" i="17"/>
  <c r="F255" i="17"/>
  <c r="D270" i="17"/>
  <c r="E270" i="17"/>
  <c r="E267" i="17"/>
  <c r="F267" i="17"/>
  <c r="D288" i="17"/>
  <c r="E288" i="17"/>
  <c r="E284" i="17"/>
  <c r="C300" i="17"/>
  <c r="C265" i="17"/>
  <c r="F190" i="17"/>
  <c r="C216" i="17"/>
  <c r="C271" i="17"/>
  <c r="C268" i="17"/>
  <c r="C263" i="17"/>
  <c r="D266" i="17"/>
  <c r="E266" i="17"/>
  <c r="E192" i="17"/>
  <c r="F192" i="17"/>
  <c r="C288" i="17"/>
  <c r="F278" i="17"/>
  <c r="E124" i="17"/>
  <c r="F124" i="17"/>
  <c r="F266" i="17"/>
  <c r="E181" i="17"/>
  <c r="F181" i="17"/>
  <c r="D174" i="17"/>
  <c r="E174" i="17"/>
  <c r="D139" i="17"/>
  <c r="D104" i="17"/>
  <c r="E104" i="17"/>
  <c r="E61" i="17"/>
  <c r="E37" i="17"/>
  <c r="F37" i="17"/>
  <c r="D175" i="17"/>
  <c r="D62" i="17"/>
  <c r="D140" i="17"/>
  <c r="D105" i="17"/>
  <c r="E32" i="17"/>
  <c r="F32" i="17"/>
  <c r="C208" i="17"/>
  <c r="F207" i="17"/>
  <c r="E103" i="17"/>
  <c r="F103" i="17"/>
  <c r="C209" i="17"/>
  <c r="C174" i="17"/>
  <c r="C139" i="17"/>
  <c r="C104" i="17"/>
  <c r="F61" i="17"/>
  <c r="C125" i="17"/>
  <c r="C195" i="17"/>
  <c r="C210" i="17"/>
  <c r="C175" i="17"/>
  <c r="C140" i="17"/>
  <c r="C105" i="17"/>
  <c r="C62" i="17"/>
  <c r="D24" i="13"/>
  <c r="D20" i="13"/>
  <c r="D17" i="13"/>
  <c r="D28" i="13"/>
  <c r="E22" i="13"/>
  <c r="D34" i="12"/>
  <c r="E20" i="12"/>
  <c r="F20" i="12"/>
  <c r="C34" i="12"/>
  <c r="E112" i="8"/>
  <c r="E111" i="8"/>
  <c r="E28" i="8"/>
  <c r="C112" i="8"/>
  <c r="C111" i="8"/>
  <c r="C28" i="8"/>
  <c r="C158" i="8"/>
  <c r="E141" i="8"/>
  <c r="D158" i="8"/>
  <c r="D24" i="8"/>
  <c r="D20" i="8"/>
  <c r="D17" i="8"/>
  <c r="D141" i="8"/>
  <c r="E18" i="5"/>
  <c r="F18" i="5"/>
  <c r="D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D131" i="18"/>
  <c r="D210" i="17"/>
  <c r="D263" i="18"/>
  <c r="E263" i="18"/>
  <c r="E259" i="18"/>
  <c r="C91" i="18"/>
  <c r="C105" i="18"/>
  <c r="C90" i="18"/>
  <c r="C264" i="18"/>
  <c r="C266" i="18"/>
  <c r="C267" i="18"/>
  <c r="E223" i="18"/>
  <c r="D247" i="18"/>
  <c r="E247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4" i="18"/>
  <c r="E124" i="18"/>
  <c r="C122" i="18"/>
  <c r="C115" i="18"/>
  <c r="E115" i="18"/>
  <c r="C113" i="18"/>
  <c r="E113" i="18"/>
  <c r="C111" i="18"/>
  <c r="E111" i="18"/>
  <c r="C109" i="18"/>
  <c r="E77" i="18"/>
  <c r="E84" i="18"/>
  <c r="D90" i="18"/>
  <c r="E90" i="18"/>
  <c r="E95" i="18"/>
  <c r="E86" i="18"/>
  <c r="E85" i="18"/>
  <c r="E89" i="18"/>
  <c r="E98" i="18"/>
  <c r="E97" i="18"/>
  <c r="E101" i="18"/>
  <c r="D254" i="18"/>
  <c r="E254" i="18"/>
  <c r="E252" i="18"/>
  <c r="C169" i="18"/>
  <c r="C181" i="18"/>
  <c r="E169" i="18"/>
  <c r="E181" i="18"/>
  <c r="E88" i="18"/>
  <c r="D91" i="18"/>
  <c r="E83" i="18"/>
  <c r="E87" i="18"/>
  <c r="E96" i="18"/>
  <c r="D102" i="18"/>
  <c r="E102" i="18"/>
  <c r="E100" i="18"/>
  <c r="E99" i="18"/>
  <c r="E258" i="18"/>
  <c r="D264" i="18"/>
  <c r="C63" i="17"/>
  <c r="D176" i="17"/>
  <c r="E175" i="17"/>
  <c r="F175" i="17"/>
  <c r="C141" i="17"/>
  <c r="F104" i="17"/>
  <c r="F174" i="17"/>
  <c r="E105" i="17"/>
  <c r="D106" i="17"/>
  <c r="D63" i="17"/>
  <c r="E63" i="17"/>
  <c r="E62" i="17"/>
  <c r="F62" i="17"/>
  <c r="E210" i="17"/>
  <c r="F210" i="17"/>
  <c r="D211" i="17"/>
  <c r="E139" i="17"/>
  <c r="F139" i="17"/>
  <c r="E209" i="17"/>
  <c r="F209" i="17"/>
  <c r="F288" i="17"/>
  <c r="C273" i="17"/>
  <c r="E263" i="17"/>
  <c r="F263" i="17"/>
  <c r="E268" i="17"/>
  <c r="F268" i="17"/>
  <c r="D265" i="17"/>
  <c r="E265" i="17"/>
  <c r="F265" i="17"/>
  <c r="E300" i="17"/>
  <c r="F300" i="17"/>
  <c r="E208" i="17"/>
  <c r="F208" i="17"/>
  <c r="C127" i="17"/>
  <c r="E126" i="17"/>
  <c r="F126" i="17"/>
  <c r="D127" i="17"/>
  <c r="D50" i="17"/>
  <c r="E49" i="17"/>
  <c r="F49" i="17"/>
  <c r="F279" i="17"/>
  <c r="F284" i="17"/>
  <c r="E287" i="17"/>
  <c r="D291" i="17"/>
  <c r="D289" i="17"/>
  <c r="E254" i="17"/>
  <c r="F254" i="17"/>
  <c r="F270" i="17"/>
  <c r="C106" i="17"/>
  <c r="F105" i="17"/>
  <c r="C176" i="17"/>
  <c r="E140" i="17"/>
  <c r="F140" i="17"/>
  <c r="D141" i="17"/>
  <c r="D304" i="17"/>
  <c r="D273" i="17"/>
  <c r="E273" i="17"/>
  <c r="E271" i="17"/>
  <c r="F271" i="17"/>
  <c r="C50" i="17"/>
  <c r="C92" i="17"/>
  <c r="C162" i="17"/>
  <c r="E282" i="17"/>
  <c r="F282" i="17"/>
  <c r="D281" i="17"/>
  <c r="E281" i="17"/>
  <c r="E91" i="17"/>
  <c r="F91" i="17"/>
  <c r="D92" i="17"/>
  <c r="E161" i="17"/>
  <c r="F161" i="17"/>
  <c r="D162" i="17"/>
  <c r="E196" i="17"/>
  <c r="F196" i="17"/>
  <c r="D197" i="17"/>
  <c r="C291" i="17"/>
  <c r="C289" i="17"/>
  <c r="F287" i="17"/>
  <c r="F281" i="17"/>
  <c r="E194" i="17"/>
  <c r="F194" i="17"/>
  <c r="D195" i="17"/>
  <c r="E195" i="17"/>
  <c r="F195" i="17"/>
  <c r="E216" i="17"/>
  <c r="F216" i="17"/>
  <c r="E272" i="17"/>
  <c r="F272" i="17"/>
  <c r="E125" i="17"/>
  <c r="F125" i="17"/>
  <c r="D70" i="13"/>
  <c r="D72" i="13"/>
  <c r="D69" i="13"/>
  <c r="D22" i="13"/>
  <c r="D42" i="12"/>
  <c r="E34" i="12"/>
  <c r="F34" i="12"/>
  <c r="C42" i="12"/>
  <c r="D28" i="8"/>
  <c r="D112" i="8"/>
  <c r="D111" i="8"/>
  <c r="C99" i="8"/>
  <c r="C101" i="8"/>
  <c r="C98" i="8"/>
  <c r="C22" i="8"/>
  <c r="E99" i="8"/>
  <c r="E101" i="8"/>
  <c r="E98" i="8"/>
  <c r="E22" i="8"/>
  <c r="C43" i="5"/>
  <c r="D35" i="5"/>
  <c r="E21" i="5"/>
  <c r="F21" i="5"/>
  <c r="C269" i="18"/>
  <c r="C268" i="18"/>
  <c r="E264" i="18"/>
  <c r="D266" i="18"/>
  <c r="D103" i="18"/>
  <c r="E103" i="18"/>
  <c r="E109" i="18"/>
  <c r="C128" i="18"/>
  <c r="E128" i="18"/>
  <c r="E122" i="18"/>
  <c r="C129" i="18"/>
  <c r="E129" i="18"/>
  <c r="E121" i="18"/>
  <c r="D105" i="18"/>
  <c r="E105" i="18"/>
  <c r="E91" i="18"/>
  <c r="C116" i="18"/>
  <c r="E116" i="18"/>
  <c r="E110" i="18"/>
  <c r="D323" i="17"/>
  <c r="D183" i="17"/>
  <c r="E162" i="17"/>
  <c r="D324" i="17"/>
  <c r="E92" i="17"/>
  <c r="F92" i="17"/>
  <c r="D113" i="17"/>
  <c r="C323" i="17"/>
  <c r="C183" i="17"/>
  <c r="F162" i="17"/>
  <c r="C324" i="17"/>
  <c r="C113" i="17"/>
  <c r="D322" i="17"/>
  <c r="E322" i="17"/>
  <c r="E141" i="17"/>
  <c r="E289" i="17"/>
  <c r="F289" i="17"/>
  <c r="D70" i="17"/>
  <c r="E50" i="17"/>
  <c r="F50" i="17"/>
  <c r="F63" i="17"/>
  <c r="C305" i="17"/>
  <c r="C70" i="17"/>
  <c r="E304" i="17"/>
  <c r="F304" i="17"/>
  <c r="E291" i="17"/>
  <c r="F291" i="17"/>
  <c r="D305" i="17"/>
  <c r="E127" i="17"/>
  <c r="D148" i="17"/>
  <c r="C197" i="17"/>
  <c r="C148" i="17"/>
  <c r="F127" i="17"/>
  <c r="F273" i="17"/>
  <c r="E106" i="17"/>
  <c r="F106" i="17"/>
  <c r="C322" i="17"/>
  <c r="C211" i="17"/>
  <c r="E211" i="17"/>
  <c r="F141" i="17"/>
  <c r="E176" i="17"/>
  <c r="F176" i="17"/>
  <c r="D49" i="12"/>
  <c r="E49" i="12"/>
  <c r="E42" i="12"/>
  <c r="F42" i="12"/>
  <c r="C49" i="12"/>
  <c r="D99" i="8"/>
  <c r="D101" i="8"/>
  <c r="D98" i="8"/>
  <c r="D22" i="8"/>
  <c r="D43" i="5"/>
  <c r="E35" i="5"/>
  <c r="F35" i="5"/>
  <c r="C50" i="5"/>
  <c r="C117" i="18"/>
  <c r="E266" i="18"/>
  <c r="D267" i="18"/>
  <c r="C271" i="18"/>
  <c r="E148" i="17"/>
  <c r="F148" i="17"/>
  <c r="D309" i="17"/>
  <c r="E305" i="17"/>
  <c r="F305" i="17"/>
  <c r="E70" i="17"/>
  <c r="F70" i="17"/>
  <c r="E323" i="17"/>
  <c r="F323" i="17"/>
  <c r="F322" i="17"/>
  <c r="C309" i="17"/>
  <c r="C325" i="17"/>
  <c r="E113" i="17"/>
  <c r="F113" i="17"/>
  <c r="D325" i="17"/>
  <c r="E324" i="17"/>
  <c r="F324" i="17"/>
  <c r="E183" i="17"/>
  <c r="F183" i="17"/>
  <c r="E197" i="17"/>
  <c r="F197" i="17"/>
  <c r="F211" i="17"/>
  <c r="F49" i="12"/>
  <c r="D50" i="5"/>
  <c r="E50" i="5"/>
  <c r="E43" i="5"/>
  <c r="F43" i="5"/>
  <c r="F50" i="5"/>
  <c r="D269" i="18"/>
  <c r="E269" i="18"/>
  <c r="E267" i="18"/>
  <c r="D268" i="18"/>
  <c r="C131" i="18"/>
  <c r="E131" i="18"/>
  <c r="E117" i="18"/>
  <c r="E325" i="17"/>
  <c r="F325" i="17"/>
  <c r="C310" i="17"/>
  <c r="E309" i="17"/>
  <c r="F309" i="17"/>
  <c r="D310" i="17"/>
  <c r="D271" i="18"/>
  <c r="E271" i="18"/>
  <c r="E268" i="18"/>
  <c r="D312" i="17"/>
  <c r="E310" i="17"/>
  <c r="F310" i="17"/>
  <c r="C312" i="17"/>
  <c r="E312" i="17"/>
  <c r="D313" i="17"/>
  <c r="F312" i="17"/>
  <c r="C313" i="17"/>
  <c r="F313" i="17"/>
  <c r="C314" i="17"/>
  <c r="C251" i="17"/>
  <c r="C256" i="17"/>
  <c r="C315" i="17"/>
  <c r="D315" i="17"/>
  <c r="D314" i="17"/>
  <c r="E313" i="17"/>
  <c r="D251" i="17"/>
  <c r="E251" i="17"/>
  <c r="D256" i="17"/>
  <c r="F251" i="17"/>
  <c r="E256" i="17"/>
  <c r="D257" i="17"/>
  <c r="E315" i="17"/>
  <c r="F315" i="17"/>
  <c r="C257" i="17"/>
  <c r="F256" i="17"/>
  <c r="C318" i="17"/>
  <c r="D318" i="17"/>
  <c r="E314" i="17"/>
  <c r="F314" i="17"/>
  <c r="E318" i="17"/>
  <c r="F318" i="17"/>
  <c r="E257" i="17"/>
  <c r="F257" i="17"/>
</calcChain>
</file>

<file path=xl/sharedStrings.xml><?xml version="1.0" encoding="utf-8"?>
<sst xmlns="http://schemas.openxmlformats.org/spreadsheetml/2006/main" count="2333" uniqueCount="1008">
  <si>
    <t>NORWALK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</si>
  <si>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</si>
  <si>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</si>
  <si>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</si>
  <si>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</si>
  <si>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</si>
  <si>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</si>
  <si>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</si>
  <si>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</si>
  <si>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</si>
  <si>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</si>
  <si>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</si>
  <si>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</si>
  <si>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</si>
  <si>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</si>
  <si>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</si>
  <si>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</si>
  <si>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</si>
  <si>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</si>
  <si>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</si>
  <si>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</si>
  <si>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</si>
  <si>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</si>
  <si>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</si>
  <si>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</si>
  <si>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</si>
  <si>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</si>
  <si>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</si>
  <si>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</si>
  <si>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</si>
  <si>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</si>
  <si>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</si>
  <si>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</si>
  <si>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</si>
  <si>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</si>
  <si>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</si>
  <si>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</si>
  <si>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</si>
  <si>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</si>
  <si>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</si>
  <si>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</si>
  <si>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</si>
  <si>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</si>
  <si>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</si>
  <si>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</si>
  <si>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</si>
  <si>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</si>
  <si>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</si>
  <si>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</si>
  <si>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</si>
  <si>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</si>
  <si>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</si>
  <si>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</si>
  <si>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</si>
  <si>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</si>
  <si>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</si>
  <si>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</si>
  <si>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</si>
  <si>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</si>
  <si>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</si>
  <si>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</si>
  <si>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</si>
  <si>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</si>
  <si>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</si>
  <si>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</si>
  <si>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</si>
  <si>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</si>
  <si>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</si>
  <si>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</si>
  <si>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</si>
  <si>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</si>
  <si>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</si>
  <si>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</si>
  <si>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</si>
  <si>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</si>
  <si>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</si>
  <si>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</si>
  <si>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</si>
  <si>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</si>
  <si>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</si>
  <si>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</si>
  <si>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</si>
  <si>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</si>
  <si>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</si>
  <si>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</si>
  <si>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</si>
  <si>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</si>
  <si>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</si>
  <si>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</si>
  <si>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</si>
  <si>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</si>
  <si>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</si>
  <si>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</si>
  <si>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</si>
  <si>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</si>
  <si>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</si>
  <si>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</si>
  <si>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</si>
  <si>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</si>
  <si>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</si>
  <si>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</si>
  <si>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</si>
  <si>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</si>
  <si>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</si>
  <si>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</si>
  <si>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</si>
  <si>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</si>
  <si>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</si>
  <si>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</si>
  <si>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</si>
  <si>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</si>
  <si>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</si>
  <si>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</si>
  <si>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</si>
  <si>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</si>
  <si>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</si>
  <si>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</si>
  <si>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</si>
  <si>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</si>
  <si>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</si>
  <si>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</si>
  <si>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</si>
  <si>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</si>
  <si>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</si>
  <si>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</si>
  <si>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</si>
  <si>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</si>
  <si>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</si>
  <si>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</si>
  <si>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</si>
  <si>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</si>
  <si>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</si>
  <si>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</si>
  <si>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</si>
  <si>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</si>
  <si>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</si>
  <si>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</si>
  <si>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</si>
  <si>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</si>
  <si>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</si>
  <si>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</si>
  <si>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</si>
  <si>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</si>
  <si>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</si>
  <si>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</si>
  <si>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</si>
  <si>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</si>
  <si>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</si>
  <si>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</si>
  <si>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</si>
  <si>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</si>
  <si>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</si>
  <si>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</si>
  <si>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</si>
  <si>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</si>
  <si>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</si>
  <si>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</si>
  <si>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</si>
  <si>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</si>
  <si>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</si>
  <si>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</si>
  <si>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</si>
  <si>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</si>
  <si>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</si>
  <si>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</si>
  <si>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</si>
  <si>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</si>
  <si>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</si>
  <si>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</si>
  <si>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</si>
  <si>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</si>
  <si>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</si>
  <si>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</si>
  <si>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</si>
  <si>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</si>
  <si>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</si>
  <si>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</si>
  <si>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</si>
  <si>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</si>
  <si>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</si>
  <si>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</si>
  <si>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</si>
  <si>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</si>
  <si>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</si>
  <si>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</si>
  <si>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</si>
  <si>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</si>
  <si>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</si>
  <si>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</si>
  <si>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</si>
  <si>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</si>
  <si>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</si>
  <si>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</si>
  <si>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</si>
  <si>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</si>
  <si>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</si>
  <si>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</si>
  <si>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</si>
  <si>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</si>
  <si>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</si>
  <si>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</si>
  <si>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</si>
  <si>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</si>
  <si>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</si>
  <si>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</si>
  <si>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</si>
  <si>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</si>
  <si>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</si>
  <si>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</si>
  <si>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</si>
  <si>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</si>
  <si>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</si>
  <si>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</si>
  <si>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</si>
  <si>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</si>
  <si>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</si>
  <si>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</si>
  <si>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</si>
  <si>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</si>
  <si>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</si>
  <si>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</si>
  <si>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</si>
  <si>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</si>
  <si>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</si>
  <si>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</si>
  <si>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</si>
  <si>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</si>
  <si>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</si>
  <si>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</si>
  <si>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</si>
  <si>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</si>
  <si>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</si>
  <si>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</si>
  <si>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</si>
  <si>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</si>
  <si>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</si>
  <si>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</si>
  <si>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</si>
  <si>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</si>
  <si>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</si>
  <si>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</si>
  <si>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</si>
  <si>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</si>
  <si>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</si>
  <si>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</si>
  <si>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</si>
  <si>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</si>
  <si>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</si>
  <si>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</si>
  <si>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</si>
  <si>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</si>
  <si>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</si>
  <si>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</si>
  <si>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</si>
  <si>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</si>
  <si>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</si>
  <si>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</si>
  <si>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</si>
  <si>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</si>
  <si>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</si>
  <si>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</si>
  <si>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</si>
  <si>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</si>
  <si>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</si>
  <si>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</si>
  <si>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</si>
  <si>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</si>
  <si>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</si>
  <si>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</si>
  <si>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</si>
  <si>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</si>
  <si>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</si>
  <si>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</si>
  <si>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</si>
  <si>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</si>
  <si>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</si>
  <si>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</si>
  <si>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</si>
  <si>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</si>
  <si>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</si>
  <si>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</si>
  <si>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</si>
  <si>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</si>
  <si>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</si>
  <si>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</si>
  <si>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</si>
  <si>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</si>
  <si>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</si>
  <si>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</si>
  <si>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</si>
  <si>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</si>
  <si>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</si>
  <si>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</si>
  <si>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</si>
  <si>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</si>
  <si>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</si>
  <si>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</si>
  <si>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</si>
  <si>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</si>
  <si>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</si>
  <si>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</si>
  <si>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</si>
  <si>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</si>
  <si>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</si>
  <si>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</si>
  <si>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</si>
  <si>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</si>
  <si>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</si>
  <si>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</si>
  <si>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</si>
  <si>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</si>
  <si>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</si>
  <si>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</si>
  <si>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</si>
  <si>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</si>
  <si>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</si>
  <si>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</si>
  <si>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</si>
  <si>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</si>
  <si>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</si>
  <si>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</si>
  <si>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</si>
  <si>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</si>
  <si>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</si>
  <si>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</si>
  <si>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</si>
  <si>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</si>
  <si>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</si>
  <si>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</si>
  <si>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</si>
  <si>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</si>
  <si>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</si>
  <si>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</si>
  <si>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</si>
  <si>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</si>
  <si>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</si>
  <si>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</si>
  <si>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</si>
  <si>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</si>
  <si>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</si>
  <si>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</si>
  <si>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</si>
  <si>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</si>
  <si>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</si>
  <si>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</si>
  <si>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</si>
  <si>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</si>
  <si>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</si>
  <si>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</si>
  <si>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</si>
  <si>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</si>
  <si>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</si>
  <si>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</si>
  <si>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</si>
  <si>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</si>
  <si>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</si>
  <si>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</si>
  <si>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</si>
  <si>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</si>
  <si>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</si>
  <si>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</si>
  <si>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</si>
  <si>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</si>
  <si>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</si>
  <si>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</si>
  <si>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</si>
  <si>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</si>
  <si>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</si>
  <si>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</si>
  <si>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</si>
  <si>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</si>
  <si>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</si>
  <si>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</si>
  <si>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</si>
  <si>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</si>
  <si>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</si>
  <si>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</si>
  <si>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</si>
  <si>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</si>
  <si>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</si>
  <si>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</si>
  <si>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</si>
  <si>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</si>
  <si>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</si>
  <si>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</si>
  <si>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</si>
  <si>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</si>
  <si>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</si>
  <si>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</si>
  <si>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</si>
  <si>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</si>
  <si>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</si>
  <si>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</si>
  <si>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</si>
  <si>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</si>
  <si>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</si>
  <si>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</si>
  <si>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</si>
  <si>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</si>
  <si>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</si>
  <si>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</si>
  <si>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</si>
  <si>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</si>
  <si>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</si>
  <si>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</si>
  <si>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</si>
  <si>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</si>
  <si>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</si>
  <si>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</si>
  <si>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</si>
  <si>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</si>
  <si>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</si>
  <si>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</si>
  <si>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</si>
  <si>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</si>
  <si>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</si>
  <si>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</si>
  <si>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</si>
  <si>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</si>
  <si>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</si>
  <si>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</si>
  <si>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</si>
  <si>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</si>
  <si>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</si>
  <si>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</si>
  <si>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</si>
  <si>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</si>
  <si>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</si>
  <si>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</si>
  <si>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</si>
  <si>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</si>
  <si>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</si>
  <si>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</si>
  <si>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</si>
  <si>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</si>
  <si>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</si>
  <si>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</si>
  <si>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</si>
  <si>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</si>
  <si>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</si>
  <si>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</si>
  <si>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</si>
  <si>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</si>
  <si>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</si>
  <si>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</si>
  <si>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</si>
  <si>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</si>
  <si>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</si>
  <si>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</si>
  <si>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</si>
  <si>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</si>
  <si>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</si>
  <si>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</si>
  <si>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</si>
  <si>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</si>
  <si>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</si>
  <si>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</si>
  <si>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</si>
  <si>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</si>
  <si>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</si>
  <si>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</si>
  <si>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</si>
  <si>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</si>
  <si>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</si>
  <si>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</si>
  <si>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</si>
  <si>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</si>
  <si>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</si>
  <si>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</si>
  <si>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</si>
  <si>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</si>
  <si>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</si>
  <si>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</si>
  <si>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</si>
  <si>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</si>
  <si>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</si>
  <si>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</si>
  <si>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</si>
  <si>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</si>
  <si>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</si>
  <si>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</si>
  <si>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</si>
  <si>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</si>
  <si>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</si>
  <si>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</si>
  <si>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</si>
  <si>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</si>
  <si>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</si>
  <si>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</si>
  <si>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</si>
  <si>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</si>
  <si>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</si>
  <si>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</si>
  <si>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</si>
  <si>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</si>
  <si>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</si>
  <si>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</si>
  <si>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</si>
  <si>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</si>
  <si>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</si>
  <si>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</si>
  <si>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</si>
  <si>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</si>
  <si>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</si>
  <si>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</si>
  <si>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</si>
  <si>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</si>
  <si>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</si>
  <si>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</si>
  <si>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</si>
  <si>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</si>
  <si>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</si>
  <si>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</si>
  <si>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</si>
  <si>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</si>
  <si>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</si>
  <si>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</si>
  <si>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</si>
  <si>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</si>
  <si>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</si>
  <si>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</si>
  <si>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</si>
  <si>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</si>
  <si>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</si>
  <si>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</si>
  <si>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</si>
  <si>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</si>
  <si>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</si>
  <si>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</si>
  <si>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</si>
  <si>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</si>
  <si>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</si>
  <si>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</si>
  <si>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</si>
  <si>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</si>
  <si>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</si>
  <si>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</si>
  <si>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</si>
  <si>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</si>
  <si>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</si>
  <si>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</si>
  <si>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</si>
  <si>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</si>
  <si>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</si>
  <si>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</si>
  <si>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</si>
  <si>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</si>
  <si>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</si>
  <si>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</si>
  <si>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</si>
  <si>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</si>
  <si>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</si>
  <si>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</si>
  <si>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</si>
  <si>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</si>
  <si>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</si>
  <si>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</si>
  <si>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</si>
  <si>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</si>
  <si>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</si>
  <si>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</si>
  <si>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</si>
  <si>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</si>
  <si>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</si>
  <si>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</si>
  <si>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</si>
  <si>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</si>
  <si>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</si>
  <si>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</si>
  <si>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</si>
  <si>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</si>
  <si>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</si>
  <si>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</si>
  <si>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</si>
  <si>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</si>
  <si>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</si>
  <si>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</si>
  <si>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</si>
  <si>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</si>
  <si>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</si>
  <si>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</si>
  <si>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</si>
  <si>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</si>
  <si>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</si>
  <si>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</si>
  <si>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</si>
  <si>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</si>
  <si>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</si>
  <si>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</si>
  <si>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</si>
  <si>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</si>
  <si>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</si>
  <si>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</si>
  <si>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</si>
  <si>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</si>
  <si>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</si>
  <si>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</si>
  <si>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</si>
  <si>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</si>
  <si>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</si>
  <si>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</si>
  <si>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</si>
  <si>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</si>
  <si>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</si>
  <si>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</si>
  <si>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</si>
  <si>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</si>
  <si>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</si>
  <si>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</si>
  <si>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</si>
  <si>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</si>
  <si>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</si>
  <si>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</si>
  <si>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</si>
  <si>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</si>
  <si>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</si>
  <si>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</si>
  <si>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</si>
  <si>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</si>
  <si>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</si>
  <si>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</si>
  <si>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Norwalk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</si>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</sst>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73750817</v>
      </c>
      <c r="D13" s="22">
        <v>74550518</v>
      </c>
      <c r="E13" s="22">
        <f t="shared" ref="E13:E22" si="0">D13-C13</f>
        <v>799701</v>
      </c>
      <c r="F13" s="23">
        <f t="shared" ref="F13:F22" si="1">IF(C13=0,0,E13/C13)</f>
        <v>1.0843283268306031E-2</v>
      </c>
    </row>
    <row r="14" spans="1:8" ht="24" customHeight="1" x14ac:dyDescent="0.2">
      <c r="A14" s="20">
        <v>2</v>
      </c>
      <c r="B14" s="21" t="s">
        <v>17</v>
      </c>
      <c r="C14" s="22">
        <v>8738868</v>
      </c>
      <c r="D14" s="22">
        <v>8764926</v>
      </c>
      <c r="E14" s="22">
        <f t="shared" si="0"/>
        <v>26058</v>
      </c>
      <c r="F14" s="23">
        <f t="shared" si="1"/>
        <v>2.9818507385624775E-3</v>
      </c>
    </row>
    <row r="15" spans="1:8" ht="24" customHeight="1" x14ac:dyDescent="0.2">
      <c r="A15" s="20">
        <v>3</v>
      </c>
      <c r="B15" s="21" t="s">
        <v>18</v>
      </c>
      <c r="C15" s="22">
        <v>26795462</v>
      </c>
      <c r="D15" s="22">
        <v>40426872</v>
      </c>
      <c r="E15" s="22">
        <f t="shared" si="0"/>
        <v>13631410</v>
      </c>
      <c r="F15" s="23">
        <f t="shared" si="1"/>
        <v>0.50872084235756043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1346260</v>
      </c>
      <c r="D17" s="22">
        <v>135428</v>
      </c>
      <c r="E17" s="22">
        <f t="shared" si="0"/>
        <v>-1210832</v>
      </c>
      <c r="F17" s="23">
        <f t="shared" si="1"/>
        <v>-0.89940427554855673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1845044</v>
      </c>
      <c r="D19" s="22">
        <v>1774961</v>
      </c>
      <c r="E19" s="22">
        <f t="shared" si="0"/>
        <v>-70083</v>
      </c>
      <c r="F19" s="23">
        <f t="shared" si="1"/>
        <v>-3.7984459991198039E-2</v>
      </c>
    </row>
    <row r="20" spans="1:11" ht="24" customHeight="1" x14ac:dyDescent="0.2">
      <c r="A20" s="20">
        <v>8</v>
      </c>
      <c r="B20" s="21" t="s">
        <v>23</v>
      </c>
      <c r="C20" s="22">
        <v>1589839</v>
      </c>
      <c r="D20" s="22">
        <v>1172206</v>
      </c>
      <c r="E20" s="22">
        <f t="shared" si="0"/>
        <v>-417633</v>
      </c>
      <c r="F20" s="23">
        <f t="shared" si="1"/>
        <v>-0.2626888634635331</v>
      </c>
    </row>
    <row r="21" spans="1:11" ht="24" customHeight="1" x14ac:dyDescent="0.2">
      <c r="A21" s="20">
        <v>9</v>
      </c>
      <c r="B21" s="21" t="s">
        <v>24</v>
      </c>
      <c r="C21" s="22">
        <v>3410889</v>
      </c>
      <c r="D21" s="22">
        <v>2844166</v>
      </c>
      <c r="E21" s="22">
        <f t="shared" si="0"/>
        <v>-566723</v>
      </c>
      <c r="F21" s="23">
        <f t="shared" si="1"/>
        <v>-0.16615111192419338</v>
      </c>
    </row>
    <row r="22" spans="1:11" ht="24" customHeight="1" x14ac:dyDescent="0.25">
      <c r="A22" s="24"/>
      <c r="B22" s="25" t="s">
        <v>25</v>
      </c>
      <c r="C22" s="26">
        <f>SUM(C13:C21)</f>
        <v>117477179</v>
      </c>
      <c r="D22" s="26">
        <f>SUM(D13:D21)</f>
        <v>129669077</v>
      </c>
      <c r="E22" s="26">
        <f t="shared" si="0"/>
        <v>12191898</v>
      </c>
      <c r="F22" s="27">
        <f t="shared" si="1"/>
        <v>0.10378099051901817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59708986</v>
      </c>
      <c r="D25" s="22">
        <v>31413244</v>
      </c>
      <c r="E25" s="22">
        <f>D25-C25</f>
        <v>-28295742</v>
      </c>
      <c r="F25" s="23">
        <f>IF(C25=0,0,E25/C25)</f>
        <v>-0.4738941974328621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327</v>
      </c>
      <c r="D28" s="22">
        <v>327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59709313</v>
      </c>
      <c r="D29" s="26">
        <f>SUM(D25:D28)</f>
        <v>31413571</v>
      </c>
      <c r="E29" s="26">
        <f>D29-C29</f>
        <v>-28295742</v>
      </c>
      <c r="F29" s="27">
        <f>IF(C29=0,0,E29/C29)</f>
        <v>-0.47389160213583431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45162957</v>
      </c>
      <c r="D31" s="22">
        <v>47837445</v>
      </c>
      <c r="E31" s="22">
        <f>D31-C31</f>
        <v>2674488</v>
      </c>
      <c r="F31" s="23">
        <f>IF(C31=0,0,E31/C31)</f>
        <v>5.9218620251105344E-2</v>
      </c>
    </row>
    <row r="32" spans="1:11" ht="24" customHeight="1" x14ac:dyDescent="0.2">
      <c r="A32" s="20">
        <v>6</v>
      </c>
      <c r="B32" s="21" t="s">
        <v>34</v>
      </c>
      <c r="C32" s="22">
        <v>80922925</v>
      </c>
      <c r="D32" s="22">
        <v>116864243</v>
      </c>
      <c r="E32" s="22">
        <f>D32-C32</f>
        <v>35941318</v>
      </c>
      <c r="F32" s="23">
        <f>IF(C32=0,0,E32/C32)</f>
        <v>0.44414259618025426</v>
      </c>
    </row>
    <row r="33" spans="1:8" ht="24" customHeight="1" x14ac:dyDescent="0.2">
      <c r="A33" s="20">
        <v>7</v>
      </c>
      <c r="B33" s="21" t="s">
        <v>35</v>
      </c>
      <c r="C33" s="22">
        <v>77286903</v>
      </c>
      <c r="D33" s="22">
        <v>39259331</v>
      </c>
      <c r="E33" s="22">
        <f>D33-C33</f>
        <v>-38027572</v>
      </c>
      <c r="F33" s="23">
        <f>IF(C33=0,0,E33/C33)</f>
        <v>-0.49203125657655089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436266355</v>
      </c>
      <c r="D36" s="22">
        <v>495235142</v>
      </c>
      <c r="E36" s="22">
        <f>D36-C36</f>
        <v>58968787</v>
      </c>
      <c r="F36" s="23">
        <f>IF(C36=0,0,E36/C36)</f>
        <v>0.13516693717992531</v>
      </c>
    </row>
    <row r="37" spans="1:8" ht="24" customHeight="1" x14ac:dyDescent="0.2">
      <c r="A37" s="20">
        <v>2</v>
      </c>
      <c r="B37" s="21" t="s">
        <v>39</v>
      </c>
      <c r="C37" s="22">
        <v>310387551</v>
      </c>
      <c r="D37" s="22">
        <v>328979797</v>
      </c>
      <c r="E37" s="22">
        <f>D37-C37</f>
        <v>18592246</v>
      </c>
      <c r="F37" s="23">
        <f>IF(C37=0,0,E37/C37)</f>
        <v>5.9900102114598015E-2</v>
      </c>
    </row>
    <row r="38" spans="1:8" ht="24" customHeight="1" x14ac:dyDescent="0.25">
      <c r="A38" s="24"/>
      <c r="B38" s="25" t="s">
        <v>40</v>
      </c>
      <c r="C38" s="26">
        <f>C36-C37</f>
        <v>125878804</v>
      </c>
      <c r="D38" s="26">
        <f>D36-D37</f>
        <v>166255345</v>
      </c>
      <c r="E38" s="26">
        <f>D38-C38</f>
        <v>40376541</v>
      </c>
      <c r="F38" s="27">
        <f>IF(C38=0,0,E38/C38)</f>
        <v>0.32075726585390818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34252962</v>
      </c>
      <c r="D40" s="22">
        <v>78197484</v>
      </c>
      <c r="E40" s="22">
        <f>D40-C40</f>
        <v>43944522</v>
      </c>
      <c r="F40" s="23">
        <f>IF(C40=0,0,E40/C40)</f>
        <v>1.2829407862595941</v>
      </c>
    </row>
    <row r="41" spans="1:8" ht="24" customHeight="1" x14ac:dyDescent="0.25">
      <c r="A41" s="24"/>
      <c r="B41" s="25" t="s">
        <v>42</v>
      </c>
      <c r="C41" s="26">
        <f>+C38+C40</f>
        <v>160131766</v>
      </c>
      <c r="D41" s="26">
        <f>+D38+D40</f>
        <v>244452829</v>
      </c>
      <c r="E41" s="26">
        <f>D41-C41</f>
        <v>84321063</v>
      </c>
      <c r="F41" s="27">
        <f>IF(C41=0,0,E41/C41)</f>
        <v>0.52657299114530465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540691043</v>
      </c>
      <c r="D43" s="26">
        <f>D22+D29+D31+D32+D33+D41</f>
        <v>609496496</v>
      </c>
      <c r="E43" s="26">
        <f>D43-C43</f>
        <v>68805453</v>
      </c>
      <c r="F43" s="27">
        <f>IF(C43=0,0,E43/C43)</f>
        <v>0.12725465659322935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29302635</v>
      </c>
      <c r="D49" s="22">
        <v>32811276</v>
      </c>
      <c r="E49" s="22">
        <f t="shared" ref="E49:E56" si="2">D49-C49</f>
        <v>3508641</v>
      </c>
      <c r="F49" s="23">
        <f t="shared" ref="F49:F56" si="3">IF(C49=0,0,E49/C49)</f>
        <v>0.11973807133727052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22048375</v>
      </c>
      <c r="D50" s="22">
        <v>18445669</v>
      </c>
      <c r="E50" s="22">
        <f t="shared" si="2"/>
        <v>-3602706</v>
      </c>
      <c r="F50" s="23">
        <f t="shared" si="3"/>
        <v>-0.16340006916609501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4893626</v>
      </c>
      <c r="D51" s="22">
        <v>36052621</v>
      </c>
      <c r="E51" s="22">
        <f t="shared" si="2"/>
        <v>31158995</v>
      </c>
      <c r="F51" s="23">
        <f t="shared" si="3"/>
        <v>6.3672612087642166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851758</v>
      </c>
      <c r="D52" s="22">
        <v>1096562</v>
      </c>
      <c r="E52" s="22">
        <f t="shared" si="2"/>
        <v>244804</v>
      </c>
      <c r="F52" s="23">
        <f t="shared" si="3"/>
        <v>0.28741027381016676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3265000</v>
      </c>
      <c r="D53" s="22">
        <v>5170000</v>
      </c>
      <c r="E53" s="22">
        <f t="shared" si="2"/>
        <v>1905000</v>
      </c>
      <c r="F53" s="23">
        <f t="shared" si="3"/>
        <v>0.58346094946401228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1243589</v>
      </c>
      <c r="D54" s="22">
        <v>1146051</v>
      </c>
      <c r="E54" s="22">
        <f t="shared" si="2"/>
        <v>-97538</v>
      </c>
      <c r="F54" s="23">
        <f t="shared" si="3"/>
        <v>-7.8432665454583467E-2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818694</v>
      </c>
      <c r="D55" s="22">
        <v>778518</v>
      </c>
      <c r="E55" s="22">
        <f t="shared" si="2"/>
        <v>-40176</v>
      </c>
      <c r="F55" s="23">
        <f t="shared" si="3"/>
        <v>-4.9073280126640723E-2</v>
      </c>
    </row>
    <row r="56" spans="1:6" ht="24" customHeight="1" x14ac:dyDescent="0.25">
      <c r="A56" s="24"/>
      <c r="B56" s="25" t="s">
        <v>54</v>
      </c>
      <c r="C56" s="26">
        <f>SUM(C49:C55)</f>
        <v>62423677</v>
      </c>
      <c r="D56" s="26">
        <f>SUM(D49:D55)</f>
        <v>95500697</v>
      </c>
      <c r="E56" s="26">
        <f t="shared" si="2"/>
        <v>33077020</v>
      </c>
      <c r="F56" s="27">
        <f t="shared" si="3"/>
        <v>0.52987939175707321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119435000</v>
      </c>
      <c r="D59" s="22">
        <v>118119257</v>
      </c>
      <c r="E59" s="22">
        <f>D59-C59</f>
        <v>-1315743</v>
      </c>
      <c r="F59" s="23">
        <f>IF(C59=0,0,E59/C59)</f>
        <v>-1.101639385439779E-2</v>
      </c>
    </row>
    <row r="60" spans="1:6" ht="24" customHeight="1" x14ac:dyDescent="0.2">
      <c r="A60" s="20">
        <v>2</v>
      </c>
      <c r="B60" s="21" t="s">
        <v>57</v>
      </c>
      <c r="C60" s="22">
        <v>2926397</v>
      </c>
      <c r="D60" s="22">
        <v>1885030</v>
      </c>
      <c r="E60" s="22">
        <f>D60-C60</f>
        <v>-1041367</v>
      </c>
      <c r="F60" s="23">
        <f>IF(C60=0,0,E60/C60)</f>
        <v>-0.35585294818167185</v>
      </c>
    </row>
    <row r="61" spans="1:6" ht="24" customHeight="1" x14ac:dyDescent="0.25">
      <c r="A61" s="24"/>
      <c r="B61" s="25" t="s">
        <v>58</v>
      </c>
      <c r="C61" s="26">
        <f>SUM(C59:C60)</f>
        <v>122361397</v>
      </c>
      <c r="D61" s="26">
        <f>SUM(D59:D60)</f>
        <v>120004287</v>
      </c>
      <c r="E61" s="26">
        <f>D61-C61</f>
        <v>-2357110</v>
      </c>
      <c r="F61" s="27">
        <f>IF(C61=0,0,E61/C61)</f>
        <v>-1.9263510043122507E-2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13061730</v>
      </c>
      <c r="D63" s="22">
        <v>22135436</v>
      </c>
      <c r="E63" s="22">
        <f>D63-C63</f>
        <v>9073706</v>
      </c>
      <c r="F63" s="23">
        <f>IF(C63=0,0,E63/C63)</f>
        <v>0.69467872938730169</v>
      </c>
    </row>
    <row r="64" spans="1:6" ht="24" customHeight="1" x14ac:dyDescent="0.2">
      <c r="A64" s="20">
        <v>4</v>
      </c>
      <c r="B64" s="21" t="s">
        <v>60</v>
      </c>
      <c r="C64" s="22">
        <v>95631123</v>
      </c>
      <c r="D64" s="22">
        <v>58695868</v>
      </c>
      <c r="E64" s="22">
        <f>D64-C64</f>
        <v>-36935255</v>
      </c>
      <c r="F64" s="23">
        <f>IF(C64=0,0,E64/C64)</f>
        <v>-0.38622630207950187</v>
      </c>
    </row>
    <row r="65" spans="1:6" ht="24" customHeight="1" x14ac:dyDescent="0.25">
      <c r="A65" s="24"/>
      <c r="B65" s="25" t="s">
        <v>61</v>
      </c>
      <c r="C65" s="26">
        <f>SUM(C61:C64)</f>
        <v>231054250</v>
      </c>
      <c r="D65" s="26">
        <f>SUM(D61:D64)</f>
        <v>200835591</v>
      </c>
      <c r="E65" s="26">
        <f>D65-C65</f>
        <v>-30218659</v>
      </c>
      <c r="F65" s="27">
        <f>IF(C65=0,0,E65/C65)</f>
        <v>-0.13078599073594188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207578029</v>
      </c>
      <c r="D70" s="22">
        <v>265968153</v>
      </c>
      <c r="E70" s="22">
        <f>D70-C70</f>
        <v>58390124</v>
      </c>
      <c r="F70" s="23">
        <f>IF(C70=0,0,E70/C70)</f>
        <v>0.28129240980508585</v>
      </c>
    </row>
    <row r="71" spans="1:6" ht="24" customHeight="1" x14ac:dyDescent="0.2">
      <c r="A71" s="20">
        <v>2</v>
      </c>
      <c r="B71" s="21" t="s">
        <v>65</v>
      </c>
      <c r="C71" s="22">
        <v>30180235</v>
      </c>
      <c r="D71" s="22">
        <v>37730403</v>
      </c>
      <c r="E71" s="22">
        <f>D71-C71</f>
        <v>7550168</v>
      </c>
      <c r="F71" s="23">
        <f>IF(C71=0,0,E71/C71)</f>
        <v>0.25016929125966048</v>
      </c>
    </row>
    <row r="72" spans="1:6" ht="24" customHeight="1" x14ac:dyDescent="0.2">
      <c r="A72" s="20">
        <v>3</v>
      </c>
      <c r="B72" s="21" t="s">
        <v>66</v>
      </c>
      <c r="C72" s="22">
        <v>9454852</v>
      </c>
      <c r="D72" s="22">
        <v>9461652</v>
      </c>
      <c r="E72" s="22">
        <f>D72-C72</f>
        <v>6800</v>
      </c>
      <c r="F72" s="23">
        <f>IF(C72=0,0,E72/C72)</f>
        <v>7.1920745031228413E-4</v>
      </c>
    </row>
    <row r="73" spans="1:6" ht="24" customHeight="1" x14ac:dyDescent="0.25">
      <c r="A73" s="20"/>
      <c r="B73" s="25" t="s">
        <v>67</v>
      </c>
      <c r="C73" s="26">
        <f>SUM(C70:C72)</f>
        <v>247213116</v>
      </c>
      <c r="D73" s="26">
        <f>SUM(D70:D72)</f>
        <v>313160208</v>
      </c>
      <c r="E73" s="26">
        <f>D73-C73</f>
        <v>65947092</v>
      </c>
      <c r="F73" s="27">
        <f>IF(C73=0,0,E73/C73)</f>
        <v>0.26676210820464719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540691043</v>
      </c>
      <c r="D75" s="26">
        <f>D56+D65+D67+D73</f>
        <v>609496496</v>
      </c>
      <c r="E75" s="26">
        <f>D75-C75</f>
        <v>68805453</v>
      </c>
      <c r="F75" s="27">
        <f>IF(C75=0,0,E75/C75)</f>
        <v>0.12725465659322935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388662545</v>
      </c>
      <c r="D11" s="76">
        <v>364800437</v>
      </c>
      <c r="E11" s="76">
        <v>961369530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23548515</v>
      </c>
      <c r="D12" s="185">
        <v>18994632</v>
      </c>
      <c r="E12" s="185">
        <v>32255500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412211060</v>
      </c>
      <c r="D13" s="76">
        <f>+D11+D12</f>
        <v>383795069</v>
      </c>
      <c r="E13" s="76">
        <f>+E11+E12</f>
        <v>993625030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392112422</v>
      </c>
      <c r="D14" s="185">
        <v>369760151</v>
      </c>
      <c r="E14" s="185">
        <v>961175602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20098638</v>
      </c>
      <c r="D15" s="76">
        <f>+D13-D14</f>
        <v>14034918</v>
      </c>
      <c r="E15" s="76">
        <f>+E13-E14</f>
        <v>32449428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6256474</v>
      </c>
      <c r="D16" s="185">
        <v>10731419</v>
      </c>
      <c r="E16" s="185">
        <v>316766946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26355112</v>
      </c>
      <c r="D17" s="76">
        <f>D15+D16</f>
        <v>24766337</v>
      </c>
      <c r="E17" s="76">
        <f>E15+E16</f>
        <v>349216374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4.8029145314771302E-2</v>
      </c>
      <c r="D20" s="189">
        <f>IF(+D27=0,0,+D24/+D27)</f>
        <v>3.5574082924439789E-2</v>
      </c>
      <c r="E20" s="189">
        <f>IF(+E27=0,0,+E24/+E27)</f>
        <v>2.4763146138190334E-2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1.4950918510203947E-2</v>
      </c>
      <c r="D21" s="189">
        <f>IF(+D27=0,0,+D26/+D27)</f>
        <v>2.7200756670107282E-2</v>
      </c>
      <c r="E21" s="189">
        <f>IF(+E27=0,0,+E26/+E27)</f>
        <v>0.2417344976172229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6.2980063824975244E-2</v>
      </c>
      <c r="D22" s="189">
        <f>IF(+D27=0,0,+D28/+D27)</f>
        <v>6.2774839594547077E-2</v>
      </c>
      <c r="E22" s="189">
        <f>IF(+E27=0,0,+E28/+E27)</f>
        <v>0.26649764375541324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20098638</v>
      </c>
      <c r="D24" s="76">
        <f>+D15</f>
        <v>14034918</v>
      </c>
      <c r="E24" s="76">
        <f>+E15</f>
        <v>32449428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412211060</v>
      </c>
      <c r="D25" s="76">
        <f>+D13</f>
        <v>383795069</v>
      </c>
      <c r="E25" s="76">
        <f>+E13</f>
        <v>993625030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6256474</v>
      </c>
      <c r="D26" s="76">
        <f>+D16</f>
        <v>10731419</v>
      </c>
      <c r="E26" s="76">
        <f>+E16</f>
        <v>316766946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418467534</v>
      </c>
      <c r="D27" s="76">
        <f>SUM(D25:D26)</f>
        <v>394526488</v>
      </c>
      <c r="E27" s="76">
        <f>SUM(E25:E26)</f>
        <v>1310391976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26355112</v>
      </c>
      <c r="D28" s="76">
        <f>+D17</f>
        <v>24766337</v>
      </c>
      <c r="E28" s="76">
        <f>+E17</f>
        <v>349216374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147589726</v>
      </c>
      <c r="D31" s="76">
        <v>239539585</v>
      </c>
      <c r="E31" s="76">
        <v>661351254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204138724</v>
      </c>
      <c r="D32" s="76">
        <v>292364747</v>
      </c>
      <c r="E32" s="76">
        <v>797554121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34219027</v>
      </c>
      <c r="D33" s="76">
        <f>+D32-C32</f>
        <v>88226023</v>
      </c>
      <c r="E33" s="76">
        <f>+E32-D32</f>
        <v>505189374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1.2013</v>
      </c>
      <c r="D34" s="193">
        <f>IF(C32=0,0,+D33/C32)</f>
        <v>0.43218660953323096</v>
      </c>
      <c r="E34" s="193">
        <f>IF(D32=0,0,+E33/D32)</f>
        <v>1.7279421653391063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2.9299077507142437</v>
      </c>
      <c r="D38" s="338">
        <f>IF(+D40=0,0,+D39/+D40)</f>
        <v>2.2835409937702309</v>
      </c>
      <c r="E38" s="338">
        <f>IF(+E40=0,0,+E39/+E40)</f>
        <v>1.6806729621222469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175407392</v>
      </c>
      <c r="D39" s="341">
        <v>156109818</v>
      </c>
      <c r="E39" s="341">
        <v>358412968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59867889</v>
      </c>
      <c r="D40" s="341">
        <v>68363046</v>
      </c>
      <c r="E40" s="341">
        <v>213255628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128.74436050146915</v>
      </c>
      <c r="D42" s="343">
        <f>IF((D48/365)=0,0,+D45/(D48/365))</f>
        <v>120.81831489969881</v>
      </c>
      <c r="E42" s="343">
        <f>IF((E48/365)=0,0,+E45/(E48/365))</f>
        <v>63.660324233648275</v>
      </c>
    </row>
    <row r="43" spans="1:14" ht="24" customHeight="1" x14ac:dyDescent="0.2">
      <c r="A43" s="339">
        <v>5</v>
      </c>
      <c r="B43" s="344" t="s">
        <v>16</v>
      </c>
      <c r="C43" s="345">
        <v>85492679</v>
      </c>
      <c r="D43" s="345">
        <v>82407195</v>
      </c>
      <c r="E43" s="345">
        <v>144314483</v>
      </c>
    </row>
    <row r="44" spans="1:14" ht="24" customHeight="1" x14ac:dyDescent="0.2">
      <c r="A44" s="339">
        <v>6</v>
      </c>
      <c r="B44" s="346" t="s">
        <v>17</v>
      </c>
      <c r="C44" s="345">
        <v>45487085</v>
      </c>
      <c r="D44" s="345">
        <v>33656759</v>
      </c>
      <c r="E44" s="345">
        <v>14004464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130979764</v>
      </c>
      <c r="D45" s="341">
        <f>+D43+D44</f>
        <v>116063954</v>
      </c>
      <c r="E45" s="341">
        <f>+E43+E44</f>
        <v>158318947</v>
      </c>
    </row>
    <row r="46" spans="1:14" ht="24" customHeight="1" x14ac:dyDescent="0.2">
      <c r="A46" s="339">
        <v>8</v>
      </c>
      <c r="B46" s="340" t="s">
        <v>334</v>
      </c>
      <c r="C46" s="341">
        <f>+C14</f>
        <v>392112422</v>
      </c>
      <c r="D46" s="341">
        <f>+D14</f>
        <v>369760151</v>
      </c>
      <c r="E46" s="341">
        <f>+E14</f>
        <v>961175602</v>
      </c>
    </row>
    <row r="47" spans="1:14" ht="24" customHeight="1" x14ac:dyDescent="0.2">
      <c r="A47" s="339">
        <v>9</v>
      </c>
      <c r="B47" s="340" t="s">
        <v>356</v>
      </c>
      <c r="C47" s="341">
        <v>20774884</v>
      </c>
      <c r="D47" s="341">
        <v>19123385</v>
      </c>
      <c r="E47" s="341">
        <v>53445138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371337538</v>
      </c>
      <c r="D48" s="341">
        <f>+D46-D47</f>
        <v>350636766</v>
      </c>
      <c r="E48" s="341">
        <f>+E46-E47</f>
        <v>907730464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27.870350125968535</v>
      </c>
      <c r="D50" s="350">
        <f>IF((D55/365)=0,0,+D54/(D55/365))</f>
        <v>23.877913199977883</v>
      </c>
      <c r="E50" s="350">
        <f>IF((E55/365)=0,0,+E54/(E55/365))</f>
        <v>28.474026236300624</v>
      </c>
    </row>
    <row r="51" spans="1:5" ht="24" customHeight="1" x14ac:dyDescent="0.2">
      <c r="A51" s="339">
        <v>12</v>
      </c>
      <c r="B51" s="344" t="s">
        <v>359</v>
      </c>
      <c r="C51" s="351">
        <v>32330519</v>
      </c>
      <c r="D51" s="351">
        <v>28873592</v>
      </c>
      <c r="E51" s="351">
        <v>128633349</v>
      </c>
    </row>
    <row r="52" spans="1:5" ht="24" customHeight="1" x14ac:dyDescent="0.2">
      <c r="A52" s="339">
        <v>13</v>
      </c>
      <c r="B52" s="344" t="s">
        <v>21</v>
      </c>
      <c r="C52" s="341">
        <v>2368715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5022080</v>
      </c>
      <c r="D53" s="341">
        <v>5008734</v>
      </c>
      <c r="E53" s="341">
        <v>53635921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29677154</v>
      </c>
      <c r="D54" s="352">
        <f>+D51+D52-D53</f>
        <v>23864858</v>
      </c>
      <c r="E54" s="352">
        <f>+E51+E52-E53</f>
        <v>74997428</v>
      </c>
    </row>
    <row r="55" spans="1:5" ht="24" customHeight="1" x14ac:dyDescent="0.2">
      <c r="A55" s="339">
        <v>16</v>
      </c>
      <c r="B55" s="340" t="s">
        <v>75</v>
      </c>
      <c r="C55" s="341">
        <f>+C11</f>
        <v>388662545</v>
      </c>
      <c r="D55" s="341">
        <f>+D11</f>
        <v>364800437</v>
      </c>
      <c r="E55" s="341">
        <f>+E11</f>
        <v>961369530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58.846136597695654</v>
      </c>
      <c r="D57" s="355">
        <f>IF((D61/365)=0,0,+D58/(D61/365))</f>
        <v>71.163420980217467</v>
      </c>
      <c r="E57" s="355">
        <f>IF((E61/365)=0,0,+E58/(E61/365))</f>
        <v>85.750459312556458</v>
      </c>
    </row>
    <row r="58" spans="1:5" ht="24" customHeight="1" x14ac:dyDescent="0.2">
      <c r="A58" s="339">
        <v>18</v>
      </c>
      <c r="B58" s="340" t="s">
        <v>54</v>
      </c>
      <c r="C58" s="353">
        <f>+C40</f>
        <v>59867889</v>
      </c>
      <c r="D58" s="353">
        <f>+D40</f>
        <v>68363046</v>
      </c>
      <c r="E58" s="353">
        <f>+E40</f>
        <v>213255628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392112422</v>
      </c>
      <c r="D59" s="353">
        <f t="shared" si="0"/>
        <v>369760151</v>
      </c>
      <c r="E59" s="353">
        <f t="shared" si="0"/>
        <v>961175602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20774884</v>
      </c>
      <c r="D60" s="356">
        <f t="shared" si="0"/>
        <v>19123385</v>
      </c>
      <c r="E60" s="356">
        <f t="shared" si="0"/>
        <v>53445138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371337538</v>
      </c>
      <c r="D61" s="353">
        <f>+D59-D60</f>
        <v>350636766</v>
      </c>
      <c r="E61" s="353">
        <f>+E59-E60</f>
        <v>907730464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42.227327774015237</v>
      </c>
      <c r="D65" s="357">
        <f>IF(D67=0,0,(D66/D67)*100)</f>
        <v>49.017712213089979</v>
      </c>
      <c r="E65" s="357">
        <f>IF(E67=0,0,(E66/E67)*100)</f>
        <v>48.925563433152533</v>
      </c>
    </row>
    <row r="66" spans="1:5" ht="24" customHeight="1" x14ac:dyDescent="0.2">
      <c r="A66" s="339">
        <v>2</v>
      </c>
      <c r="B66" s="340" t="s">
        <v>67</v>
      </c>
      <c r="C66" s="353">
        <f>+C32</f>
        <v>204138724</v>
      </c>
      <c r="D66" s="353">
        <f>+D32</f>
        <v>292364747</v>
      </c>
      <c r="E66" s="353">
        <f>+E32</f>
        <v>797554121</v>
      </c>
    </row>
    <row r="67" spans="1:5" ht="24" customHeight="1" x14ac:dyDescent="0.2">
      <c r="A67" s="339">
        <v>3</v>
      </c>
      <c r="B67" s="340" t="s">
        <v>43</v>
      </c>
      <c r="C67" s="353">
        <v>483427995</v>
      </c>
      <c r="D67" s="353">
        <v>596447149</v>
      </c>
      <c r="E67" s="353">
        <v>1630137836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40.641818971026666</v>
      </c>
      <c r="D69" s="357">
        <f>IF(D75=0,0,(D72/D75)*100)</f>
        <v>22.694535960865334</v>
      </c>
      <c r="E69" s="357">
        <f>IF(E75=0,0,(E72/E75)*100)</f>
        <v>69.787529608373944</v>
      </c>
    </row>
    <row r="70" spans="1:5" ht="24" customHeight="1" x14ac:dyDescent="0.2">
      <c r="A70" s="339">
        <v>5</v>
      </c>
      <c r="B70" s="340" t="s">
        <v>366</v>
      </c>
      <c r="C70" s="353">
        <f>+C28</f>
        <v>26355112</v>
      </c>
      <c r="D70" s="353">
        <f>+D28</f>
        <v>24766337</v>
      </c>
      <c r="E70" s="353">
        <f>+E28</f>
        <v>349216374</v>
      </c>
    </row>
    <row r="71" spans="1:5" ht="24" customHeight="1" x14ac:dyDescent="0.2">
      <c r="A71" s="339">
        <v>6</v>
      </c>
      <c r="B71" s="340" t="s">
        <v>356</v>
      </c>
      <c r="C71" s="356">
        <f>+C47</f>
        <v>20774884</v>
      </c>
      <c r="D71" s="356">
        <f>+D47</f>
        <v>19123385</v>
      </c>
      <c r="E71" s="356">
        <f>+E47</f>
        <v>53445138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47129996</v>
      </c>
      <c r="D72" s="353">
        <f>+D70+D71</f>
        <v>43889722</v>
      </c>
      <c r="E72" s="353">
        <f>+E70+E71</f>
        <v>402661512</v>
      </c>
    </row>
    <row r="73" spans="1:5" ht="24" customHeight="1" x14ac:dyDescent="0.2">
      <c r="A73" s="339">
        <v>8</v>
      </c>
      <c r="B73" s="340" t="s">
        <v>54</v>
      </c>
      <c r="C73" s="341">
        <f>+C40</f>
        <v>59867889</v>
      </c>
      <c r="D73" s="341">
        <f>+D40</f>
        <v>68363046</v>
      </c>
      <c r="E73" s="341">
        <f>+E40</f>
        <v>213255628</v>
      </c>
    </row>
    <row r="74" spans="1:5" ht="24" customHeight="1" x14ac:dyDescent="0.2">
      <c r="A74" s="339">
        <v>9</v>
      </c>
      <c r="B74" s="340" t="s">
        <v>58</v>
      </c>
      <c r="C74" s="353">
        <v>56096399</v>
      </c>
      <c r="D74" s="353">
        <v>125030298</v>
      </c>
      <c r="E74" s="353">
        <v>363726412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115964288</v>
      </c>
      <c r="D75" s="341">
        <f>+D73+D74</f>
        <v>193393344</v>
      </c>
      <c r="E75" s="341">
        <f>+E73+E74</f>
        <v>576982040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21.556044531314093</v>
      </c>
      <c r="D77" s="359">
        <f>IF(D80=0,0,(D78/D80)*100)</f>
        <v>29.954907107246566</v>
      </c>
      <c r="E77" s="359">
        <f>IF(E80=0,0,(E78/E80)*100)</f>
        <v>31.321149512458074</v>
      </c>
    </row>
    <row r="78" spans="1:5" ht="24" customHeight="1" x14ac:dyDescent="0.2">
      <c r="A78" s="339">
        <v>12</v>
      </c>
      <c r="B78" s="340" t="s">
        <v>58</v>
      </c>
      <c r="C78" s="341">
        <f>+C74</f>
        <v>56096399</v>
      </c>
      <c r="D78" s="341">
        <f>+D74</f>
        <v>125030298</v>
      </c>
      <c r="E78" s="341">
        <f>+E74</f>
        <v>363726412</v>
      </c>
    </row>
    <row r="79" spans="1:5" ht="24" customHeight="1" x14ac:dyDescent="0.2">
      <c r="A79" s="339">
        <v>13</v>
      </c>
      <c r="B79" s="340" t="s">
        <v>67</v>
      </c>
      <c r="C79" s="341">
        <f>+C32</f>
        <v>204138724</v>
      </c>
      <c r="D79" s="341">
        <f>+D32</f>
        <v>292364747</v>
      </c>
      <c r="E79" s="341">
        <f>+E32</f>
        <v>797554121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260235123</v>
      </c>
      <c r="D80" s="341">
        <f>+D78+D79</f>
        <v>417395045</v>
      </c>
      <c r="E80" s="341">
        <f>+E78+E79</f>
        <v>1161280533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FILING&amp;R&amp;8WESTERN CONNECTICUT HEALTH NETWORK,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I58" sqref="I5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32685</v>
      </c>
      <c r="D11" s="376">
        <v>9468</v>
      </c>
      <c r="E11" s="376">
        <v>7713</v>
      </c>
      <c r="F11" s="377">
        <v>105</v>
      </c>
      <c r="G11" s="377">
        <v>154</v>
      </c>
      <c r="H11" s="378">
        <f>IF(F11=0,0,$C11/(F11*365))</f>
        <v>0.85283757338551858</v>
      </c>
      <c r="I11" s="378">
        <f>IF(G11=0,0,$C11/(G11*365))</f>
        <v>0.58148016367194444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11976</v>
      </c>
      <c r="D13" s="376">
        <v>1745</v>
      </c>
      <c r="E13" s="376">
        <v>0</v>
      </c>
      <c r="F13" s="377">
        <v>36</v>
      </c>
      <c r="G13" s="377">
        <v>49</v>
      </c>
      <c r="H13" s="378">
        <f>IF(F13=0,0,$C13/(F13*365))</f>
        <v>0.91141552511415524</v>
      </c>
      <c r="I13" s="378">
        <f>IF(G13=0,0,$C13/(G13*365))</f>
        <v>0.66961140620631809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3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8.21917808219178E-3</v>
      </c>
      <c r="I15" s="378">
        <f t="shared" si="0"/>
        <v>8.21917808219178E-3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2880</v>
      </c>
      <c r="D16" s="376">
        <v>353</v>
      </c>
      <c r="E16" s="376">
        <v>350</v>
      </c>
      <c r="F16" s="377">
        <v>9</v>
      </c>
      <c r="G16" s="377">
        <v>19</v>
      </c>
      <c r="H16" s="378">
        <f t="shared" si="0"/>
        <v>0.87671232876712324</v>
      </c>
      <c r="I16" s="378">
        <f t="shared" si="0"/>
        <v>0.41528478731074259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2883</v>
      </c>
      <c r="D17" s="381">
        <f>SUM(D15:D16)</f>
        <v>354</v>
      </c>
      <c r="E17" s="381">
        <f>SUM(E15:E16)</f>
        <v>351</v>
      </c>
      <c r="F17" s="381">
        <f>SUM(F15:F16)</f>
        <v>10</v>
      </c>
      <c r="G17" s="381">
        <f>SUM(G15:G16)</f>
        <v>20</v>
      </c>
      <c r="H17" s="382">
        <f t="shared" si="0"/>
        <v>0.7898630136986301</v>
      </c>
      <c r="I17" s="382">
        <f t="shared" si="0"/>
        <v>0.39493150684931505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1864</v>
      </c>
      <c r="D19" s="376">
        <v>121</v>
      </c>
      <c r="E19" s="376">
        <v>120</v>
      </c>
      <c r="F19" s="377">
        <v>6</v>
      </c>
      <c r="G19" s="377">
        <v>25</v>
      </c>
      <c r="H19" s="378">
        <f>IF(F19=0,0,$C19/(F19*365))</f>
        <v>0.85114155251141554</v>
      </c>
      <c r="I19" s="378">
        <f>IF(G19=0,0,$C19/(G19*365))</f>
        <v>0.20427397260273972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4021</v>
      </c>
      <c r="D21" s="376">
        <v>1341</v>
      </c>
      <c r="E21" s="376">
        <v>1347</v>
      </c>
      <c r="F21" s="377">
        <v>14</v>
      </c>
      <c r="G21" s="377">
        <v>32</v>
      </c>
      <c r="H21" s="378">
        <f>IF(F21=0,0,$C21/(F21*365))</f>
        <v>0.78688845401174168</v>
      </c>
      <c r="I21" s="378">
        <f>IF(G21=0,0,$C21/(G21*365))</f>
        <v>0.34426369863013701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3114</v>
      </c>
      <c r="D23" s="376">
        <v>1196</v>
      </c>
      <c r="E23" s="376">
        <v>1206</v>
      </c>
      <c r="F23" s="377">
        <v>12</v>
      </c>
      <c r="G23" s="377">
        <v>20</v>
      </c>
      <c r="H23" s="378">
        <f>IF(F23=0,0,$C23/(F23*365))</f>
        <v>0.71095890410958906</v>
      </c>
      <c r="I23" s="378">
        <f>IF(G23=0,0,$C23/(G23*365))</f>
        <v>0.4265753424657534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1477</v>
      </c>
      <c r="D25" s="376">
        <v>148</v>
      </c>
      <c r="E25" s="376">
        <v>0</v>
      </c>
      <c r="F25" s="377">
        <v>5</v>
      </c>
      <c r="G25" s="377">
        <v>16</v>
      </c>
      <c r="H25" s="378">
        <f>IF(F25=0,0,$C25/(F25*365))</f>
        <v>0.80931506849315071</v>
      </c>
      <c r="I25" s="378">
        <f>IF(G25=0,0,$C25/(G25*365))</f>
        <v>0.25291095890410958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1051</v>
      </c>
      <c r="D27" s="376">
        <v>482</v>
      </c>
      <c r="E27" s="376">
        <v>487</v>
      </c>
      <c r="F27" s="377">
        <v>4</v>
      </c>
      <c r="G27" s="377">
        <v>17</v>
      </c>
      <c r="H27" s="378">
        <f>IF(F27=0,0,$C27/(F27*365))</f>
        <v>0.71986301369863015</v>
      </c>
      <c r="I27" s="378">
        <f>IF(G27=0,0,$C27/(G27*365))</f>
        <v>0.1693795326349718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55957</v>
      </c>
      <c r="D31" s="384">
        <f>SUM(D10:D29)-D13-D17-D23</f>
        <v>11914</v>
      </c>
      <c r="E31" s="384">
        <f>SUM(E10:E29)-E17-E23</f>
        <v>10018</v>
      </c>
      <c r="F31" s="384">
        <f>SUM(F10:F29)-F17-F23</f>
        <v>180</v>
      </c>
      <c r="G31" s="384">
        <f>SUM(G10:G29)-G17-G23</f>
        <v>313</v>
      </c>
      <c r="H31" s="385">
        <f>IF(F31=0,0,$C31/(F31*365))</f>
        <v>0.8517047184170472</v>
      </c>
      <c r="I31" s="385">
        <f>IF(G31=0,0,$C31/(G31*365))</f>
        <v>0.48979824062322203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59071</v>
      </c>
      <c r="D33" s="384">
        <f>SUM(D10:D29)-D13-D17</f>
        <v>13110</v>
      </c>
      <c r="E33" s="384">
        <f>SUM(E10:E29)-E17</f>
        <v>11224</v>
      </c>
      <c r="F33" s="384">
        <f>SUM(F10:F29)-F17</f>
        <v>192</v>
      </c>
      <c r="G33" s="384">
        <f>SUM(G10:G29)-G17</f>
        <v>333</v>
      </c>
      <c r="H33" s="385">
        <f>IF(F33=0,0,$C33/(F33*365))</f>
        <v>0.84290810502283109</v>
      </c>
      <c r="I33" s="385">
        <f>IF(G33=0,0,$C33/(G33*365))</f>
        <v>0.48600106956271338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59071</v>
      </c>
      <c r="D36" s="384">
        <f t="shared" si="1"/>
        <v>13110</v>
      </c>
      <c r="E36" s="384">
        <f t="shared" si="1"/>
        <v>11224</v>
      </c>
      <c r="F36" s="384">
        <f t="shared" si="1"/>
        <v>192</v>
      </c>
      <c r="G36" s="384">
        <f t="shared" si="1"/>
        <v>333</v>
      </c>
      <c r="H36" s="387">
        <f t="shared" si="1"/>
        <v>0.84290810502283109</v>
      </c>
      <c r="I36" s="387">
        <f t="shared" si="1"/>
        <v>0.48600106956271338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59611</v>
      </c>
      <c r="D37" s="384">
        <v>13045</v>
      </c>
      <c r="E37" s="384">
        <v>11065</v>
      </c>
      <c r="F37" s="386">
        <v>168</v>
      </c>
      <c r="G37" s="386">
        <v>334</v>
      </c>
      <c r="H37" s="385">
        <f>IF(F37=0,0,$C37/(F37*365))</f>
        <v>0.97212981082844097</v>
      </c>
      <c r="I37" s="385">
        <f>IF(G37=0,0,$C37/(G37*365))</f>
        <v>0.48897547371011402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-540</v>
      </c>
      <c r="D38" s="384">
        <f t="shared" si="2"/>
        <v>65</v>
      </c>
      <c r="E38" s="384">
        <f t="shared" si="2"/>
        <v>159</v>
      </c>
      <c r="F38" s="384">
        <f t="shared" si="2"/>
        <v>24</v>
      </c>
      <c r="G38" s="384">
        <f t="shared" si="2"/>
        <v>-1</v>
      </c>
      <c r="H38" s="387">
        <f t="shared" si="2"/>
        <v>-0.12922170580560988</v>
      </c>
      <c r="I38" s="387">
        <f t="shared" si="2"/>
        <v>-2.9744041474006333E-3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-9.0587307711663956E-3</v>
      </c>
      <c r="D40" s="389">
        <f t="shared" si="3"/>
        <v>4.9827520122652357E-3</v>
      </c>
      <c r="E40" s="389">
        <f t="shared" si="3"/>
        <v>1.4369633981021238E-2</v>
      </c>
      <c r="F40" s="389">
        <f t="shared" si="3"/>
        <v>0.14285714285714285</v>
      </c>
      <c r="G40" s="389">
        <f t="shared" si="3"/>
        <v>-2.9940119760479044E-3</v>
      </c>
      <c r="H40" s="389">
        <f t="shared" si="3"/>
        <v>-0.13292638942477056</v>
      </c>
      <c r="I40" s="389">
        <f t="shared" si="3"/>
        <v>-6.0829311638726279E-3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366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FILING&amp;RNORWALK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7458</v>
      </c>
      <c r="D12" s="409">
        <v>7916</v>
      </c>
      <c r="E12" s="409">
        <f>+D12-C12</f>
        <v>458</v>
      </c>
      <c r="F12" s="410">
        <f>IF(C12=0,0,+E12/C12)</f>
        <v>6.1410565835344599E-2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11858</v>
      </c>
      <c r="D13" s="409">
        <v>13272</v>
      </c>
      <c r="E13" s="409">
        <f>+D13-C13</f>
        <v>1414</v>
      </c>
      <c r="F13" s="410">
        <f>IF(C13=0,0,+E13/C13)</f>
        <v>0.1192443919716647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8560</v>
      </c>
      <c r="D14" s="409">
        <v>9509</v>
      </c>
      <c r="E14" s="409">
        <f>+D14-C14</f>
        <v>949</v>
      </c>
      <c r="F14" s="410">
        <f>IF(C14=0,0,+E14/C14)</f>
        <v>0.11086448598130841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27876</v>
      </c>
      <c r="D16" s="401">
        <f>SUM(D12:D15)</f>
        <v>30697</v>
      </c>
      <c r="E16" s="401">
        <f>+D16-C16</f>
        <v>2821</v>
      </c>
      <c r="F16" s="402">
        <f>IF(C16=0,0,+E16/C16)</f>
        <v>0.10119816329459033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1072</v>
      </c>
      <c r="D19" s="409">
        <v>1270</v>
      </c>
      <c r="E19" s="409">
        <f>+D19-C19</f>
        <v>198</v>
      </c>
      <c r="F19" s="410">
        <f>IF(C19=0,0,+E19/C19)</f>
        <v>0.18470149253731344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10362</v>
      </c>
      <c r="D20" s="409">
        <v>9940</v>
      </c>
      <c r="E20" s="409">
        <f>+D20-C20</f>
        <v>-422</v>
      </c>
      <c r="F20" s="410">
        <f>IF(C20=0,0,+E20/C20)</f>
        <v>-4.0725728623817799E-2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197</v>
      </c>
      <c r="D21" s="409">
        <v>171</v>
      </c>
      <c r="E21" s="409">
        <f>+D21-C21</f>
        <v>-26</v>
      </c>
      <c r="F21" s="410">
        <f>IF(C21=0,0,+E21/C21)</f>
        <v>-0.13197969543147209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11631</v>
      </c>
      <c r="D23" s="401">
        <f>SUM(D19:D22)</f>
        <v>11381</v>
      </c>
      <c r="E23" s="401">
        <f>+D23-C23</f>
        <v>-250</v>
      </c>
      <c r="F23" s="402">
        <f>IF(C23=0,0,+E23/C23)</f>
        <v>-2.1494282520849454E-2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</v>
      </c>
      <c r="D33" s="409">
        <v>0</v>
      </c>
      <c r="E33" s="409">
        <f>+D33-C33</f>
        <v>-1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480</v>
      </c>
      <c r="D34" s="409">
        <v>536</v>
      </c>
      <c r="E34" s="409">
        <f>+D34-C34</f>
        <v>56</v>
      </c>
      <c r="F34" s="410">
        <f>IF(C34=0,0,+E34/C34)</f>
        <v>0.11666666666666667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481</v>
      </c>
      <c r="D37" s="401">
        <f>SUM(D33:D36)</f>
        <v>536</v>
      </c>
      <c r="E37" s="401">
        <f>+D37-C37</f>
        <v>55</v>
      </c>
      <c r="F37" s="402">
        <f>IF(C37=0,0,+E37/C37)</f>
        <v>0.11434511434511435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182</v>
      </c>
      <c r="D43" s="409">
        <v>221</v>
      </c>
      <c r="E43" s="409">
        <f>+D43-C43</f>
        <v>39</v>
      </c>
      <c r="F43" s="410">
        <f>IF(C43=0,0,+E43/C43)</f>
        <v>0.21428571428571427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7362</v>
      </c>
      <c r="D44" s="409">
        <v>7692</v>
      </c>
      <c r="E44" s="409">
        <f>+D44-C44</f>
        <v>330</v>
      </c>
      <c r="F44" s="410">
        <f>IF(C44=0,0,+E44/C44)</f>
        <v>4.4824775876120618E-2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7544</v>
      </c>
      <c r="D45" s="401">
        <f>SUM(D43:D44)</f>
        <v>7913</v>
      </c>
      <c r="E45" s="401">
        <f>+D45-C45</f>
        <v>369</v>
      </c>
      <c r="F45" s="402">
        <f>IF(C45=0,0,+E45/C45)</f>
        <v>4.8913043478260872E-2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124</v>
      </c>
      <c r="D48" s="409">
        <v>135</v>
      </c>
      <c r="E48" s="409">
        <f>+D48-C48</f>
        <v>11</v>
      </c>
      <c r="F48" s="410">
        <f>IF(C48=0,0,+E48/C48)</f>
        <v>8.8709677419354843E-2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34</v>
      </c>
      <c r="D49" s="409">
        <v>44</v>
      </c>
      <c r="E49" s="409">
        <f>+D49-C49</f>
        <v>10</v>
      </c>
      <c r="F49" s="410">
        <f>IF(C49=0,0,+E49/C49)</f>
        <v>0.29411764705882354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158</v>
      </c>
      <c r="D50" s="401">
        <f>SUM(D48:D49)</f>
        <v>179</v>
      </c>
      <c r="E50" s="401">
        <f>+D50-C50</f>
        <v>21</v>
      </c>
      <c r="F50" s="402">
        <f>IF(C50=0,0,+E50/C50)</f>
        <v>0.13291139240506328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53</v>
      </c>
      <c r="D53" s="409">
        <v>65</v>
      </c>
      <c r="E53" s="409">
        <f>+D53-C53</f>
        <v>12</v>
      </c>
      <c r="F53" s="410">
        <f>IF(C53=0,0,+E53/C53)</f>
        <v>0.22641509433962265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53</v>
      </c>
      <c r="D55" s="401">
        <f>SUM(D53:D54)</f>
        <v>65</v>
      </c>
      <c r="E55" s="401">
        <f>+D55-C55</f>
        <v>12</v>
      </c>
      <c r="F55" s="402">
        <f>IF(C55=0,0,+E55/C55)</f>
        <v>0.22641509433962265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99</v>
      </c>
      <c r="D58" s="409">
        <v>95</v>
      </c>
      <c r="E58" s="409">
        <f>+D58-C58</f>
        <v>-4</v>
      </c>
      <c r="F58" s="410">
        <f>IF(C58=0,0,+E58/C58)</f>
        <v>-4.0404040404040407E-2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212</v>
      </c>
      <c r="D59" s="409">
        <v>221</v>
      </c>
      <c r="E59" s="409">
        <f>+D59-C59</f>
        <v>9</v>
      </c>
      <c r="F59" s="410">
        <f>IF(C59=0,0,+E59/C59)</f>
        <v>4.2452830188679243E-2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311</v>
      </c>
      <c r="D60" s="401">
        <f>SUM(D58:D59)</f>
        <v>316</v>
      </c>
      <c r="E60" s="401">
        <f>SUM(E58:E59)</f>
        <v>5</v>
      </c>
      <c r="F60" s="402">
        <f>IF(C60=0,0,+E60/C60)</f>
        <v>1.607717041800643E-2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2792</v>
      </c>
      <c r="D63" s="409">
        <v>2821</v>
      </c>
      <c r="E63" s="409">
        <f>+D63-C63</f>
        <v>29</v>
      </c>
      <c r="F63" s="410">
        <f>IF(C63=0,0,+E63/C63)</f>
        <v>1.0386819484240688E-2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7972</v>
      </c>
      <c r="D64" s="409">
        <v>7856</v>
      </c>
      <c r="E64" s="409">
        <f>+D64-C64</f>
        <v>-116</v>
      </c>
      <c r="F64" s="410">
        <f>IF(C64=0,0,+E64/C64)</f>
        <v>-1.4550928248871048E-2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10764</v>
      </c>
      <c r="D65" s="401">
        <f>SUM(D63:D64)</f>
        <v>10677</v>
      </c>
      <c r="E65" s="401">
        <f>+D65-C65</f>
        <v>-87</v>
      </c>
      <c r="F65" s="402">
        <f>IF(C65=0,0,+E65/C65)</f>
        <v>-8.0824972129319959E-3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584</v>
      </c>
      <c r="D68" s="409">
        <v>652</v>
      </c>
      <c r="E68" s="409">
        <f>+D68-C68</f>
        <v>68</v>
      </c>
      <c r="F68" s="410">
        <f>IF(C68=0,0,+E68/C68)</f>
        <v>0.11643835616438356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6638</v>
      </c>
      <c r="D69" s="409">
        <v>6439</v>
      </c>
      <c r="E69" s="409">
        <f>+D69-C69</f>
        <v>-199</v>
      </c>
      <c r="F69" s="412">
        <f>IF(C69=0,0,+E69/C69)</f>
        <v>-2.9978909310033143E-2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7222</v>
      </c>
      <c r="D70" s="401">
        <f>SUM(D68:D69)</f>
        <v>7091</v>
      </c>
      <c r="E70" s="401">
        <f>+D70-C70</f>
        <v>-131</v>
      </c>
      <c r="F70" s="402">
        <f>IF(C70=0,0,+E70/C70)</f>
        <v>-1.813901966214345E-2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8469</v>
      </c>
      <c r="D73" s="376">
        <v>8767</v>
      </c>
      <c r="E73" s="409">
        <f>+D73-C73</f>
        <v>298</v>
      </c>
      <c r="F73" s="410">
        <f>IF(C73=0,0,+E73/C73)</f>
        <v>3.5187153146770574E-2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39838</v>
      </c>
      <c r="D74" s="376">
        <v>39091</v>
      </c>
      <c r="E74" s="409">
        <f>+D74-C74</f>
        <v>-747</v>
      </c>
      <c r="F74" s="410">
        <f>IF(C74=0,0,+E74/C74)</f>
        <v>-1.8750941312314875E-2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48307</v>
      </c>
      <c r="D75" s="401">
        <f>SUM(D73:D74)</f>
        <v>47858</v>
      </c>
      <c r="E75" s="401">
        <f>SUM(E73:E74)</f>
        <v>-449</v>
      </c>
      <c r="F75" s="402">
        <f>IF(C75=0,0,+E75/C75)</f>
        <v>-9.2947191918355525E-3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1381</v>
      </c>
      <c r="D80" s="376">
        <v>1178</v>
      </c>
      <c r="E80" s="409">
        <f t="shared" si="0"/>
        <v>-203</v>
      </c>
      <c r="F80" s="410">
        <f t="shared" si="1"/>
        <v>-0.14699493120926865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9887</v>
      </c>
      <c r="D81" s="376">
        <v>9142</v>
      </c>
      <c r="E81" s="409">
        <f t="shared" si="0"/>
        <v>-745</v>
      </c>
      <c r="F81" s="410">
        <f t="shared" si="1"/>
        <v>-7.5351471629412359E-2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69</v>
      </c>
      <c r="D86" s="376">
        <v>15</v>
      </c>
      <c r="E86" s="409">
        <f t="shared" si="0"/>
        <v>-54</v>
      </c>
      <c r="F86" s="410">
        <f t="shared" si="1"/>
        <v>-0.78260869565217395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126</v>
      </c>
      <c r="D88" s="376">
        <v>110</v>
      </c>
      <c r="E88" s="409">
        <f t="shared" si="0"/>
        <v>-16</v>
      </c>
      <c r="F88" s="410">
        <f t="shared" si="1"/>
        <v>-0.12698412698412698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657</v>
      </c>
      <c r="D90" s="376">
        <v>558</v>
      </c>
      <c r="E90" s="409">
        <f t="shared" si="0"/>
        <v>-99</v>
      </c>
      <c r="F90" s="410">
        <f t="shared" si="1"/>
        <v>-0.15068493150684931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7432</v>
      </c>
      <c r="D91" s="376">
        <v>7012</v>
      </c>
      <c r="E91" s="409">
        <f t="shared" si="0"/>
        <v>-420</v>
      </c>
      <c r="F91" s="410">
        <f t="shared" si="1"/>
        <v>-5.6512378902045211E-2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19552</v>
      </c>
      <c r="D92" s="381">
        <f>SUM(D79:D91)</f>
        <v>18015</v>
      </c>
      <c r="E92" s="401">
        <f t="shared" si="0"/>
        <v>-1537</v>
      </c>
      <c r="F92" s="402">
        <f t="shared" si="1"/>
        <v>-7.8610883797054013E-2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9130</v>
      </c>
      <c r="D95" s="414">
        <v>9621</v>
      </c>
      <c r="E95" s="415">
        <f t="shared" ref="E95:E100" si="2">+D95-C95</f>
        <v>491</v>
      </c>
      <c r="F95" s="412">
        <f t="shared" ref="F95:F100" si="3">IF(C95=0,0,+E95/C95)</f>
        <v>5.3778751369112816E-2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487</v>
      </c>
      <c r="D96" s="414">
        <v>437</v>
      </c>
      <c r="E96" s="409">
        <f t="shared" si="2"/>
        <v>-50</v>
      </c>
      <c r="F96" s="410">
        <f t="shared" si="3"/>
        <v>-0.10266940451745379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457</v>
      </c>
      <c r="D97" s="414">
        <v>468</v>
      </c>
      <c r="E97" s="409">
        <f t="shared" si="2"/>
        <v>11</v>
      </c>
      <c r="F97" s="410">
        <f t="shared" si="3"/>
        <v>2.4070021881838075E-2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7419</v>
      </c>
      <c r="D98" s="414">
        <v>7115</v>
      </c>
      <c r="E98" s="409">
        <f t="shared" si="2"/>
        <v>-304</v>
      </c>
      <c r="F98" s="410">
        <f t="shared" si="3"/>
        <v>-4.0975872759131955E-2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169456</v>
      </c>
      <c r="D99" s="414">
        <v>171858</v>
      </c>
      <c r="E99" s="409">
        <f t="shared" si="2"/>
        <v>2402</v>
      </c>
      <c r="F99" s="410">
        <f t="shared" si="3"/>
        <v>1.4174771032008308E-2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186949</v>
      </c>
      <c r="D100" s="381">
        <f>SUM(D95:D99)</f>
        <v>189499</v>
      </c>
      <c r="E100" s="401">
        <f t="shared" si="2"/>
        <v>2550</v>
      </c>
      <c r="F100" s="402">
        <f t="shared" si="3"/>
        <v>1.3640083659179776E-2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450.4</v>
      </c>
      <c r="D104" s="416">
        <v>444.9</v>
      </c>
      <c r="E104" s="417">
        <f>+D104-C104</f>
        <v>-5.5</v>
      </c>
      <c r="F104" s="410">
        <f>IF(C104=0,0,+E104/C104)</f>
        <v>-1.2211367673179397E-2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91.8</v>
      </c>
      <c r="D105" s="416">
        <v>90</v>
      </c>
      <c r="E105" s="417">
        <f>+D105-C105</f>
        <v>-1.7999999999999972</v>
      </c>
      <c r="F105" s="410">
        <f>IF(C105=0,0,+E105/C105)</f>
        <v>-1.960784313725487E-2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1143.2</v>
      </c>
      <c r="D106" s="416">
        <v>1116.0999999999999</v>
      </c>
      <c r="E106" s="417">
        <f>+D106-C106</f>
        <v>-27.100000000000136</v>
      </c>
      <c r="F106" s="410">
        <f>IF(C106=0,0,+E106/C106)</f>
        <v>-2.3705388383485074E-2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1685.4</v>
      </c>
      <c r="D107" s="418">
        <f>SUM(D104:D106)</f>
        <v>1651</v>
      </c>
      <c r="E107" s="418">
        <f>+D107-C107</f>
        <v>-34.400000000000091</v>
      </c>
      <c r="F107" s="402">
        <f>IF(C107=0,0,+E107/C107)</f>
        <v>-2.0410585024326622E-2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7972</v>
      </c>
      <c r="D12" s="409">
        <v>7856</v>
      </c>
      <c r="E12" s="409">
        <f>+D12-C12</f>
        <v>-116</v>
      </c>
      <c r="F12" s="410">
        <f>IF(C12=0,0,+E12/C12)</f>
        <v>-1.4550928248871048E-2</v>
      </c>
    </row>
    <row r="13" spans="1:6" ht="15.75" customHeight="1" x14ac:dyDescent="0.25">
      <c r="A13" s="374"/>
      <c r="B13" s="399" t="s">
        <v>622</v>
      </c>
      <c r="C13" s="401">
        <f>SUM(C11:C12)</f>
        <v>7972</v>
      </c>
      <c r="D13" s="401">
        <f>SUM(D11:D12)</f>
        <v>7856</v>
      </c>
      <c r="E13" s="401">
        <f>+D13-C13</f>
        <v>-116</v>
      </c>
      <c r="F13" s="402">
        <f>IF(C13=0,0,+E13/C13)</f>
        <v>-1.4550928248871048E-2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6638</v>
      </c>
      <c r="D16" s="409">
        <v>6439</v>
      </c>
      <c r="E16" s="409">
        <f>+D16-C16</f>
        <v>-199</v>
      </c>
      <c r="F16" s="410">
        <f>IF(C16=0,0,+E16/C16)</f>
        <v>-2.9978909310033143E-2</v>
      </c>
    </row>
    <row r="17" spans="1:6" ht="15.75" customHeight="1" x14ac:dyDescent="0.25">
      <c r="A17" s="374"/>
      <c r="B17" s="399" t="s">
        <v>623</v>
      </c>
      <c r="C17" s="401">
        <f>SUM(C15:C16)</f>
        <v>6638</v>
      </c>
      <c r="D17" s="401">
        <f>SUM(D15:D16)</f>
        <v>6439</v>
      </c>
      <c r="E17" s="401">
        <f>+D17-C17</f>
        <v>-199</v>
      </c>
      <c r="F17" s="402">
        <f>IF(C17=0,0,+E17/C17)</f>
        <v>-2.9978909310033143E-2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39838</v>
      </c>
      <c r="D20" s="409">
        <v>39091</v>
      </c>
      <c r="E20" s="409">
        <f>+D20-C20</f>
        <v>-747</v>
      </c>
      <c r="F20" s="410">
        <f>IF(C20=0,0,+E20/C20)</f>
        <v>-1.8750941312314875E-2</v>
      </c>
    </row>
    <row r="21" spans="1:6" ht="15.75" customHeight="1" x14ac:dyDescent="0.25">
      <c r="A21" s="374"/>
      <c r="B21" s="399" t="s">
        <v>625</v>
      </c>
      <c r="C21" s="401">
        <f>SUM(C19:C20)</f>
        <v>39838</v>
      </c>
      <c r="D21" s="401">
        <f>SUM(D19:D20)</f>
        <v>39091</v>
      </c>
      <c r="E21" s="401">
        <f>+D21-C21</f>
        <v>-747</v>
      </c>
      <c r="F21" s="402">
        <f>IF(C21=0,0,+E21/C21)</f>
        <v>-1.8750941312314875E-2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FILING&amp;RNORWALK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243146941</v>
      </c>
      <c r="D15" s="448">
        <v>242363699</v>
      </c>
      <c r="E15" s="448">
        <f t="shared" ref="E15:E24" si="0">D15-C15</f>
        <v>-783242</v>
      </c>
      <c r="F15" s="449">
        <f t="shared" ref="F15:F24" si="1">IF(C15=0,0,E15/C15)</f>
        <v>-3.2212702194760493E-3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72173862</v>
      </c>
      <c r="D16" s="448">
        <v>70241129</v>
      </c>
      <c r="E16" s="448">
        <f t="shared" si="0"/>
        <v>-1932733</v>
      </c>
      <c r="F16" s="449">
        <f t="shared" si="1"/>
        <v>-2.6778849661668377E-2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0.29683228463894185</v>
      </c>
      <c r="D17" s="453">
        <f>IF(LN_IA1=0,0,LN_IA2/LN_IA1)</f>
        <v>0.28981703650264884</v>
      </c>
      <c r="E17" s="454">
        <f t="shared" si="0"/>
        <v>-7.0152481362930064E-3</v>
      </c>
      <c r="F17" s="449">
        <f t="shared" si="1"/>
        <v>-2.3633710008418223E-2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5319</v>
      </c>
      <c r="D18" s="456">
        <v>5620</v>
      </c>
      <c r="E18" s="456">
        <f t="shared" si="0"/>
        <v>301</v>
      </c>
      <c r="F18" s="449">
        <f t="shared" si="1"/>
        <v>5.6589584508366236E-2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1.4406000000000001</v>
      </c>
      <c r="D19" s="459">
        <v>1.4339</v>
      </c>
      <c r="E19" s="460">
        <f t="shared" si="0"/>
        <v>-6.7000000000001503E-3</v>
      </c>
      <c r="F19" s="449">
        <f t="shared" si="1"/>
        <v>-4.6508399278079619E-3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7662.5514000000003</v>
      </c>
      <c r="D20" s="463">
        <f>LN_IA4*LN_IA5</f>
        <v>8058.518</v>
      </c>
      <c r="E20" s="463">
        <f t="shared" si="0"/>
        <v>395.96659999999974</v>
      </c>
      <c r="F20" s="449">
        <f t="shared" si="1"/>
        <v>5.1675555481428777E-2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9419.0378938273734</v>
      </c>
      <c r="D21" s="465">
        <f>IF(LN_IA6=0,0,LN_IA2/LN_IA6)</f>
        <v>8716.382962723419</v>
      </c>
      <c r="E21" s="465">
        <f t="shared" si="0"/>
        <v>-702.65493110395437</v>
      </c>
      <c r="F21" s="449">
        <f t="shared" si="1"/>
        <v>-7.4599437758332929E-2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31377</v>
      </c>
      <c r="D22" s="456">
        <v>31213</v>
      </c>
      <c r="E22" s="456">
        <f t="shared" si="0"/>
        <v>-164</v>
      </c>
      <c r="F22" s="449">
        <f t="shared" si="1"/>
        <v>-5.2267584536443892E-3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2300.2155081747778</v>
      </c>
      <c r="D23" s="465">
        <f>IF(LN_IA8=0,0,LN_IA2/LN_IA8)</f>
        <v>2250.3805786050684</v>
      </c>
      <c r="E23" s="465">
        <f t="shared" si="0"/>
        <v>-49.834929569709402</v>
      </c>
      <c r="F23" s="449">
        <f t="shared" si="1"/>
        <v>-2.1665330658192736E-2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5.899041173152848</v>
      </c>
      <c r="D24" s="466">
        <f>IF(LN_IA4=0,0,LN_IA8/LN_IA4)</f>
        <v>5.5539145907473308</v>
      </c>
      <c r="E24" s="466">
        <f t="shared" si="0"/>
        <v>-0.34512658240551719</v>
      </c>
      <c r="F24" s="449">
        <f t="shared" si="1"/>
        <v>-5.8505538828280142E-2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139541554</v>
      </c>
      <c r="D27" s="448">
        <v>131993445</v>
      </c>
      <c r="E27" s="448">
        <f t="shared" ref="E27:E32" si="2">D27-C27</f>
        <v>-7548109</v>
      </c>
      <c r="F27" s="449">
        <f t="shared" ref="F27:F32" si="3">IF(C27=0,0,E27/C27)</f>
        <v>-5.4092195361390344E-2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28335378</v>
      </c>
      <c r="D28" s="448">
        <v>25781556</v>
      </c>
      <c r="E28" s="448">
        <f t="shared" si="2"/>
        <v>-2553822</v>
      </c>
      <c r="F28" s="449">
        <f t="shared" si="3"/>
        <v>-9.0128390028888977E-2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0.20306050196345096</v>
      </c>
      <c r="D29" s="453">
        <f>IF(LN_IA11=0,0,LN_IA12/LN_IA11)</f>
        <v>0.19532451781980537</v>
      </c>
      <c r="E29" s="454">
        <f t="shared" si="2"/>
        <v>-7.7359841436455967E-3</v>
      </c>
      <c r="F29" s="449">
        <f t="shared" si="3"/>
        <v>-3.8096941890934571E-2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0.57389804463959926</v>
      </c>
      <c r="D30" s="453">
        <f>IF(LN_IA1=0,0,LN_IA11/LN_IA1)</f>
        <v>0.5446089721546955</v>
      </c>
      <c r="E30" s="454">
        <f t="shared" si="2"/>
        <v>-2.9289072484903755E-2</v>
      </c>
      <c r="F30" s="449">
        <f t="shared" si="3"/>
        <v>-5.103532371032371E-2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3052.5636994380284</v>
      </c>
      <c r="D31" s="463">
        <f>LN_IA14*LN_IA4</f>
        <v>3060.7024235093886</v>
      </c>
      <c r="E31" s="463">
        <f t="shared" si="2"/>
        <v>8.1387240713602296</v>
      </c>
      <c r="F31" s="449">
        <f t="shared" si="3"/>
        <v>2.6661930340253193E-3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9282.4854089749188</v>
      </c>
      <c r="D32" s="465">
        <f>IF(LN_IA15=0,0,LN_IA12/LN_IA15)</f>
        <v>8423.411502526591</v>
      </c>
      <c r="E32" s="465">
        <f t="shared" si="2"/>
        <v>-859.07390644832776</v>
      </c>
      <c r="F32" s="449">
        <f t="shared" si="3"/>
        <v>-9.2547832676119102E-2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382688495</v>
      </c>
      <c r="D35" s="448">
        <f>LN_IA1+LN_IA11</f>
        <v>374357144</v>
      </c>
      <c r="E35" s="448">
        <f>D35-C35</f>
        <v>-8331351</v>
      </c>
      <c r="F35" s="449">
        <f>IF(C35=0,0,E35/C35)</f>
        <v>-2.1770581318364433E-2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100509240</v>
      </c>
      <c r="D36" s="448">
        <f>LN_IA2+LN_IA12</f>
        <v>96022685</v>
      </c>
      <c r="E36" s="448">
        <f>D36-C36</f>
        <v>-4486555</v>
      </c>
      <c r="F36" s="449">
        <f>IF(C36=0,0,E36/C36)</f>
        <v>-4.4638234255875382E-2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282179255</v>
      </c>
      <c r="D37" s="448">
        <f>LN_IA17-LN_IA18</f>
        <v>278334459</v>
      </c>
      <c r="E37" s="448">
        <f>D37-C37</f>
        <v>-3844796</v>
      </c>
      <c r="F37" s="449">
        <f>IF(C37=0,0,E37/C37)</f>
        <v>-1.362536732191741E-2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132429295</v>
      </c>
      <c r="D42" s="448">
        <v>135016428</v>
      </c>
      <c r="E42" s="448">
        <f t="shared" ref="E42:E53" si="4">D42-C42</f>
        <v>2587133</v>
      </c>
      <c r="F42" s="449">
        <f t="shared" ref="F42:F53" si="5">IF(C42=0,0,E42/C42)</f>
        <v>1.9535956904399437E-2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75483598</v>
      </c>
      <c r="D43" s="448">
        <v>70572997</v>
      </c>
      <c r="E43" s="448">
        <f t="shared" si="4"/>
        <v>-4910601</v>
      </c>
      <c r="F43" s="449">
        <f t="shared" si="5"/>
        <v>-6.5055205768013338E-2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0.56999169254808768</v>
      </c>
      <c r="D44" s="453">
        <f>IF(LN_IB1=0,0,LN_IB2/LN_IB1)</f>
        <v>0.52269933403955848</v>
      </c>
      <c r="E44" s="454">
        <f t="shared" si="4"/>
        <v>-4.7292358508529198E-2</v>
      </c>
      <c r="F44" s="449">
        <f t="shared" si="5"/>
        <v>-8.2970259263102072E-2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4907</v>
      </c>
      <c r="D45" s="456">
        <v>4782</v>
      </c>
      <c r="E45" s="456">
        <f t="shared" si="4"/>
        <v>-125</v>
      </c>
      <c r="F45" s="449">
        <f t="shared" si="5"/>
        <v>-2.5473812920317914E-2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1.075</v>
      </c>
      <c r="D46" s="459">
        <v>1.06088</v>
      </c>
      <c r="E46" s="460">
        <f t="shared" si="4"/>
        <v>-1.411999999999991E-2</v>
      </c>
      <c r="F46" s="449">
        <f t="shared" si="5"/>
        <v>-1.3134883720930149E-2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5275.0249999999996</v>
      </c>
      <c r="D47" s="463">
        <f>LN_IB4*LN_IB5</f>
        <v>5073.1281600000002</v>
      </c>
      <c r="E47" s="463">
        <f t="shared" si="4"/>
        <v>-201.89683999999943</v>
      </c>
      <c r="F47" s="449">
        <f t="shared" si="5"/>
        <v>-3.8274101070610932E-2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14309.619006544994</v>
      </c>
      <c r="D48" s="465">
        <f>IF(LN_IB6=0,0,LN_IB2/LN_IB6)</f>
        <v>13911.140182983274</v>
      </c>
      <c r="E48" s="465">
        <f t="shared" si="4"/>
        <v>-398.47882356171976</v>
      </c>
      <c r="F48" s="449">
        <f t="shared" si="5"/>
        <v>-2.7846920549000072E-2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-4890.5811127176203</v>
      </c>
      <c r="D49" s="465">
        <f>LN_IA7-LN_IB7</f>
        <v>-5194.7572202598549</v>
      </c>
      <c r="E49" s="465">
        <f t="shared" si="4"/>
        <v>-304.1761075422346</v>
      </c>
      <c r="F49" s="449">
        <f t="shared" si="5"/>
        <v>6.2196311753473538E-2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-25797937.634113263</v>
      </c>
      <c r="D50" s="479">
        <f>LN_IB8*LN_IB6</f>
        <v>-26353669.138463594</v>
      </c>
      <c r="E50" s="479">
        <f t="shared" si="4"/>
        <v>-555731.50435033068</v>
      </c>
      <c r="F50" s="449">
        <f t="shared" si="5"/>
        <v>2.1541702760590944E-2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17156</v>
      </c>
      <c r="D51" s="456">
        <v>16795</v>
      </c>
      <c r="E51" s="456">
        <f t="shared" si="4"/>
        <v>-361</v>
      </c>
      <c r="F51" s="449">
        <f t="shared" si="5"/>
        <v>-2.1042200979249241E-2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4399.836675215668</v>
      </c>
      <c r="D52" s="465">
        <f>IF(LN_IB10=0,0,LN_IB2/LN_IB10)</f>
        <v>4202.024233402798</v>
      </c>
      <c r="E52" s="465">
        <f t="shared" si="4"/>
        <v>-197.81244181287002</v>
      </c>
      <c r="F52" s="449">
        <f t="shared" si="5"/>
        <v>-4.4959041986069585E-2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3.496229875687793</v>
      </c>
      <c r="D53" s="466">
        <f>IF(LN_IB4=0,0,LN_IB10/LN_IB4)</f>
        <v>3.5121288163948137</v>
      </c>
      <c r="E53" s="466">
        <f t="shared" si="4"/>
        <v>1.5898940707020692E-2</v>
      </c>
      <c r="F53" s="449">
        <f t="shared" si="5"/>
        <v>4.5474529056511153E-3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252355457</v>
      </c>
      <c r="D56" s="448">
        <v>239643951</v>
      </c>
      <c r="E56" s="448">
        <f t="shared" ref="E56:E63" si="6">D56-C56</f>
        <v>-12711506</v>
      </c>
      <c r="F56" s="449">
        <f t="shared" ref="F56:F63" si="7">IF(C56=0,0,E56/C56)</f>
        <v>-5.0371433021953634E-2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126499308</v>
      </c>
      <c r="D57" s="448">
        <v>124072277</v>
      </c>
      <c r="E57" s="448">
        <f t="shared" si="6"/>
        <v>-2427031</v>
      </c>
      <c r="F57" s="449">
        <f t="shared" si="7"/>
        <v>-1.9186120765182366E-2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0.50127431165477032</v>
      </c>
      <c r="D58" s="453">
        <f>IF(LN_IB13=0,0,LN_IB14/LN_IB13)</f>
        <v>0.51773590145824289</v>
      </c>
      <c r="E58" s="454">
        <f t="shared" si="6"/>
        <v>1.6461589803472565E-2</v>
      </c>
      <c r="F58" s="449">
        <f t="shared" si="7"/>
        <v>3.2839484132212486E-2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1.9055863508145989</v>
      </c>
      <c r="D59" s="453">
        <f>IF(LN_IB1=0,0,LN_IB13/LN_IB1)</f>
        <v>1.774924389200994</v>
      </c>
      <c r="E59" s="454">
        <f t="shared" si="6"/>
        <v>-0.13066196161360488</v>
      </c>
      <c r="F59" s="449">
        <f t="shared" si="7"/>
        <v>-6.8567851337594632E-2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9350.7122234472372</v>
      </c>
      <c r="D60" s="463">
        <f>LN_IB16*LN_IB4</f>
        <v>8487.6884291591541</v>
      </c>
      <c r="E60" s="463">
        <f t="shared" si="6"/>
        <v>-863.02379428808308</v>
      </c>
      <c r="F60" s="449">
        <f t="shared" si="7"/>
        <v>-9.2294979640590455E-2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13528.307253729676</v>
      </c>
      <c r="D61" s="465">
        <f>IF(LN_IB17=0,0,LN_IB14/LN_IB17)</f>
        <v>14617.911347187777</v>
      </c>
      <c r="E61" s="465">
        <f t="shared" si="6"/>
        <v>1089.6040934581015</v>
      </c>
      <c r="F61" s="449">
        <f t="shared" si="7"/>
        <v>8.0542530046226149E-2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-4245.821844754757</v>
      </c>
      <c r="D62" s="465">
        <f>LN_IA16-LN_IB18</f>
        <v>-6194.4998446611862</v>
      </c>
      <c r="E62" s="465">
        <f t="shared" si="6"/>
        <v>-1948.6779999064292</v>
      </c>
      <c r="F62" s="449">
        <f t="shared" si="7"/>
        <v>0.45896367562237811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-39701458.222327605</v>
      </c>
      <c r="D63" s="448">
        <f>LN_IB19*LN_IB17</f>
        <v>-52576984.655958928</v>
      </c>
      <c r="E63" s="448">
        <f t="shared" si="6"/>
        <v>-12875526.433631323</v>
      </c>
      <c r="F63" s="449">
        <f t="shared" si="7"/>
        <v>0.32430865288444966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384784752</v>
      </c>
      <c r="D66" s="448">
        <f>LN_IB1+LN_IB13</f>
        <v>374660379</v>
      </c>
      <c r="E66" s="448">
        <f>D66-C66</f>
        <v>-10124373</v>
      </c>
      <c r="F66" s="449">
        <f>IF(C66=0,0,E66/C66)</f>
        <v>-2.631178326941604E-2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201982906</v>
      </c>
      <c r="D67" s="448">
        <f>LN_IB2+LN_IB14</f>
        <v>194645274</v>
      </c>
      <c r="E67" s="448">
        <f>D67-C67</f>
        <v>-7337632</v>
      </c>
      <c r="F67" s="449">
        <f>IF(C67=0,0,E67/C67)</f>
        <v>-3.6327985101867979E-2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182801846</v>
      </c>
      <c r="D68" s="448">
        <f>LN_IB21-LN_IB22</f>
        <v>180015105</v>
      </c>
      <c r="E68" s="448">
        <f>D68-C68</f>
        <v>-2786741</v>
      </c>
      <c r="F68" s="449">
        <f>IF(C68=0,0,E68/C68)</f>
        <v>-1.5244599882213444E-2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-65499395.856440872</v>
      </c>
      <c r="D70" s="441">
        <f>LN_IB9+LN_IB20</f>
        <v>-78930653.794422522</v>
      </c>
      <c r="E70" s="448">
        <f>D70-C70</f>
        <v>-13431257.93798165</v>
      </c>
      <c r="F70" s="449">
        <f>IF(C70=0,0,E70/C70)</f>
        <v>0.20505926447657288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349638109</v>
      </c>
      <c r="D73" s="488">
        <v>339083715</v>
      </c>
      <c r="E73" s="488">
        <f>D73-C73</f>
        <v>-10554394</v>
      </c>
      <c r="F73" s="489">
        <f>IF(C73=0,0,E73/C73)</f>
        <v>-3.0186623621168251E-2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199129397</v>
      </c>
      <c r="D74" s="488">
        <v>191908163</v>
      </c>
      <c r="E74" s="488">
        <f>D74-C74</f>
        <v>-7221234</v>
      </c>
      <c r="F74" s="489">
        <f>IF(C74=0,0,E74/C74)</f>
        <v>-3.6264027857222908E-2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150508712</v>
      </c>
      <c r="D76" s="441">
        <f>LN_IB32-LN_IB33</f>
        <v>147175552</v>
      </c>
      <c r="E76" s="488">
        <f>D76-C76</f>
        <v>-3333160</v>
      </c>
      <c r="F76" s="489">
        <f>IF(E76=0,0,E76/C76)</f>
        <v>-2.2145960560741494E-2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0.43046998632520345</v>
      </c>
      <c r="D77" s="453">
        <f>IF(LN_IB32=0,0,LN_IB34/LN_IB32)</f>
        <v>0.4340389865080958</v>
      </c>
      <c r="E77" s="493">
        <f>D77-C77</f>
        <v>3.5690001828923568E-3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5189210</v>
      </c>
      <c r="D83" s="448">
        <v>7178824</v>
      </c>
      <c r="E83" s="448">
        <f t="shared" ref="E83:E95" si="8">D83-C83</f>
        <v>1989614</v>
      </c>
      <c r="F83" s="449">
        <f t="shared" ref="F83:F95" si="9">IF(C83=0,0,E83/C83)</f>
        <v>0.38341366026813328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458039</v>
      </c>
      <c r="D84" s="448">
        <v>477473</v>
      </c>
      <c r="E84" s="448">
        <f t="shared" si="8"/>
        <v>19434</v>
      </c>
      <c r="F84" s="449">
        <f t="shared" si="9"/>
        <v>4.2428701486117992E-2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8.8267578301899519E-2</v>
      </c>
      <c r="D85" s="453">
        <f>IF(LN_IC1=0,0,LN_IC2/LN_IC1)</f>
        <v>6.6511311602011694E-2</v>
      </c>
      <c r="E85" s="454">
        <f t="shared" si="8"/>
        <v>-2.1756266699887825E-2</v>
      </c>
      <c r="F85" s="449">
        <f t="shared" si="9"/>
        <v>-0.246480838360325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193</v>
      </c>
      <c r="D86" s="456">
        <v>231</v>
      </c>
      <c r="E86" s="456">
        <f t="shared" si="8"/>
        <v>38</v>
      </c>
      <c r="F86" s="449">
        <f t="shared" si="9"/>
        <v>0.19689119170984457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1.0650999999999999</v>
      </c>
      <c r="D87" s="459">
        <v>1.11775</v>
      </c>
      <c r="E87" s="460">
        <f t="shared" si="8"/>
        <v>5.2650000000000086E-2</v>
      </c>
      <c r="F87" s="449">
        <f t="shared" si="9"/>
        <v>4.943197821800778E-2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205.56429999999997</v>
      </c>
      <c r="D88" s="463">
        <f>LN_IC4*LN_IC5</f>
        <v>258.20024999999998</v>
      </c>
      <c r="E88" s="463">
        <f t="shared" si="8"/>
        <v>52.635950000000008</v>
      </c>
      <c r="F88" s="449">
        <f t="shared" si="9"/>
        <v>0.25605589102777093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2228.203048875705</v>
      </c>
      <c r="D89" s="465">
        <f>IF(LN_IC6=0,0,LN_IC2/LN_IC6)</f>
        <v>1849.2352350549622</v>
      </c>
      <c r="E89" s="465">
        <f t="shared" si="8"/>
        <v>-378.96781382074278</v>
      </c>
      <c r="F89" s="449">
        <f t="shared" si="9"/>
        <v>-0.17007777366248572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12081.415957669289</v>
      </c>
      <c r="D90" s="465">
        <f>LN_IB7-LN_IC7</f>
        <v>12061.904947928311</v>
      </c>
      <c r="E90" s="465">
        <f t="shared" si="8"/>
        <v>-19.511009740977897</v>
      </c>
      <c r="F90" s="449">
        <f t="shared" si="9"/>
        <v>-1.6149605153353154E-3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7190.8348449516689</v>
      </c>
      <c r="D91" s="465">
        <f>LN_IA7-LN_IC7</f>
        <v>6867.1477276684564</v>
      </c>
      <c r="E91" s="465">
        <f t="shared" si="8"/>
        <v>-323.6871172832125</v>
      </c>
      <c r="F91" s="449">
        <f t="shared" si="9"/>
        <v>-4.5013843908605036E-2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1478178.9313180982</v>
      </c>
      <c r="D92" s="441">
        <f>LN_IC9*LN_IC6</f>
        <v>1773099.2600709272</v>
      </c>
      <c r="E92" s="441">
        <f t="shared" si="8"/>
        <v>294920.32875282899</v>
      </c>
      <c r="F92" s="449">
        <f t="shared" si="9"/>
        <v>0.19951598720856298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590</v>
      </c>
      <c r="D93" s="456">
        <v>847</v>
      </c>
      <c r="E93" s="456">
        <f t="shared" si="8"/>
        <v>257</v>
      </c>
      <c r="F93" s="449">
        <f t="shared" si="9"/>
        <v>0.43559322033898307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776.33728813559321</v>
      </c>
      <c r="D94" s="499">
        <f>IF(LN_IC11=0,0,LN_IC2/LN_IC11)</f>
        <v>563.72255017709563</v>
      </c>
      <c r="E94" s="499">
        <f t="shared" si="8"/>
        <v>-212.61473795849759</v>
      </c>
      <c r="F94" s="449">
        <f t="shared" si="9"/>
        <v>-0.2738690273001067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3.0569948186528499</v>
      </c>
      <c r="D95" s="466">
        <f>IF(LN_IC4=0,0,LN_IC11/LN_IC4)</f>
        <v>3.6666666666666665</v>
      </c>
      <c r="E95" s="466">
        <f t="shared" si="8"/>
        <v>0.60967184801381658</v>
      </c>
      <c r="F95" s="449">
        <f t="shared" si="9"/>
        <v>0.19943502824858744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29957432</v>
      </c>
      <c r="D98" s="448">
        <v>28397840</v>
      </c>
      <c r="E98" s="448">
        <f t="shared" ref="E98:E106" si="10">D98-C98</f>
        <v>-1559592</v>
      </c>
      <c r="F98" s="449">
        <f t="shared" ref="F98:F106" si="11">IF(C98=0,0,E98/C98)</f>
        <v>-5.2060270052519855E-2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2395471</v>
      </c>
      <c r="D99" s="448">
        <v>2259639</v>
      </c>
      <c r="E99" s="448">
        <f t="shared" si="10"/>
        <v>-135832</v>
      </c>
      <c r="F99" s="449">
        <f t="shared" si="11"/>
        <v>-5.670367121956392E-2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7.9962494782596857E-2</v>
      </c>
      <c r="D100" s="453">
        <f>IF(LN_IC14=0,0,LN_IC15/LN_IC14)</f>
        <v>7.9570805385198312E-2</v>
      </c>
      <c r="E100" s="454">
        <f t="shared" si="10"/>
        <v>-3.9168939739854525E-4</v>
      </c>
      <c r="F100" s="449">
        <f t="shared" si="11"/>
        <v>-4.8984139184685997E-3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5.7730236394364463</v>
      </c>
      <c r="D101" s="453">
        <f>IF(LN_IC1=0,0,LN_IC14/LN_IC1)</f>
        <v>3.9557788295130232</v>
      </c>
      <c r="E101" s="454">
        <f t="shared" si="10"/>
        <v>-1.8172448099234231</v>
      </c>
      <c r="F101" s="449">
        <f t="shared" si="11"/>
        <v>-0.31478215289290234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1114.1935624112341</v>
      </c>
      <c r="D102" s="463">
        <f>LN_IC17*LN_IC4</f>
        <v>913.78490961750833</v>
      </c>
      <c r="E102" s="463">
        <f t="shared" si="10"/>
        <v>-200.40865279372576</v>
      </c>
      <c r="F102" s="449">
        <f t="shared" si="11"/>
        <v>-0.17986879439513184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2149.9594691751263</v>
      </c>
      <c r="D103" s="465">
        <f>IF(LN_IC18=0,0,LN_IC15/LN_IC18)</f>
        <v>2472.8346640631639</v>
      </c>
      <c r="E103" s="465">
        <f t="shared" si="10"/>
        <v>322.87519488803764</v>
      </c>
      <c r="F103" s="449">
        <f t="shared" si="11"/>
        <v>0.15017734032535737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11378.347784554549</v>
      </c>
      <c r="D104" s="465">
        <f>LN_IB18-LN_IC19</f>
        <v>12145.076683124613</v>
      </c>
      <c r="E104" s="465">
        <f t="shared" si="10"/>
        <v>766.72889857006339</v>
      </c>
      <c r="F104" s="449">
        <f t="shared" si="11"/>
        <v>6.738490623488004E-2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7132.5259397997925</v>
      </c>
      <c r="D105" s="465">
        <f>LN_IA16-LN_IC19</f>
        <v>5950.5768384634266</v>
      </c>
      <c r="E105" s="465">
        <f t="shared" si="10"/>
        <v>-1181.9491013363659</v>
      </c>
      <c r="F105" s="449">
        <f t="shared" si="11"/>
        <v>-0.16571255559563275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7947014.4858560665</v>
      </c>
      <c r="D106" s="448">
        <f>LN_IC21*LN_IC18</f>
        <v>5437547.3185073407</v>
      </c>
      <c r="E106" s="448">
        <f t="shared" si="10"/>
        <v>-2509467.1673487257</v>
      </c>
      <c r="F106" s="449">
        <f t="shared" si="11"/>
        <v>-0.31577483239964188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35146642</v>
      </c>
      <c r="D109" s="448">
        <f>LN_IC1+LN_IC14</f>
        <v>35576664</v>
      </c>
      <c r="E109" s="448">
        <f>D109-C109</f>
        <v>430022</v>
      </c>
      <c r="F109" s="449">
        <f>IF(C109=0,0,E109/C109)</f>
        <v>1.223508066574326E-2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2853510</v>
      </c>
      <c r="D110" s="448">
        <f>LN_IC2+LN_IC15</f>
        <v>2737112</v>
      </c>
      <c r="E110" s="448">
        <f>D110-C110</f>
        <v>-116398</v>
      </c>
      <c r="F110" s="449">
        <f>IF(C110=0,0,E110/C110)</f>
        <v>-4.0791165967527715E-2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32293132</v>
      </c>
      <c r="D111" s="448">
        <f>LN_IC23-LN_IC24</f>
        <v>32839552</v>
      </c>
      <c r="E111" s="448">
        <f>D111-C111</f>
        <v>546420</v>
      </c>
      <c r="F111" s="449">
        <f>IF(C111=0,0,E111/C111)</f>
        <v>1.6920625723141378E-2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9425193.4171741642</v>
      </c>
      <c r="D113" s="448">
        <f>LN_IC10+LN_IC22</f>
        <v>7210646.5785782682</v>
      </c>
      <c r="E113" s="448">
        <f>D113-C113</f>
        <v>-2214546.838595896</v>
      </c>
      <c r="F113" s="449">
        <f>IF(C113=0,0,E113/C113)</f>
        <v>-0.23496036002408696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74431040</v>
      </c>
      <c r="D118" s="448">
        <v>75052237</v>
      </c>
      <c r="E118" s="448">
        <f t="shared" ref="E118:E130" si="12">D118-C118</f>
        <v>621197</v>
      </c>
      <c r="F118" s="449">
        <f t="shared" ref="F118:F130" si="13">IF(C118=0,0,E118/C118)</f>
        <v>8.3459400809124795E-3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15518342</v>
      </c>
      <c r="D119" s="448">
        <v>18310007</v>
      </c>
      <c r="E119" s="448">
        <f t="shared" si="12"/>
        <v>2791665</v>
      </c>
      <c r="F119" s="449">
        <f t="shared" si="13"/>
        <v>0.17989454028014076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0.20849288146450728</v>
      </c>
      <c r="D120" s="453">
        <f>IF(LN_ID1=0,0,LN_1D2/LN_ID1)</f>
        <v>0.24396350770997005</v>
      </c>
      <c r="E120" s="454">
        <f t="shared" si="12"/>
        <v>3.5470626245462766E-2</v>
      </c>
      <c r="F120" s="449">
        <f t="shared" si="13"/>
        <v>0.17012871612837821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2782</v>
      </c>
      <c r="D121" s="456">
        <v>2675</v>
      </c>
      <c r="E121" s="456">
        <f t="shared" si="12"/>
        <v>-107</v>
      </c>
      <c r="F121" s="449">
        <f t="shared" si="13"/>
        <v>-3.8461538461538464E-2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0.95901999999999998</v>
      </c>
      <c r="D122" s="459">
        <v>0.95816000000000001</v>
      </c>
      <c r="E122" s="460">
        <f t="shared" si="12"/>
        <v>-8.599999999999719E-4</v>
      </c>
      <c r="F122" s="449">
        <f t="shared" si="13"/>
        <v>-8.967487643635919E-4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2667.9936400000001</v>
      </c>
      <c r="D123" s="463">
        <f>LN_ID4*LN_ID5</f>
        <v>2563.078</v>
      </c>
      <c r="E123" s="463">
        <f t="shared" si="12"/>
        <v>-104.91564000000017</v>
      </c>
      <c r="F123" s="449">
        <f t="shared" si="13"/>
        <v>-3.9323796888811234E-2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5816.4838803738676</v>
      </c>
      <c r="D124" s="465">
        <f>IF(LN_ID6=0,0,LN_1D2/LN_ID6)</f>
        <v>7143.7572325149686</v>
      </c>
      <c r="E124" s="465">
        <f t="shared" si="12"/>
        <v>1327.273352141101</v>
      </c>
      <c r="F124" s="449">
        <f t="shared" si="13"/>
        <v>0.22819170128187263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8493.1351261711261</v>
      </c>
      <c r="D125" s="465">
        <f>LN_IB7-LN_ID7</f>
        <v>6767.3829504683054</v>
      </c>
      <c r="E125" s="465">
        <f t="shared" si="12"/>
        <v>-1725.7521757028208</v>
      </c>
      <c r="F125" s="449">
        <f t="shared" si="13"/>
        <v>-0.20319377356719676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3602.5540134535058</v>
      </c>
      <c r="D126" s="465">
        <f>LN_IA7-LN_ID7</f>
        <v>1572.6257302084505</v>
      </c>
      <c r="E126" s="465">
        <f t="shared" si="12"/>
        <v>-2029.9282832450554</v>
      </c>
      <c r="F126" s="449">
        <f t="shared" si="13"/>
        <v>-0.56346921535788752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9611591.1956504285</v>
      </c>
      <c r="D127" s="479">
        <f>LN_ID9*LN_ID6</f>
        <v>4030762.4113312149</v>
      </c>
      <c r="E127" s="479">
        <f t="shared" si="12"/>
        <v>-5580828.7843192136</v>
      </c>
      <c r="F127" s="449">
        <f t="shared" si="13"/>
        <v>-0.58063526326886727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10948</v>
      </c>
      <c r="D128" s="456">
        <v>10923</v>
      </c>
      <c r="E128" s="456">
        <f t="shared" si="12"/>
        <v>-25</v>
      </c>
      <c r="F128" s="449">
        <f t="shared" si="13"/>
        <v>-2.2835221044939717E-3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1417.4590792838874</v>
      </c>
      <c r="D129" s="465">
        <f>IF(LN_ID11=0,0,LN_1D2/LN_ID11)</f>
        <v>1676.2800512679667</v>
      </c>
      <c r="E129" s="465">
        <f t="shared" si="12"/>
        <v>258.82097198407928</v>
      </c>
      <c r="F129" s="449">
        <f t="shared" si="13"/>
        <v>0.18259502215389375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3.9352983465132998</v>
      </c>
      <c r="D130" s="466">
        <f>IF(LN_ID4=0,0,LN_ID11/LN_ID4)</f>
        <v>4.0833644859813081</v>
      </c>
      <c r="E130" s="466">
        <f t="shared" si="12"/>
        <v>0.14806613946800828</v>
      </c>
      <c r="F130" s="449">
        <f t="shared" si="13"/>
        <v>3.7625137011326179E-2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69452300</v>
      </c>
      <c r="D133" s="448">
        <v>73913620</v>
      </c>
      <c r="E133" s="448">
        <f t="shared" ref="E133:E141" si="14">D133-C133</f>
        <v>4461320</v>
      </c>
      <c r="F133" s="449">
        <f t="shared" ref="F133:F141" si="15">IF(C133=0,0,E133/C133)</f>
        <v>6.423574165290423E-2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17506571</v>
      </c>
      <c r="D134" s="448">
        <v>19100840</v>
      </c>
      <c r="E134" s="448">
        <f t="shared" si="14"/>
        <v>1594269</v>
      </c>
      <c r="F134" s="449">
        <f t="shared" si="15"/>
        <v>9.106689139752154E-2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0.25206610868178592</v>
      </c>
      <c r="D135" s="453">
        <f>IF(LN_ID14=0,0,LN_ID15/LN_ID14)</f>
        <v>0.25842111372707766</v>
      </c>
      <c r="E135" s="454">
        <f t="shared" si="14"/>
        <v>6.3550050452917395E-3</v>
      </c>
      <c r="F135" s="449">
        <f t="shared" si="15"/>
        <v>2.5211660062219806E-2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0.93310935867616518</v>
      </c>
      <c r="D136" s="453">
        <f>IF(LN_ID1=0,0,LN_ID14/LN_ID1)</f>
        <v>0.98482900649583571</v>
      </c>
      <c r="E136" s="454">
        <f t="shared" si="14"/>
        <v>5.1719647819670533E-2</v>
      </c>
      <c r="F136" s="449">
        <f t="shared" si="15"/>
        <v>5.5427209403458348E-2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2595.9102358370915</v>
      </c>
      <c r="D137" s="463">
        <f>LN_ID17*LN_ID4</f>
        <v>2634.4175923763605</v>
      </c>
      <c r="E137" s="463">
        <f t="shared" si="14"/>
        <v>38.50735653926904</v>
      </c>
      <c r="F137" s="449">
        <f t="shared" si="15"/>
        <v>1.4833855195633044E-2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6743.9046074544776</v>
      </c>
      <c r="D138" s="465">
        <f>IF(LN_ID18=0,0,LN_ID15/LN_ID18)</f>
        <v>7250.4981956069469</v>
      </c>
      <c r="E138" s="465">
        <f t="shared" si="14"/>
        <v>506.59358815246924</v>
      </c>
      <c r="F138" s="449">
        <f t="shared" si="15"/>
        <v>7.5118735753245722E-2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6784.4026462751981</v>
      </c>
      <c r="D139" s="465">
        <f>LN_IB18-LN_ID19</f>
        <v>7367.4131515808303</v>
      </c>
      <c r="E139" s="465">
        <f t="shared" si="14"/>
        <v>583.01050530563225</v>
      </c>
      <c r="F139" s="449">
        <f t="shared" si="15"/>
        <v>8.5933948160597337E-2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2538.5808015204411</v>
      </c>
      <c r="D140" s="465">
        <f>LN_IA16-LN_ID19</f>
        <v>1172.9133069196441</v>
      </c>
      <c r="E140" s="465">
        <f t="shared" si="14"/>
        <v>-1365.667494600797</v>
      </c>
      <c r="F140" s="449">
        <f t="shared" si="15"/>
        <v>-0.53796495025206725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6589927.8871664414</v>
      </c>
      <c r="D141" s="441">
        <f>LN_ID21*LN_ID18</f>
        <v>3089943.4500814439</v>
      </c>
      <c r="E141" s="441">
        <f t="shared" si="14"/>
        <v>-3499984.4370849975</v>
      </c>
      <c r="F141" s="449">
        <f t="shared" si="15"/>
        <v>-0.5311111892287993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143883340</v>
      </c>
      <c r="D144" s="448">
        <f>LN_ID1+LN_ID14</f>
        <v>148965857</v>
      </c>
      <c r="E144" s="448">
        <f>D144-C144</f>
        <v>5082517</v>
      </c>
      <c r="F144" s="449">
        <f>IF(C144=0,0,E144/C144)</f>
        <v>3.5323874188630873E-2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33024913</v>
      </c>
      <c r="D145" s="448">
        <f>LN_1D2+LN_ID15</f>
        <v>37410847</v>
      </c>
      <c r="E145" s="448">
        <f>D145-C145</f>
        <v>4385934</v>
      </c>
      <c r="F145" s="449">
        <f>IF(C145=0,0,E145/C145)</f>
        <v>0.13280682980148956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110858427</v>
      </c>
      <c r="D146" s="448">
        <f>LN_ID23-LN_ID24</f>
        <v>111555010</v>
      </c>
      <c r="E146" s="448">
        <f>D146-C146</f>
        <v>696583</v>
      </c>
      <c r="F146" s="449">
        <f>IF(C146=0,0,E146/C146)</f>
        <v>6.2835367490826841E-3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16201519.082816869</v>
      </c>
      <c r="D148" s="448">
        <f>LN_ID10+LN_ID22</f>
        <v>7120705.8614126593</v>
      </c>
      <c r="E148" s="448">
        <f>D148-C148</f>
        <v>-9080813.2214042097</v>
      </c>
      <c r="F148" s="503">
        <f>IF(C148=0,0,E148/C148)</f>
        <v>-0.56049146842256337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578536</v>
      </c>
      <c r="D153" s="448">
        <v>618499</v>
      </c>
      <c r="E153" s="448">
        <f t="shared" ref="E153:E165" si="16">D153-C153</f>
        <v>39963</v>
      </c>
      <c r="F153" s="449">
        <f t="shared" ref="F153:F165" si="17">IF(C153=0,0,E153/C153)</f>
        <v>6.9076081695866806E-2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94864</v>
      </c>
      <c r="D154" s="448">
        <v>135707</v>
      </c>
      <c r="E154" s="448">
        <f t="shared" si="16"/>
        <v>40843</v>
      </c>
      <c r="F154" s="449">
        <f t="shared" si="17"/>
        <v>0.4305426716141002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0.16397250992159521</v>
      </c>
      <c r="D155" s="453">
        <f>IF(LN_IE1=0,0,LN_IE2/LN_IE1)</f>
        <v>0.21941345095141626</v>
      </c>
      <c r="E155" s="454">
        <f t="shared" si="16"/>
        <v>5.5440941029821056E-2</v>
      </c>
      <c r="F155" s="449">
        <f t="shared" si="17"/>
        <v>0.33811119349414481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21</v>
      </c>
      <c r="D156" s="506">
        <v>23</v>
      </c>
      <c r="E156" s="506">
        <f t="shared" si="16"/>
        <v>2</v>
      </c>
      <c r="F156" s="449">
        <f t="shared" si="17"/>
        <v>9.5238095238095233E-2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1.0138</v>
      </c>
      <c r="D157" s="459">
        <v>0.96879999999999999</v>
      </c>
      <c r="E157" s="460">
        <f t="shared" si="16"/>
        <v>-4.500000000000004E-2</v>
      </c>
      <c r="F157" s="449">
        <f t="shared" si="17"/>
        <v>-4.4387453146577271E-2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21.2898</v>
      </c>
      <c r="D158" s="463">
        <f>LN_IE4*LN_IE5</f>
        <v>22.282399999999999</v>
      </c>
      <c r="E158" s="463">
        <f t="shared" si="16"/>
        <v>0.99259999999999948</v>
      </c>
      <c r="F158" s="449">
        <f t="shared" si="17"/>
        <v>4.6623265601367765E-2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4455.8427040178867</v>
      </c>
      <c r="D159" s="465">
        <f>IF(LN_IE6=0,0,LN_IE2/LN_IE6)</f>
        <v>6090.3224069220551</v>
      </c>
      <c r="E159" s="465">
        <f t="shared" si="16"/>
        <v>1634.4797029041683</v>
      </c>
      <c r="F159" s="449">
        <f t="shared" si="17"/>
        <v>0.36681719070341923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9853.776302527107</v>
      </c>
      <c r="D160" s="465">
        <f>LN_IB7-LN_IE7</f>
        <v>7820.8177760612189</v>
      </c>
      <c r="E160" s="465">
        <f t="shared" si="16"/>
        <v>-2032.9585264658881</v>
      </c>
      <c r="F160" s="449">
        <f t="shared" si="17"/>
        <v>-0.2063126322387199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4963.1951898094867</v>
      </c>
      <c r="D161" s="465">
        <f>LN_IA7-LN_IE7</f>
        <v>2626.060555801364</v>
      </c>
      <c r="E161" s="465">
        <f t="shared" si="16"/>
        <v>-2337.1346340081227</v>
      </c>
      <c r="F161" s="449">
        <f t="shared" si="17"/>
        <v>-0.47089315342801058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105665.43295200601</v>
      </c>
      <c r="D162" s="479">
        <f>LN_IE9*LN_IE6</f>
        <v>58514.931728588308</v>
      </c>
      <c r="E162" s="479">
        <f t="shared" si="16"/>
        <v>-47150.501223417705</v>
      </c>
      <c r="F162" s="449">
        <f t="shared" si="17"/>
        <v>-0.4462244643887826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79</v>
      </c>
      <c r="D163" s="456">
        <v>89</v>
      </c>
      <c r="E163" s="506">
        <f t="shared" si="16"/>
        <v>10</v>
      </c>
      <c r="F163" s="449">
        <f t="shared" si="17"/>
        <v>0.12658227848101267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1200.8101265822784</v>
      </c>
      <c r="D164" s="465">
        <f>IF(LN_IE11=0,0,LN_IE2/LN_IE11)</f>
        <v>1524.7977528089887</v>
      </c>
      <c r="E164" s="465">
        <f t="shared" si="16"/>
        <v>323.98762622671029</v>
      </c>
      <c r="F164" s="449">
        <f t="shared" si="17"/>
        <v>0.26980753997206647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3.7619047619047619</v>
      </c>
      <c r="D165" s="466">
        <f>IF(LN_IE4=0,0,LN_IE11/LN_IE4)</f>
        <v>3.8695652173913042</v>
      </c>
      <c r="E165" s="466">
        <f t="shared" si="16"/>
        <v>0.10766045548654235</v>
      </c>
      <c r="F165" s="449">
        <f t="shared" si="17"/>
        <v>2.8618602091359358E-2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656835</v>
      </c>
      <c r="D168" s="511">
        <v>884819</v>
      </c>
      <c r="E168" s="511">
        <f t="shared" ref="E168:E176" si="18">D168-C168</f>
        <v>227984</v>
      </c>
      <c r="F168" s="449">
        <f t="shared" ref="F168:F176" si="19">IF(C168=0,0,E168/C168)</f>
        <v>0.34709478027206225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61369</v>
      </c>
      <c r="D169" s="511">
        <v>121752</v>
      </c>
      <c r="E169" s="511">
        <f t="shared" si="18"/>
        <v>60383</v>
      </c>
      <c r="F169" s="449">
        <f t="shared" si="19"/>
        <v>0.98393325620427252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9.3431379265721218E-2</v>
      </c>
      <c r="D170" s="453">
        <f>IF(LN_IE14=0,0,LN_IE15/LN_IE14)</f>
        <v>0.13760102348615932</v>
      </c>
      <c r="E170" s="454">
        <f t="shared" si="18"/>
        <v>4.4169644220438106E-2</v>
      </c>
      <c r="F170" s="449">
        <f t="shared" si="19"/>
        <v>0.47274956837379567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1.1353398924181037</v>
      </c>
      <c r="D171" s="453">
        <f>IF(LN_IE1=0,0,LN_IE14/LN_IE1)</f>
        <v>1.4305908336149291</v>
      </c>
      <c r="E171" s="454">
        <f t="shared" si="18"/>
        <v>0.29525094119682538</v>
      </c>
      <c r="F171" s="449">
        <f t="shared" si="19"/>
        <v>0.26005511051671509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23.842137740780178</v>
      </c>
      <c r="D172" s="463">
        <f>LN_IE17*LN_IE4</f>
        <v>32.903589173143367</v>
      </c>
      <c r="E172" s="463">
        <f t="shared" si="18"/>
        <v>9.0614514323631887</v>
      </c>
      <c r="F172" s="449">
        <f t="shared" si="19"/>
        <v>0.38006035913735453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2573.9722111844426</v>
      </c>
      <c r="D173" s="465">
        <f>IF(LN_IE18=0,0,LN_IE15/LN_IE18)</f>
        <v>3700.2650184854806</v>
      </c>
      <c r="E173" s="465">
        <f t="shared" si="18"/>
        <v>1126.292807301038</v>
      </c>
      <c r="F173" s="449">
        <f t="shared" si="19"/>
        <v>0.43756991719143756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10954.335042545234</v>
      </c>
      <c r="D174" s="465">
        <f>LN_IB18-LN_IE19</f>
        <v>10917.646328702296</v>
      </c>
      <c r="E174" s="465">
        <f t="shared" si="18"/>
        <v>-36.688713842937432</v>
      </c>
      <c r="F174" s="449">
        <f t="shared" si="19"/>
        <v>-3.3492415286225197E-3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6708.5131977904766</v>
      </c>
      <c r="D175" s="465">
        <f>LN_IA16-LN_IE19</f>
        <v>4723.1464840411099</v>
      </c>
      <c r="E175" s="465">
        <f t="shared" si="18"/>
        <v>-1985.3667137493667</v>
      </c>
      <c r="F175" s="449">
        <f t="shared" si="19"/>
        <v>-0.29594735155373464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159945.29569756225</v>
      </c>
      <c r="D176" s="441">
        <f>LN_IE21*LN_IE18</f>
        <v>155408.47151546524</v>
      </c>
      <c r="E176" s="441">
        <f t="shared" si="18"/>
        <v>-4536.8241820970143</v>
      </c>
      <c r="F176" s="449">
        <f t="shared" si="19"/>
        <v>-2.8364849133641387E-2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1235371</v>
      </c>
      <c r="D179" s="448">
        <f>LN_IE1+LN_IE14</f>
        <v>1503318</v>
      </c>
      <c r="E179" s="448">
        <f>D179-C179</f>
        <v>267947</v>
      </c>
      <c r="F179" s="449">
        <f>IF(C179=0,0,E179/C179)</f>
        <v>0.21689597699800303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156233</v>
      </c>
      <c r="D180" s="448">
        <f>LN_IE15+LN_IE2</f>
        <v>257459</v>
      </c>
      <c r="E180" s="448">
        <f>D180-C180</f>
        <v>101226</v>
      </c>
      <c r="F180" s="449">
        <f>IF(C180=0,0,E180/C180)</f>
        <v>0.6479168933579974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1079138</v>
      </c>
      <c r="D181" s="448">
        <f>LN_IE23-LN_IE24</f>
        <v>1245859</v>
      </c>
      <c r="E181" s="448">
        <f>D181-C181</f>
        <v>166721</v>
      </c>
      <c r="F181" s="449">
        <f>IF(C181=0,0,E181/C181)</f>
        <v>0.15449460587987821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265610.72864956828</v>
      </c>
      <c r="D183" s="448">
        <f>LN_IE10+LN_IE22</f>
        <v>213923.40324405354</v>
      </c>
      <c r="E183" s="441">
        <f>D183-C183</f>
        <v>-51687.325405514741</v>
      </c>
      <c r="F183" s="449">
        <f>IF(C183=0,0,E183/C183)</f>
        <v>-0.19459803325078809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75009576</v>
      </c>
      <c r="D188" s="448">
        <f>LN_ID1+LN_IE1</f>
        <v>75670736</v>
      </c>
      <c r="E188" s="448">
        <f t="shared" ref="E188:E200" si="20">D188-C188</f>
        <v>661160</v>
      </c>
      <c r="F188" s="449">
        <f t="shared" ref="F188:F200" si="21">IF(C188=0,0,E188/C188)</f>
        <v>8.8143412515756647E-3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15613206</v>
      </c>
      <c r="D189" s="448">
        <f>LN_1D2+LN_IE2</f>
        <v>18445714</v>
      </c>
      <c r="E189" s="448">
        <f t="shared" si="20"/>
        <v>2832508</v>
      </c>
      <c r="F189" s="449">
        <f t="shared" si="21"/>
        <v>0.18141744879302815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0.20814950347139677</v>
      </c>
      <c r="D190" s="453">
        <f>IF(LN_IF1=0,0,LN_IF2/LN_IF1)</f>
        <v>0.24376284644568541</v>
      </c>
      <c r="E190" s="454">
        <f t="shared" si="20"/>
        <v>3.5613342974288642E-2</v>
      </c>
      <c r="F190" s="449">
        <f t="shared" si="21"/>
        <v>0.17109501766927113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2803</v>
      </c>
      <c r="D191" s="456">
        <f>LN_ID4+LN_IE4</f>
        <v>2698</v>
      </c>
      <c r="E191" s="456">
        <f t="shared" si="20"/>
        <v>-105</v>
      </c>
      <c r="F191" s="449">
        <f t="shared" si="21"/>
        <v>-3.745986443096682E-2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0.95943041027470577</v>
      </c>
      <c r="D192" s="459">
        <f>IF((LN_ID4+LN_IE4)=0,0,(LN_ID6+LN_IE6)/(LN_ID4+LN_IE4))</f>
        <v>0.95825070422535208</v>
      </c>
      <c r="E192" s="460">
        <f t="shared" si="20"/>
        <v>-1.1797060493536904E-3</v>
      </c>
      <c r="F192" s="449">
        <f t="shared" si="21"/>
        <v>-1.229590011656932E-3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2689.2834400000002</v>
      </c>
      <c r="D193" s="463">
        <f>LN_IF4*LN_IF5</f>
        <v>2585.3604</v>
      </c>
      <c r="E193" s="463">
        <f t="shared" si="20"/>
        <v>-103.92304000000013</v>
      </c>
      <c r="F193" s="449">
        <f t="shared" si="21"/>
        <v>-3.8643394167481325E-2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5805.7123201561826</v>
      </c>
      <c r="D194" s="465">
        <f>IF(LN_IF6=0,0,LN_IF2/LN_IF6)</f>
        <v>7134.6780123962599</v>
      </c>
      <c r="E194" s="465">
        <f t="shared" si="20"/>
        <v>1328.9656922400773</v>
      </c>
      <c r="F194" s="449">
        <f t="shared" si="21"/>
        <v>0.22890656976340262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8503.9066863888111</v>
      </c>
      <c r="D195" s="465">
        <f>LN_IB7-LN_IF7</f>
        <v>6776.462170587014</v>
      </c>
      <c r="E195" s="465">
        <f t="shared" si="20"/>
        <v>-1727.444515801797</v>
      </c>
      <c r="F195" s="449">
        <f t="shared" si="21"/>
        <v>-0.20313540346893874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3613.3255736711908</v>
      </c>
      <c r="D196" s="465">
        <f>LN_IA7-LN_IF7</f>
        <v>1581.7049503271592</v>
      </c>
      <c r="E196" s="465">
        <f t="shared" si="20"/>
        <v>-2031.6206233440316</v>
      </c>
      <c r="F196" s="449">
        <f t="shared" si="21"/>
        <v>-0.56225783752995051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9717256.6286024339</v>
      </c>
      <c r="D197" s="479">
        <f>LN_IF9*LN_IF6</f>
        <v>4089277.3430598043</v>
      </c>
      <c r="E197" s="479">
        <f t="shared" si="20"/>
        <v>-5627979.2855426297</v>
      </c>
      <c r="F197" s="449">
        <f t="shared" si="21"/>
        <v>-0.57917368045800632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11027</v>
      </c>
      <c r="D198" s="456">
        <f>LN_ID11+LN_IE11</f>
        <v>11012</v>
      </c>
      <c r="E198" s="456">
        <f t="shared" si="20"/>
        <v>-15</v>
      </c>
      <c r="F198" s="449">
        <f t="shared" si="21"/>
        <v>-1.3602974517094404E-3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1415.9069556543031</v>
      </c>
      <c r="D199" s="519">
        <f>IF(LN_IF11=0,0,LN_IF2/LN_IF11)</f>
        <v>1675.0557573556121</v>
      </c>
      <c r="E199" s="519">
        <f t="shared" si="20"/>
        <v>259.14880170130891</v>
      </c>
      <c r="F199" s="449">
        <f t="shared" si="21"/>
        <v>0.18302671702149662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3.9339992864787727</v>
      </c>
      <c r="D200" s="466">
        <f>IF(LN_IF4=0,0,LN_IF11/LN_IF4)</f>
        <v>4.0815418828762047</v>
      </c>
      <c r="E200" s="466">
        <f t="shared" si="20"/>
        <v>0.14754259639743195</v>
      </c>
      <c r="F200" s="449">
        <f t="shared" si="21"/>
        <v>3.7504479704543549E-2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70109135</v>
      </c>
      <c r="D203" s="448">
        <f>LN_ID14+LN_IE14</f>
        <v>74798439</v>
      </c>
      <c r="E203" s="448">
        <f t="shared" ref="E203:E211" si="22">D203-C203</f>
        <v>4689304</v>
      </c>
      <c r="F203" s="449">
        <f t="shared" ref="F203:F211" si="23">IF(C203=0,0,E203/C203)</f>
        <v>6.688577743827534E-2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17567940</v>
      </c>
      <c r="D204" s="448">
        <f>LN_ID15+LN_IE15</f>
        <v>19222592</v>
      </c>
      <c r="E204" s="448">
        <f t="shared" si="22"/>
        <v>1654652</v>
      </c>
      <c r="F204" s="449">
        <f t="shared" si="23"/>
        <v>9.4185886336132757E-2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0.25057989946673853</v>
      </c>
      <c r="D205" s="453">
        <f>IF(LN_IF14=0,0,LN_IF15/LN_IF14)</f>
        <v>0.25699188722374272</v>
      </c>
      <c r="E205" s="454">
        <f t="shared" si="22"/>
        <v>6.4119877570041894E-3</v>
      </c>
      <c r="F205" s="449">
        <f t="shared" si="23"/>
        <v>2.5588595775836775E-2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0.93466912811238922</v>
      </c>
      <c r="D206" s="453">
        <f>IF(LN_IF1=0,0,LN_IF14/LN_IF1)</f>
        <v>0.9884724657627223</v>
      </c>
      <c r="E206" s="454">
        <f t="shared" si="22"/>
        <v>5.3803337650333072E-2</v>
      </c>
      <c r="F206" s="449">
        <f t="shared" si="23"/>
        <v>5.7564047032334947E-2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2619.7523735778718</v>
      </c>
      <c r="D207" s="463">
        <f>LN_ID18+LN_IE18</f>
        <v>2667.3211815495038</v>
      </c>
      <c r="E207" s="463">
        <f t="shared" si="22"/>
        <v>47.568807971631941</v>
      </c>
      <c r="F207" s="449">
        <f t="shared" si="23"/>
        <v>1.8157749736730209E-2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6705.9544166027245</v>
      </c>
      <c r="D208" s="465">
        <f>IF(LN_IF18=0,0,LN_IF15/LN_IF18)</f>
        <v>7206.7031645709749</v>
      </c>
      <c r="E208" s="465">
        <f t="shared" si="22"/>
        <v>500.74874796825043</v>
      </c>
      <c r="F208" s="449">
        <f t="shared" si="23"/>
        <v>7.467225645442617E-2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6822.3528371269513</v>
      </c>
      <c r="D209" s="465">
        <f>LN_IB18-LN_IF19</f>
        <v>7411.2081826168023</v>
      </c>
      <c r="E209" s="465">
        <f t="shared" si="22"/>
        <v>588.85534548985106</v>
      </c>
      <c r="F209" s="449">
        <f t="shared" si="23"/>
        <v>8.6312648956724358E-2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2576.5309923721943</v>
      </c>
      <c r="D210" s="465">
        <f>LN_IA16-LN_IF19</f>
        <v>1216.7083379556161</v>
      </c>
      <c r="E210" s="465">
        <f t="shared" si="22"/>
        <v>-1359.8226544165782</v>
      </c>
      <c r="F210" s="449">
        <f t="shared" si="23"/>
        <v>-0.52777267513657922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6749873.1828640038</v>
      </c>
      <c r="D211" s="441">
        <f>LN_IF21*LN_IF18</f>
        <v>3245351.9215969071</v>
      </c>
      <c r="E211" s="441">
        <f t="shared" si="22"/>
        <v>-3504521.2612670967</v>
      </c>
      <c r="F211" s="449">
        <f t="shared" si="23"/>
        <v>-0.51919808955286351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145118711</v>
      </c>
      <c r="D214" s="448">
        <f>LN_IF1+LN_IF14</f>
        <v>150469175</v>
      </c>
      <c r="E214" s="448">
        <f>D214-C214</f>
        <v>5350464</v>
      </c>
      <c r="F214" s="449">
        <f>IF(C214=0,0,E214/C214)</f>
        <v>3.6869566736986797E-2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33181146</v>
      </c>
      <c r="D215" s="448">
        <f>LN_IF2+LN_IF15</f>
        <v>37668306</v>
      </c>
      <c r="E215" s="448">
        <f>D215-C215</f>
        <v>4487160</v>
      </c>
      <c r="F215" s="449">
        <f>IF(C215=0,0,E215/C215)</f>
        <v>0.13523221892336088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111937565</v>
      </c>
      <c r="D216" s="448">
        <f>LN_IF23-LN_IF24</f>
        <v>112800869</v>
      </c>
      <c r="E216" s="448">
        <f>D216-C216</f>
        <v>863304</v>
      </c>
      <c r="F216" s="449">
        <f>IF(C216=0,0,E216/C216)</f>
        <v>7.7123707309516695E-3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477701</v>
      </c>
      <c r="D221" s="448">
        <v>366203</v>
      </c>
      <c r="E221" s="448">
        <f t="shared" ref="E221:E230" si="24">D221-C221</f>
        <v>-111498</v>
      </c>
      <c r="F221" s="449">
        <f t="shared" ref="F221:F230" si="25">IF(C221=0,0,E221/C221)</f>
        <v>-0.23340541468408063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166560</v>
      </c>
      <c r="D222" s="448">
        <v>108891</v>
      </c>
      <c r="E222" s="448">
        <f t="shared" si="24"/>
        <v>-57669</v>
      </c>
      <c r="F222" s="449">
        <f t="shared" si="25"/>
        <v>-0.34623559077809796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0.34866998394393145</v>
      </c>
      <c r="D223" s="453">
        <f>IF(LN_IG1=0,0,LN_IG2/LN_IG1)</f>
        <v>0.2973514689939733</v>
      </c>
      <c r="E223" s="454">
        <f t="shared" si="24"/>
        <v>-5.1318514949958149E-2</v>
      </c>
      <c r="F223" s="449">
        <f t="shared" si="25"/>
        <v>-0.14718363298577064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16</v>
      </c>
      <c r="D224" s="456">
        <v>10</v>
      </c>
      <c r="E224" s="456">
        <f t="shared" si="24"/>
        <v>-6</v>
      </c>
      <c r="F224" s="449">
        <f t="shared" si="25"/>
        <v>-0.375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1.5285</v>
      </c>
      <c r="D225" s="459">
        <v>1.3916299999999999</v>
      </c>
      <c r="E225" s="460">
        <f t="shared" si="24"/>
        <v>-0.13687000000000005</v>
      </c>
      <c r="F225" s="449">
        <f t="shared" si="25"/>
        <v>-8.9545305855413843E-2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24.456</v>
      </c>
      <c r="D226" s="463">
        <f>LN_IG3*LN_IG4</f>
        <v>13.9163</v>
      </c>
      <c r="E226" s="463">
        <f t="shared" si="24"/>
        <v>-10.5397</v>
      </c>
      <c r="F226" s="449">
        <f t="shared" si="25"/>
        <v>-0.43096581615963364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6810.5986261040234</v>
      </c>
      <c r="D227" s="465">
        <f>IF(LN_IG5=0,0,LN_IG2/LN_IG5)</f>
        <v>7824.7091540136389</v>
      </c>
      <c r="E227" s="465">
        <f t="shared" si="24"/>
        <v>1014.1105279096155</v>
      </c>
      <c r="F227" s="449">
        <f t="shared" si="25"/>
        <v>0.1489018195878816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51</v>
      </c>
      <c r="D228" s="456">
        <v>51</v>
      </c>
      <c r="E228" s="456">
        <f t="shared" si="24"/>
        <v>0</v>
      </c>
      <c r="F228" s="449">
        <f t="shared" si="25"/>
        <v>0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3265.8823529411766</v>
      </c>
      <c r="D229" s="465">
        <f>IF(LN_IG6=0,0,LN_IG2/LN_IG6)</f>
        <v>2135.1176470588234</v>
      </c>
      <c r="E229" s="465">
        <f t="shared" si="24"/>
        <v>-1130.7647058823532</v>
      </c>
      <c r="F229" s="449">
        <f t="shared" si="25"/>
        <v>-0.34623559077809801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3.1875</v>
      </c>
      <c r="D230" s="466">
        <f>IF(LN_IG3=0,0,LN_IG6/LN_IG3)</f>
        <v>5.0999999999999996</v>
      </c>
      <c r="E230" s="466">
        <f t="shared" si="24"/>
        <v>1.9124999999999996</v>
      </c>
      <c r="F230" s="449">
        <f t="shared" si="25"/>
        <v>0.59999999999999987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325124</v>
      </c>
      <c r="D233" s="448">
        <v>412598</v>
      </c>
      <c r="E233" s="448">
        <f>D233-C233</f>
        <v>87474</v>
      </c>
      <c r="F233" s="449">
        <f>IF(C233=0,0,E233/C233)</f>
        <v>0.26904811702611925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56187</v>
      </c>
      <c r="D234" s="448">
        <v>61717</v>
      </c>
      <c r="E234" s="448">
        <f>D234-C234</f>
        <v>5530</v>
      </c>
      <c r="F234" s="449">
        <f>IF(C234=0,0,E234/C234)</f>
        <v>9.8421343015288237E-2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802825</v>
      </c>
      <c r="D237" s="448">
        <f>LN_IG1+LN_IG9</f>
        <v>778801</v>
      </c>
      <c r="E237" s="448">
        <f>D237-C237</f>
        <v>-24024</v>
      </c>
      <c r="F237" s="449">
        <f>IF(C237=0,0,E237/C237)</f>
        <v>-2.9924329710709057E-2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222747</v>
      </c>
      <c r="D238" s="448">
        <f>LN_IG2+LN_IG10</f>
        <v>170608</v>
      </c>
      <c r="E238" s="448">
        <f>D238-C238</f>
        <v>-52139</v>
      </c>
      <c r="F238" s="449">
        <f>IF(C238=0,0,E238/C238)</f>
        <v>-0.23407273723102892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580078</v>
      </c>
      <c r="D239" s="448">
        <f>LN_IG13-LN_IG14</f>
        <v>608193</v>
      </c>
      <c r="E239" s="448">
        <f>D239-C239</f>
        <v>28115</v>
      </c>
      <c r="F239" s="449">
        <f>IF(C239=0,0,E239/C239)</f>
        <v>4.8467619871810343E-2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16843048</v>
      </c>
      <c r="D243" s="448">
        <v>15792359</v>
      </c>
      <c r="E243" s="441">
        <f>D243-C243</f>
        <v>-1050689</v>
      </c>
      <c r="F243" s="503">
        <f>IF(C243=0,0,E243/C243)</f>
        <v>-6.23811675891442E-2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338981125</v>
      </c>
      <c r="D244" s="448">
        <v>311061228</v>
      </c>
      <c r="E244" s="441">
        <f>D244-C244</f>
        <v>-27919897</v>
      </c>
      <c r="F244" s="503">
        <f>IF(C244=0,0,E244/C244)</f>
        <v>-8.236416408140719E-2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18272000</v>
      </c>
      <c r="D248" s="441">
        <v>16801601</v>
      </c>
      <c r="E248" s="441">
        <f>D248-C248</f>
        <v>-1470399</v>
      </c>
      <c r="F248" s="449">
        <f>IF(C248=0,0,E248/C248)</f>
        <v>-8.047279991243432E-2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17836044</v>
      </c>
      <c r="D249" s="441">
        <v>24556938</v>
      </c>
      <c r="E249" s="441">
        <f>D249-C249</f>
        <v>6720894</v>
      </c>
      <c r="F249" s="449">
        <f>IF(C249=0,0,E249/C249)</f>
        <v>0.37681528482437027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36108044</v>
      </c>
      <c r="D250" s="441">
        <f>LN_IH4+LN_IH5</f>
        <v>41358539</v>
      </c>
      <c r="E250" s="441">
        <f>D250-C250</f>
        <v>5250495</v>
      </c>
      <c r="F250" s="449">
        <f>IF(C250=0,0,E250/C250)</f>
        <v>0.1454106735884115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12667408.903983355</v>
      </c>
      <c r="D251" s="441">
        <f>LN_IH6*LN_III10</f>
        <v>14260562.892730514</v>
      </c>
      <c r="E251" s="441">
        <f>D251-C251</f>
        <v>1593153.988747159</v>
      </c>
      <c r="F251" s="449">
        <f>IF(C251=0,0,E251/C251)</f>
        <v>0.12576794519092066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145118711</v>
      </c>
      <c r="D254" s="441">
        <f>LN_IF23</f>
        <v>150469175</v>
      </c>
      <c r="E254" s="441">
        <f>D254-C254</f>
        <v>5350464</v>
      </c>
      <c r="F254" s="449">
        <f>IF(C254=0,0,E254/C254)</f>
        <v>3.6869566736986797E-2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33181146</v>
      </c>
      <c r="D255" s="441">
        <f>LN_IF24</f>
        <v>37668306</v>
      </c>
      <c r="E255" s="441">
        <f>D255-C255</f>
        <v>4487160</v>
      </c>
      <c r="F255" s="449">
        <f>IF(C255=0,0,E255/C255)</f>
        <v>0.13523221892336088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50910485.537682049</v>
      </c>
      <c r="D256" s="441">
        <f>LN_IH8*LN_III10</f>
        <v>51882275.955269448</v>
      </c>
      <c r="E256" s="441">
        <f>D256-C256</f>
        <v>971790.41758739948</v>
      </c>
      <c r="F256" s="449">
        <f>IF(C256=0,0,E256/C256)</f>
        <v>1.9088217433481682E-2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17729339.537682049</v>
      </c>
      <c r="D257" s="441">
        <f>LN_IH10-LN_IH9</f>
        <v>14213969.955269448</v>
      </c>
      <c r="E257" s="441">
        <f>D257-C257</f>
        <v>-3515369.5824126005</v>
      </c>
      <c r="F257" s="449">
        <f>IF(C257=0,0,E257/C257)</f>
        <v>-0.19827978221867837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451063513</v>
      </c>
      <c r="D261" s="448">
        <f>LN_IA1+LN_IB1+LN_IF1+LN_IG1</f>
        <v>453417066</v>
      </c>
      <c r="E261" s="448">
        <f t="shared" ref="E261:E274" si="26">D261-C261</f>
        <v>2353553</v>
      </c>
      <c r="F261" s="503">
        <f t="shared" ref="F261:F274" si="27">IF(C261=0,0,E261/C261)</f>
        <v>5.2177862588499817E-3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163437226</v>
      </c>
      <c r="D262" s="448">
        <f>+LN_IA2+LN_IB2+LN_IF2+LN_IG2</f>
        <v>159368731</v>
      </c>
      <c r="E262" s="448">
        <f t="shared" si="26"/>
        <v>-4068495</v>
      </c>
      <c r="F262" s="503">
        <f t="shared" si="27"/>
        <v>-2.4893318979851017E-2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0.36233750079448346</v>
      </c>
      <c r="D263" s="453">
        <f>IF(LN_IIA1=0,0,LN_IIA2/LN_IIA1)</f>
        <v>0.35148375072410704</v>
      </c>
      <c r="E263" s="454">
        <f t="shared" si="26"/>
        <v>-1.0853750070376422E-2</v>
      </c>
      <c r="F263" s="458">
        <f t="shared" si="27"/>
        <v>-2.995480745597081E-2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13045</v>
      </c>
      <c r="D264" s="456">
        <f>LN_IA4+LN_IB4+LN_IF4+LN_IG3</f>
        <v>13110</v>
      </c>
      <c r="E264" s="456">
        <f t="shared" si="26"/>
        <v>65</v>
      </c>
      <c r="F264" s="503">
        <f t="shared" si="27"/>
        <v>4.9827520122652357E-3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1.1997942384055194</v>
      </c>
      <c r="D265" s="525">
        <f>IF(LN_IIA4=0,0,LN_IIA6/LN_IIA4)</f>
        <v>1.1999178382913807</v>
      </c>
      <c r="E265" s="525">
        <f t="shared" si="26"/>
        <v>1.2359988586130299E-4</v>
      </c>
      <c r="F265" s="503">
        <f t="shared" si="27"/>
        <v>1.0301756910048385E-4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15651.315840000001</v>
      </c>
      <c r="D266" s="463">
        <f>LN_IA6+LN_IB6+LN_IF6+LN_IG5</f>
        <v>15730.922860000001</v>
      </c>
      <c r="E266" s="463">
        <f t="shared" si="26"/>
        <v>79.607019999999466</v>
      </c>
      <c r="F266" s="503">
        <f t="shared" si="27"/>
        <v>5.0862828923653909E-3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462331270</v>
      </c>
      <c r="D267" s="448">
        <f>LN_IA11+LN_IB13+LN_IF14+LN_IG9</f>
        <v>446848433</v>
      </c>
      <c r="E267" s="448">
        <f t="shared" si="26"/>
        <v>-15482837</v>
      </c>
      <c r="F267" s="503">
        <f t="shared" si="27"/>
        <v>-3.3488621697597913E-2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1.0249804222138446</v>
      </c>
      <c r="D268" s="453">
        <f>IF(LN_IIA1=0,0,LN_IIA7/LN_IIA1)</f>
        <v>0.98551304418700469</v>
      </c>
      <c r="E268" s="454">
        <f t="shared" si="26"/>
        <v>-3.9467378026839861E-2</v>
      </c>
      <c r="F268" s="458">
        <f t="shared" si="27"/>
        <v>-3.8505494516270548E-2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172458813</v>
      </c>
      <c r="D269" s="448">
        <f>LN_IA12+LN_IB14+LN_IF15+LN_IG10</f>
        <v>169138142</v>
      </c>
      <c r="E269" s="448">
        <f t="shared" si="26"/>
        <v>-3320671</v>
      </c>
      <c r="F269" s="503">
        <f t="shared" si="27"/>
        <v>-1.9254864058469427E-2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0.37302000576339989</v>
      </c>
      <c r="D270" s="453">
        <f>IF(LN_IIA7=0,0,LN_IIA9/LN_IIA7)</f>
        <v>0.37851344999569464</v>
      </c>
      <c r="E270" s="454">
        <f t="shared" si="26"/>
        <v>5.493444232294753E-3</v>
      </c>
      <c r="F270" s="458">
        <f t="shared" si="27"/>
        <v>1.4726942650306937E-2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913394783</v>
      </c>
      <c r="D271" s="441">
        <f>LN_IIA1+LN_IIA7</f>
        <v>900265499</v>
      </c>
      <c r="E271" s="441">
        <f t="shared" si="26"/>
        <v>-13129284</v>
      </c>
      <c r="F271" s="503">
        <f t="shared" si="27"/>
        <v>-1.4374161364133825E-2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335896039</v>
      </c>
      <c r="D272" s="441">
        <f>LN_IIA2+LN_IIA9</f>
        <v>328506873</v>
      </c>
      <c r="E272" s="441">
        <f t="shared" si="26"/>
        <v>-7389166</v>
      </c>
      <c r="F272" s="503">
        <f t="shared" si="27"/>
        <v>-2.1998371942695043E-2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0.36774464366521348</v>
      </c>
      <c r="D273" s="453">
        <f>IF(LN_IIA11=0,0,LN_IIA12/LN_IIA11)</f>
        <v>0.36489999157459657</v>
      </c>
      <c r="E273" s="454">
        <f t="shared" si="26"/>
        <v>-2.8446520906169059E-3</v>
      </c>
      <c r="F273" s="458">
        <f t="shared" si="27"/>
        <v>-7.7354004731789204E-3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59611</v>
      </c>
      <c r="D274" s="508">
        <f>LN_IA8+LN_IB10+LN_IF11+LN_IG6</f>
        <v>59071</v>
      </c>
      <c r="E274" s="528">
        <f t="shared" si="26"/>
        <v>-540</v>
      </c>
      <c r="F274" s="458">
        <f t="shared" si="27"/>
        <v>-9.0587307711663956E-3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318634218</v>
      </c>
      <c r="D277" s="448">
        <f>LN_IA1+LN_IF1+LN_IG1</f>
        <v>318400638</v>
      </c>
      <c r="E277" s="448">
        <f t="shared" ref="E277:E291" si="28">D277-C277</f>
        <v>-233580</v>
      </c>
      <c r="F277" s="503">
        <f t="shared" ref="F277:F291" si="29">IF(C277=0,0,E277/C277)</f>
        <v>-7.3306627726969363E-4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87953628</v>
      </c>
      <c r="D278" s="448">
        <f>LN_IA2+LN_IF2+LN_IG2</f>
        <v>88795734</v>
      </c>
      <c r="E278" s="448">
        <f t="shared" si="28"/>
        <v>842106</v>
      </c>
      <c r="F278" s="503">
        <f t="shared" si="29"/>
        <v>9.5744316539165385E-3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0.2760332162442139</v>
      </c>
      <c r="D279" s="453">
        <f>IF(D277=0,0,LN_IIB2/D277)</f>
        <v>0.27888051530851515</v>
      </c>
      <c r="E279" s="454">
        <f t="shared" si="28"/>
        <v>2.8472990643012563E-3</v>
      </c>
      <c r="F279" s="458">
        <f t="shared" si="29"/>
        <v>1.0315059553492923E-2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8138</v>
      </c>
      <c r="D280" s="456">
        <f>LN_IA4+LN_IF4+LN_IG3</f>
        <v>8328</v>
      </c>
      <c r="E280" s="456">
        <f t="shared" si="28"/>
        <v>190</v>
      </c>
      <c r="F280" s="503">
        <f t="shared" si="29"/>
        <v>2.334725976898501E-2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1.2750418825264191</v>
      </c>
      <c r="D281" s="525">
        <f>IF(LN_IIB4=0,0,LN_IIB6/LN_IIB4)</f>
        <v>1.279754406820365</v>
      </c>
      <c r="E281" s="525">
        <f t="shared" si="28"/>
        <v>4.7125242939458634E-3</v>
      </c>
      <c r="F281" s="503">
        <f t="shared" si="29"/>
        <v>3.6959760761805555E-3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10376.29084</v>
      </c>
      <c r="D282" s="463">
        <f>LN_IA6+LN_IF6+LN_IG5</f>
        <v>10657.7947</v>
      </c>
      <c r="E282" s="463">
        <f t="shared" si="28"/>
        <v>281.50386000000071</v>
      </c>
      <c r="F282" s="503">
        <f t="shared" si="29"/>
        <v>2.7129526758716098E-2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209975813</v>
      </c>
      <c r="D283" s="448">
        <f>LN_IA11+LN_IF14+LN_IG9</f>
        <v>207204482</v>
      </c>
      <c r="E283" s="448">
        <f t="shared" si="28"/>
        <v>-2771331</v>
      </c>
      <c r="F283" s="503">
        <f t="shared" si="29"/>
        <v>-1.3198334419593366E-2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0.65898701752113764</v>
      </c>
      <c r="D284" s="453">
        <f>IF(D277=0,0,LN_IIB7/D277)</f>
        <v>0.65076654149166624</v>
      </c>
      <c r="E284" s="454">
        <f t="shared" si="28"/>
        <v>-8.2204760294714019E-3</v>
      </c>
      <c r="F284" s="458">
        <f t="shared" si="29"/>
        <v>-1.2474412713612711E-2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45959505</v>
      </c>
      <c r="D285" s="448">
        <f>LN_IA12+LN_IF15+LN_IG10</f>
        <v>45065865</v>
      </c>
      <c r="E285" s="448">
        <f t="shared" si="28"/>
        <v>-893640</v>
      </c>
      <c r="F285" s="503">
        <f t="shared" si="29"/>
        <v>-1.9444073647007294E-2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0.21887999547833636</v>
      </c>
      <c r="D286" s="453">
        <f>IF(LN_IIB7=0,0,LN_IIB9/LN_IIB7)</f>
        <v>0.217494643769337</v>
      </c>
      <c r="E286" s="454">
        <f t="shared" si="28"/>
        <v>-1.3853517089993661E-3</v>
      </c>
      <c r="F286" s="458">
        <f t="shared" si="29"/>
        <v>-6.3292751170423026E-3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528610031</v>
      </c>
      <c r="D287" s="441">
        <f>D277+LN_IIB7</f>
        <v>525605120</v>
      </c>
      <c r="E287" s="441">
        <f t="shared" si="28"/>
        <v>-3004911</v>
      </c>
      <c r="F287" s="503">
        <f t="shared" si="29"/>
        <v>-5.684551604734871E-3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133913133</v>
      </c>
      <c r="D288" s="441">
        <f>LN_IIB2+LN_IIB9</f>
        <v>133861599</v>
      </c>
      <c r="E288" s="441">
        <f t="shared" si="28"/>
        <v>-51534</v>
      </c>
      <c r="F288" s="503">
        <f t="shared" si="29"/>
        <v>-3.848315609194208E-4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0.25333066939094845</v>
      </c>
      <c r="D289" s="453">
        <f>IF(LN_IIB11=0,0,LN_IIB12/LN_IIB11)</f>
        <v>0.25468092662415465</v>
      </c>
      <c r="E289" s="454">
        <f t="shared" si="28"/>
        <v>1.3502572332061979E-3</v>
      </c>
      <c r="F289" s="458">
        <f t="shared" si="29"/>
        <v>5.330018810799554E-3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42455</v>
      </c>
      <c r="D290" s="508">
        <f>LN_IA8+LN_IF11+LN_IG6</f>
        <v>42276</v>
      </c>
      <c r="E290" s="528">
        <f t="shared" si="28"/>
        <v>-179</v>
      </c>
      <c r="F290" s="458">
        <f t="shared" si="29"/>
        <v>-4.2162289482981985E-3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394696898</v>
      </c>
      <c r="D291" s="516">
        <f>LN_IIB11-LN_IIB12</f>
        <v>391743521</v>
      </c>
      <c r="E291" s="441">
        <f t="shared" si="28"/>
        <v>-2953377</v>
      </c>
      <c r="F291" s="503">
        <f t="shared" si="29"/>
        <v>-7.4826455818763488E-3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5.899041173152848</v>
      </c>
      <c r="D294" s="466">
        <f>IF(LN_IA4=0,0,LN_IA8/LN_IA4)</f>
        <v>5.5539145907473308</v>
      </c>
      <c r="E294" s="466">
        <f t="shared" ref="E294:E300" si="30">D294-C294</f>
        <v>-0.34512658240551719</v>
      </c>
      <c r="F294" s="503">
        <f t="shared" ref="F294:F300" si="31">IF(C294=0,0,E294/C294)</f>
        <v>-5.8505538828280142E-2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3.496229875687793</v>
      </c>
      <c r="D295" s="466">
        <f>IF(LN_IB4=0,0,(LN_IB10)/(LN_IB4))</f>
        <v>3.5121288163948137</v>
      </c>
      <c r="E295" s="466">
        <f t="shared" si="30"/>
        <v>1.5898940707020692E-2</v>
      </c>
      <c r="F295" s="503">
        <f t="shared" si="31"/>
        <v>4.5474529056511153E-3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3.0569948186528499</v>
      </c>
      <c r="D296" s="466">
        <f>IF(LN_IC4=0,0,LN_IC11/LN_IC4)</f>
        <v>3.6666666666666665</v>
      </c>
      <c r="E296" s="466">
        <f t="shared" si="30"/>
        <v>0.60967184801381658</v>
      </c>
      <c r="F296" s="503">
        <f t="shared" si="31"/>
        <v>0.19943502824858744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3.9352983465132998</v>
      </c>
      <c r="D297" s="466">
        <f>IF(LN_ID4=0,0,LN_ID11/LN_ID4)</f>
        <v>4.0833644859813081</v>
      </c>
      <c r="E297" s="466">
        <f t="shared" si="30"/>
        <v>0.14806613946800828</v>
      </c>
      <c r="F297" s="503">
        <f t="shared" si="31"/>
        <v>3.7625137011326179E-2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3.7619047619047619</v>
      </c>
      <c r="D298" s="466">
        <f>IF(LN_IE4=0,0,LN_IE11/LN_IE4)</f>
        <v>3.8695652173913042</v>
      </c>
      <c r="E298" s="466">
        <f t="shared" si="30"/>
        <v>0.10766045548654235</v>
      </c>
      <c r="F298" s="503">
        <f t="shared" si="31"/>
        <v>2.8618602091359358E-2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3.1875</v>
      </c>
      <c r="D299" s="466">
        <f>IF(LN_IG3=0,0,LN_IG6/LN_IG3)</f>
        <v>5.0999999999999996</v>
      </c>
      <c r="E299" s="466">
        <f t="shared" si="30"/>
        <v>1.9124999999999996</v>
      </c>
      <c r="F299" s="503">
        <f t="shared" si="31"/>
        <v>0.59999999999999987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4.5696435415868146</v>
      </c>
      <c r="D300" s="466">
        <f>IF(LN_IIA4=0,0,LN_IIA14/LN_IIA4)</f>
        <v>4.505797101449275</v>
      </c>
      <c r="E300" s="466">
        <f t="shared" si="30"/>
        <v>-6.3846440137539595E-2</v>
      </c>
      <c r="F300" s="503">
        <f t="shared" si="31"/>
        <v>-1.3971864447739579E-2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913394783</v>
      </c>
      <c r="D304" s="441">
        <f>LN_IIA11</f>
        <v>900265499</v>
      </c>
      <c r="E304" s="441">
        <f t="shared" ref="E304:E316" si="32">D304-C304</f>
        <v>-13129284</v>
      </c>
      <c r="F304" s="449">
        <f>IF(C304=0,0,E304/C304)</f>
        <v>-1.4374161364133825E-2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394696898</v>
      </c>
      <c r="D305" s="441">
        <f>LN_IIB14</f>
        <v>391743521</v>
      </c>
      <c r="E305" s="441">
        <f t="shared" si="32"/>
        <v>-2953377</v>
      </c>
      <c r="F305" s="449">
        <f>IF(C305=0,0,E305/C305)</f>
        <v>-7.4826455818763488E-3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36108044</v>
      </c>
      <c r="D306" s="441">
        <f>LN_IH6</f>
        <v>41358539</v>
      </c>
      <c r="E306" s="441">
        <f t="shared" si="32"/>
        <v>5250495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150508712</v>
      </c>
      <c r="D307" s="441">
        <f>LN_IB32-LN_IB33</f>
        <v>147175552</v>
      </c>
      <c r="E307" s="441">
        <f t="shared" si="32"/>
        <v>-3333160</v>
      </c>
      <c r="F307" s="449">
        <f t="shared" ref="F307:F316" si="33">IF(C307=0,0,E307/C307)</f>
        <v>-2.2145960560741494E-2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11644353</v>
      </c>
      <c r="D308" s="441">
        <v>9573325</v>
      </c>
      <c r="E308" s="441">
        <f t="shared" si="32"/>
        <v>-2071028</v>
      </c>
      <c r="F308" s="449">
        <f t="shared" si="33"/>
        <v>-0.17785685473465121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592958007</v>
      </c>
      <c r="D309" s="441">
        <f>LN_III2+LN_III3+LN_III4+LN_III5</f>
        <v>589850937</v>
      </c>
      <c r="E309" s="441">
        <f t="shared" si="32"/>
        <v>-3107070</v>
      </c>
      <c r="F309" s="449">
        <f t="shared" si="33"/>
        <v>-5.2399494792554511E-3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320436776</v>
      </c>
      <c r="D310" s="441">
        <f>LN_III1-LN_III6</f>
        <v>310414562</v>
      </c>
      <c r="E310" s="441">
        <f t="shared" si="32"/>
        <v>-10022214</v>
      </c>
      <c r="F310" s="449">
        <f t="shared" si="33"/>
        <v>-3.127672836154112E-2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320436776</v>
      </c>
      <c r="D312" s="441">
        <f>LN_III7+LN_III8</f>
        <v>310414562</v>
      </c>
      <c r="E312" s="441">
        <f t="shared" si="32"/>
        <v>-10022214</v>
      </c>
      <c r="F312" s="449">
        <f t="shared" si="33"/>
        <v>-3.127672836154112E-2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0.35081958202951546</v>
      </c>
      <c r="D313" s="532">
        <f>IF(LN_III1=0,0,LN_III9/LN_III1)</f>
        <v>0.34480335228308023</v>
      </c>
      <c r="E313" s="532">
        <f t="shared" si="32"/>
        <v>-6.016229746435231E-3</v>
      </c>
      <c r="F313" s="449">
        <f t="shared" si="33"/>
        <v>-1.7149070504077702E-2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12667408.903983355</v>
      </c>
      <c r="D314" s="441">
        <f>D313*LN_III5</f>
        <v>14260562.892730514</v>
      </c>
      <c r="E314" s="441">
        <f t="shared" si="32"/>
        <v>1593153.988747159</v>
      </c>
      <c r="F314" s="449">
        <f t="shared" si="33"/>
        <v>0.12576794519092066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17729339.537682049</v>
      </c>
      <c r="D315" s="441">
        <f>D313*LN_IH8-LN_IH9</f>
        <v>14213969.955269448</v>
      </c>
      <c r="E315" s="441">
        <f t="shared" si="32"/>
        <v>-3515369.5824126005</v>
      </c>
      <c r="F315" s="449">
        <f t="shared" si="33"/>
        <v>-0.19827978221867837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30396748.441665404</v>
      </c>
      <c r="D318" s="441">
        <f>D314+D315+D316</f>
        <v>28474532.84799996</v>
      </c>
      <c r="E318" s="441">
        <f>D318-C318</f>
        <v>-1922215.5936654434</v>
      </c>
      <c r="F318" s="449">
        <f>IF(C318=0,0,E318/C318)</f>
        <v>-6.3237539941299312E-2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6589927.8871664414</v>
      </c>
      <c r="D322" s="441">
        <f>LN_ID22</f>
        <v>3089943.4500814439</v>
      </c>
      <c r="E322" s="441">
        <f>LN_IV2-C322</f>
        <v>-3499984.4370849975</v>
      </c>
      <c r="F322" s="449">
        <f>IF(C322=0,0,E322/C322)</f>
        <v>-0.5311111892287993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265610.72864956828</v>
      </c>
      <c r="D323" s="441">
        <f>LN_IE10+LN_IE22</f>
        <v>213923.40324405354</v>
      </c>
      <c r="E323" s="441">
        <f>LN_IV3-C323</f>
        <v>-51687.325405514741</v>
      </c>
      <c r="F323" s="449">
        <f>IF(C323=0,0,E323/C323)</f>
        <v>-0.19459803325078809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9425193.4171741642</v>
      </c>
      <c r="D324" s="441">
        <f>LN_IC10+LN_IC22</f>
        <v>7210646.5785782682</v>
      </c>
      <c r="E324" s="441">
        <f>LN_IV1-C324</f>
        <v>-2214546.838595896</v>
      </c>
      <c r="F324" s="449">
        <f>IF(C324=0,0,E324/C324)</f>
        <v>-0.23496036002408696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16280732.032990173</v>
      </c>
      <c r="D325" s="516">
        <f>LN_IV1+LN_IV2+LN_IV3</f>
        <v>10514513.431903766</v>
      </c>
      <c r="E325" s="441">
        <f>LN_IV4-C325</f>
        <v>-5766218.601086406</v>
      </c>
      <c r="F325" s="449">
        <f>IF(C325=0,0,E325/C325)</f>
        <v>-0.35417440624918656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17735548</v>
      </c>
      <c r="D329" s="518">
        <v>14608950</v>
      </c>
      <c r="E329" s="518">
        <f t="shared" ref="E329:E335" si="34">D329-C329</f>
        <v>-3126598</v>
      </c>
      <c r="F329" s="542">
        <f t="shared" ref="F329:F335" si="35">IF(C329=0,0,E329/C329)</f>
        <v>-0.17628990093793551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-1764125</v>
      </c>
      <c r="D330" s="516">
        <v>-5450326</v>
      </c>
      <c r="E330" s="518">
        <f t="shared" si="34"/>
        <v>-3686201</v>
      </c>
      <c r="F330" s="543">
        <f t="shared" si="35"/>
        <v>2.0895350386168778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334131914</v>
      </c>
      <c r="D331" s="516">
        <v>323056547</v>
      </c>
      <c r="E331" s="518">
        <f t="shared" si="34"/>
        <v>-11075367</v>
      </c>
      <c r="F331" s="542">
        <f t="shared" si="35"/>
        <v>-3.3146690082408593E-2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913394783</v>
      </c>
      <c r="D333" s="516">
        <v>900265500</v>
      </c>
      <c r="E333" s="518">
        <f t="shared" si="34"/>
        <v>-13129283</v>
      </c>
      <c r="F333" s="542">
        <f t="shared" si="35"/>
        <v>-1.4374160269316975E-2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962245</v>
      </c>
      <c r="E334" s="516">
        <f t="shared" si="34"/>
        <v>962245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36108044</v>
      </c>
      <c r="D335" s="516">
        <v>42320784</v>
      </c>
      <c r="E335" s="516">
        <f t="shared" si="34"/>
        <v>6212740</v>
      </c>
      <c r="F335" s="542">
        <f t="shared" si="35"/>
        <v>0.17205972165094294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FILING&amp;RNORWALK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A3" sqref="A3:E3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132429295</v>
      </c>
      <c r="D14" s="589">
        <v>135016428</v>
      </c>
      <c r="E14" s="590">
        <f t="shared" ref="E14:E22" si="0">D14-C14</f>
        <v>2587133</v>
      </c>
    </row>
    <row r="15" spans="1:5" s="421" customFormat="1" x14ac:dyDescent="0.2">
      <c r="A15" s="588">
        <v>2</v>
      </c>
      <c r="B15" s="587" t="s">
        <v>635</v>
      </c>
      <c r="C15" s="589">
        <v>243146941</v>
      </c>
      <c r="D15" s="591">
        <v>242363699</v>
      </c>
      <c r="E15" s="590">
        <f t="shared" si="0"/>
        <v>-783242</v>
      </c>
    </row>
    <row r="16" spans="1:5" s="421" customFormat="1" x14ac:dyDescent="0.2">
      <c r="A16" s="588">
        <v>3</v>
      </c>
      <c r="B16" s="587" t="s">
        <v>777</v>
      </c>
      <c r="C16" s="589">
        <v>75009576</v>
      </c>
      <c r="D16" s="591">
        <v>75670736</v>
      </c>
      <c r="E16" s="590">
        <f t="shared" si="0"/>
        <v>661160</v>
      </c>
    </row>
    <row r="17" spans="1:5" s="421" customFormat="1" x14ac:dyDescent="0.2">
      <c r="A17" s="588">
        <v>4</v>
      </c>
      <c r="B17" s="587" t="s">
        <v>115</v>
      </c>
      <c r="C17" s="589">
        <v>74431040</v>
      </c>
      <c r="D17" s="591">
        <v>75052237</v>
      </c>
      <c r="E17" s="590">
        <f t="shared" si="0"/>
        <v>621197</v>
      </c>
    </row>
    <row r="18" spans="1:5" s="421" customFormat="1" x14ac:dyDescent="0.2">
      <c r="A18" s="588">
        <v>5</v>
      </c>
      <c r="B18" s="587" t="s">
        <v>743</v>
      </c>
      <c r="C18" s="589">
        <v>578536</v>
      </c>
      <c r="D18" s="591">
        <v>618499</v>
      </c>
      <c r="E18" s="590">
        <f t="shared" si="0"/>
        <v>39963</v>
      </c>
    </row>
    <row r="19" spans="1:5" s="421" customFormat="1" x14ac:dyDescent="0.2">
      <c r="A19" s="588">
        <v>6</v>
      </c>
      <c r="B19" s="587" t="s">
        <v>424</v>
      </c>
      <c r="C19" s="589">
        <v>477701</v>
      </c>
      <c r="D19" s="591">
        <v>366203</v>
      </c>
      <c r="E19" s="590">
        <f t="shared" si="0"/>
        <v>-111498</v>
      </c>
    </row>
    <row r="20" spans="1:5" s="421" customFormat="1" x14ac:dyDescent="0.2">
      <c r="A20" s="588">
        <v>7</v>
      </c>
      <c r="B20" s="587" t="s">
        <v>758</v>
      </c>
      <c r="C20" s="589">
        <v>5189210</v>
      </c>
      <c r="D20" s="591">
        <v>7178824</v>
      </c>
      <c r="E20" s="590">
        <f t="shared" si="0"/>
        <v>1989614</v>
      </c>
    </row>
    <row r="21" spans="1:5" s="421" customFormat="1" x14ac:dyDescent="0.2">
      <c r="A21" s="588"/>
      <c r="B21" s="592" t="s">
        <v>778</v>
      </c>
      <c r="C21" s="593">
        <f>SUM(C15+C16+C19)</f>
        <v>318634218</v>
      </c>
      <c r="D21" s="593">
        <f>SUM(D15+D16+D19)</f>
        <v>318400638</v>
      </c>
      <c r="E21" s="593">
        <f t="shared" si="0"/>
        <v>-233580</v>
      </c>
    </row>
    <row r="22" spans="1:5" s="421" customFormat="1" x14ac:dyDescent="0.2">
      <c r="A22" s="588"/>
      <c r="B22" s="592" t="s">
        <v>465</v>
      </c>
      <c r="C22" s="593">
        <f>SUM(C14+C21)</f>
        <v>451063513</v>
      </c>
      <c r="D22" s="593">
        <f>SUM(D14+D21)</f>
        <v>453417066</v>
      </c>
      <c r="E22" s="593">
        <f t="shared" si="0"/>
        <v>2353553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252355457</v>
      </c>
      <c r="D25" s="589">
        <v>239643951</v>
      </c>
      <c r="E25" s="590">
        <f t="shared" ref="E25:E33" si="1">D25-C25</f>
        <v>-12711506</v>
      </c>
    </row>
    <row r="26" spans="1:5" s="421" customFormat="1" x14ac:dyDescent="0.2">
      <c r="A26" s="588">
        <v>2</v>
      </c>
      <c r="B26" s="587" t="s">
        <v>635</v>
      </c>
      <c r="C26" s="589">
        <v>139541554</v>
      </c>
      <c r="D26" s="591">
        <v>131993445</v>
      </c>
      <c r="E26" s="590">
        <f t="shared" si="1"/>
        <v>-7548109</v>
      </c>
    </row>
    <row r="27" spans="1:5" s="421" customFormat="1" x14ac:dyDescent="0.2">
      <c r="A27" s="588">
        <v>3</v>
      </c>
      <c r="B27" s="587" t="s">
        <v>777</v>
      </c>
      <c r="C27" s="589">
        <v>70109135</v>
      </c>
      <c r="D27" s="591">
        <v>74798439</v>
      </c>
      <c r="E27" s="590">
        <f t="shared" si="1"/>
        <v>4689304</v>
      </c>
    </row>
    <row r="28" spans="1:5" s="421" customFormat="1" x14ac:dyDescent="0.2">
      <c r="A28" s="588">
        <v>4</v>
      </c>
      <c r="B28" s="587" t="s">
        <v>115</v>
      </c>
      <c r="C28" s="589">
        <v>69452300</v>
      </c>
      <c r="D28" s="591">
        <v>73913620</v>
      </c>
      <c r="E28" s="590">
        <f t="shared" si="1"/>
        <v>4461320</v>
      </c>
    </row>
    <row r="29" spans="1:5" s="421" customFormat="1" x14ac:dyDescent="0.2">
      <c r="A29" s="588">
        <v>5</v>
      </c>
      <c r="B29" s="587" t="s">
        <v>743</v>
      </c>
      <c r="C29" s="589">
        <v>656835</v>
      </c>
      <c r="D29" s="591">
        <v>884819</v>
      </c>
      <c r="E29" s="590">
        <f t="shared" si="1"/>
        <v>227984</v>
      </c>
    </row>
    <row r="30" spans="1:5" s="421" customFormat="1" x14ac:dyDescent="0.2">
      <c r="A30" s="588">
        <v>6</v>
      </c>
      <c r="B30" s="587" t="s">
        <v>424</v>
      </c>
      <c r="C30" s="589">
        <v>325124</v>
      </c>
      <c r="D30" s="591">
        <v>412598</v>
      </c>
      <c r="E30" s="590">
        <f t="shared" si="1"/>
        <v>87474</v>
      </c>
    </row>
    <row r="31" spans="1:5" s="421" customFormat="1" x14ac:dyDescent="0.2">
      <c r="A31" s="588">
        <v>7</v>
      </c>
      <c r="B31" s="587" t="s">
        <v>758</v>
      </c>
      <c r="C31" s="590">
        <v>29957432</v>
      </c>
      <c r="D31" s="594">
        <v>28397840</v>
      </c>
      <c r="E31" s="590">
        <f t="shared" si="1"/>
        <v>-1559592</v>
      </c>
    </row>
    <row r="32" spans="1:5" s="421" customFormat="1" x14ac:dyDescent="0.2">
      <c r="A32" s="588"/>
      <c r="B32" s="592" t="s">
        <v>780</v>
      </c>
      <c r="C32" s="593">
        <f>SUM(C26+C27+C30)</f>
        <v>209975813</v>
      </c>
      <c r="D32" s="593">
        <f>SUM(D26+D27+D30)</f>
        <v>207204482</v>
      </c>
      <c r="E32" s="593">
        <f t="shared" si="1"/>
        <v>-2771331</v>
      </c>
    </row>
    <row r="33" spans="1:5" s="421" customFormat="1" x14ac:dyDescent="0.2">
      <c r="A33" s="588"/>
      <c r="B33" s="592" t="s">
        <v>467</v>
      </c>
      <c r="C33" s="593">
        <f>SUM(C25+C32)</f>
        <v>462331270</v>
      </c>
      <c r="D33" s="593">
        <f>SUM(D25+D32)</f>
        <v>446848433</v>
      </c>
      <c r="E33" s="593">
        <f t="shared" si="1"/>
        <v>-15482837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384784752</v>
      </c>
      <c r="D36" s="590">
        <f t="shared" si="2"/>
        <v>374660379</v>
      </c>
      <c r="E36" s="590">
        <f t="shared" ref="E36:E44" si="3">D36-C36</f>
        <v>-10124373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382688495</v>
      </c>
      <c r="D37" s="590">
        <f t="shared" si="2"/>
        <v>374357144</v>
      </c>
      <c r="E37" s="590">
        <f t="shared" si="3"/>
        <v>-8331351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145118711</v>
      </c>
      <c r="D38" s="590">
        <f t="shared" si="2"/>
        <v>150469175</v>
      </c>
      <c r="E38" s="590">
        <f t="shared" si="3"/>
        <v>5350464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143883340</v>
      </c>
      <c r="D39" s="590">
        <f t="shared" si="2"/>
        <v>148965857</v>
      </c>
      <c r="E39" s="590">
        <f t="shared" si="3"/>
        <v>5082517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1235371</v>
      </c>
      <c r="D40" s="590">
        <f t="shared" si="2"/>
        <v>1503318</v>
      </c>
      <c r="E40" s="590">
        <f t="shared" si="3"/>
        <v>267947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802825</v>
      </c>
      <c r="D41" s="590">
        <f t="shared" si="2"/>
        <v>778801</v>
      </c>
      <c r="E41" s="590">
        <f t="shared" si="3"/>
        <v>-24024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35146642</v>
      </c>
      <c r="D42" s="590">
        <f t="shared" si="2"/>
        <v>35576664</v>
      </c>
      <c r="E42" s="590">
        <f t="shared" si="3"/>
        <v>430022</v>
      </c>
    </row>
    <row r="43" spans="1:5" s="421" customFormat="1" x14ac:dyDescent="0.2">
      <c r="A43" s="588"/>
      <c r="B43" s="592" t="s">
        <v>788</v>
      </c>
      <c r="C43" s="593">
        <f>SUM(C37+C38+C41)</f>
        <v>528610031</v>
      </c>
      <c r="D43" s="593">
        <f>SUM(D37+D38+D41)</f>
        <v>525605120</v>
      </c>
      <c r="E43" s="593">
        <f t="shared" si="3"/>
        <v>-3004911</v>
      </c>
    </row>
    <row r="44" spans="1:5" s="421" customFormat="1" x14ac:dyDescent="0.2">
      <c r="A44" s="588"/>
      <c r="B44" s="592" t="s">
        <v>725</v>
      </c>
      <c r="C44" s="593">
        <f>SUM(C36+C43)</f>
        <v>913394783</v>
      </c>
      <c r="D44" s="593">
        <f>SUM(D36+D43)</f>
        <v>900265499</v>
      </c>
      <c r="E44" s="593">
        <f t="shared" si="3"/>
        <v>-13129284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75483598</v>
      </c>
      <c r="D47" s="589">
        <v>70572997</v>
      </c>
      <c r="E47" s="590">
        <f t="shared" ref="E47:E55" si="4">D47-C47</f>
        <v>-4910601</v>
      </c>
    </row>
    <row r="48" spans="1:5" s="421" customFormat="1" x14ac:dyDescent="0.2">
      <c r="A48" s="588">
        <v>2</v>
      </c>
      <c r="B48" s="587" t="s">
        <v>635</v>
      </c>
      <c r="C48" s="589">
        <v>72173862</v>
      </c>
      <c r="D48" s="591">
        <v>70241129</v>
      </c>
      <c r="E48" s="590">
        <f t="shared" si="4"/>
        <v>-1932733</v>
      </c>
    </row>
    <row r="49" spans="1:5" s="421" customFormat="1" x14ac:dyDescent="0.2">
      <c r="A49" s="588">
        <v>3</v>
      </c>
      <c r="B49" s="587" t="s">
        <v>777</v>
      </c>
      <c r="C49" s="589">
        <v>15613206</v>
      </c>
      <c r="D49" s="591">
        <v>18445714</v>
      </c>
      <c r="E49" s="590">
        <f t="shared" si="4"/>
        <v>2832508</v>
      </c>
    </row>
    <row r="50" spans="1:5" s="421" customFormat="1" x14ac:dyDescent="0.2">
      <c r="A50" s="588">
        <v>4</v>
      </c>
      <c r="B50" s="587" t="s">
        <v>115</v>
      </c>
      <c r="C50" s="589">
        <v>15518342</v>
      </c>
      <c r="D50" s="591">
        <v>18310007</v>
      </c>
      <c r="E50" s="590">
        <f t="shared" si="4"/>
        <v>2791665</v>
      </c>
    </row>
    <row r="51" spans="1:5" s="421" customFormat="1" x14ac:dyDescent="0.2">
      <c r="A51" s="588">
        <v>5</v>
      </c>
      <c r="B51" s="587" t="s">
        <v>743</v>
      </c>
      <c r="C51" s="589">
        <v>94864</v>
      </c>
      <c r="D51" s="591">
        <v>135707</v>
      </c>
      <c r="E51" s="590">
        <f t="shared" si="4"/>
        <v>40843</v>
      </c>
    </row>
    <row r="52" spans="1:5" s="421" customFormat="1" x14ac:dyDescent="0.2">
      <c r="A52" s="588">
        <v>6</v>
      </c>
      <c r="B52" s="587" t="s">
        <v>424</v>
      </c>
      <c r="C52" s="589">
        <v>166560</v>
      </c>
      <c r="D52" s="591">
        <v>108891</v>
      </c>
      <c r="E52" s="590">
        <f t="shared" si="4"/>
        <v>-57669</v>
      </c>
    </row>
    <row r="53" spans="1:5" s="421" customFormat="1" x14ac:dyDescent="0.2">
      <c r="A53" s="588">
        <v>7</v>
      </c>
      <c r="B53" s="587" t="s">
        <v>758</v>
      </c>
      <c r="C53" s="589">
        <v>458039</v>
      </c>
      <c r="D53" s="591">
        <v>477473</v>
      </c>
      <c r="E53" s="590">
        <f t="shared" si="4"/>
        <v>19434</v>
      </c>
    </row>
    <row r="54" spans="1:5" s="421" customFormat="1" x14ac:dyDescent="0.2">
      <c r="A54" s="588"/>
      <c r="B54" s="592" t="s">
        <v>790</v>
      </c>
      <c r="C54" s="593">
        <f>SUM(C48+C49+C52)</f>
        <v>87953628</v>
      </c>
      <c r="D54" s="593">
        <f>SUM(D48+D49+D52)</f>
        <v>88795734</v>
      </c>
      <c r="E54" s="593">
        <f t="shared" si="4"/>
        <v>842106</v>
      </c>
    </row>
    <row r="55" spans="1:5" s="421" customFormat="1" x14ac:dyDescent="0.2">
      <c r="A55" s="588"/>
      <c r="B55" s="592" t="s">
        <v>466</v>
      </c>
      <c r="C55" s="593">
        <f>SUM(C47+C54)</f>
        <v>163437226</v>
      </c>
      <c r="D55" s="593">
        <f>SUM(D47+D54)</f>
        <v>159368731</v>
      </c>
      <c r="E55" s="593">
        <f t="shared" si="4"/>
        <v>-4068495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126499308</v>
      </c>
      <c r="D58" s="589">
        <v>124072277</v>
      </c>
      <c r="E58" s="590">
        <f t="shared" ref="E58:E66" si="5">D58-C58</f>
        <v>-2427031</v>
      </c>
    </row>
    <row r="59" spans="1:5" s="421" customFormat="1" x14ac:dyDescent="0.2">
      <c r="A59" s="588">
        <v>2</v>
      </c>
      <c r="B59" s="587" t="s">
        <v>635</v>
      </c>
      <c r="C59" s="589">
        <v>28335378</v>
      </c>
      <c r="D59" s="591">
        <v>25781556</v>
      </c>
      <c r="E59" s="590">
        <f t="shared" si="5"/>
        <v>-2553822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17567940</v>
      </c>
      <c r="D60" s="591">
        <f>D61+D62</f>
        <v>19222592</v>
      </c>
      <c r="E60" s="590">
        <f t="shared" si="5"/>
        <v>1654652</v>
      </c>
    </row>
    <row r="61" spans="1:5" s="421" customFormat="1" x14ac:dyDescent="0.2">
      <c r="A61" s="588">
        <v>4</v>
      </c>
      <c r="B61" s="587" t="s">
        <v>115</v>
      </c>
      <c r="C61" s="589">
        <v>17506571</v>
      </c>
      <c r="D61" s="591">
        <v>19100840</v>
      </c>
      <c r="E61" s="590">
        <f t="shared" si="5"/>
        <v>1594269</v>
      </c>
    </row>
    <row r="62" spans="1:5" s="421" customFormat="1" x14ac:dyDescent="0.2">
      <c r="A62" s="588">
        <v>5</v>
      </c>
      <c r="B62" s="587" t="s">
        <v>743</v>
      </c>
      <c r="C62" s="589">
        <v>61369</v>
      </c>
      <c r="D62" s="591">
        <v>121752</v>
      </c>
      <c r="E62" s="590">
        <f t="shared" si="5"/>
        <v>60383</v>
      </c>
    </row>
    <row r="63" spans="1:5" s="421" customFormat="1" x14ac:dyDescent="0.2">
      <c r="A63" s="588">
        <v>6</v>
      </c>
      <c r="B63" s="587" t="s">
        <v>424</v>
      </c>
      <c r="C63" s="589">
        <v>56187</v>
      </c>
      <c r="D63" s="591">
        <v>61717</v>
      </c>
      <c r="E63" s="590">
        <f t="shared" si="5"/>
        <v>5530</v>
      </c>
    </row>
    <row r="64" spans="1:5" s="421" customFormat="1" x14ac:dyDescent="0.2">
      <c r="A64" s="588">
        <v>7</v>
      </c>
      <c r="B64" s="587" t="s">
        <v>758</v>
      </c>
      <c r="C64" s="589">
        <v>2395471</v>
      </c>
      <c r="D64" s="591">
        <v>2259639</v>
      </c>
      <c r="E64" s="590">
        <f t="shared" si="5"/>
        <v>-135832</v>
      </c>
    </row>
    <row r="65" spans="1:5" s="421" customFormat="1" x14ac:dyDescent="0.2">
      <c r="A65" s="588"/>
      <c r="B65" s="592" t="s">
        <v>792</v>
      </c>
      <c r="C65" s="593">
        <f>SUM(C59+C60+C63)</f>
        <v>45959505</v>
      </c>
      <c r="D65" s="593">
        <f>SUM(D59+D60+D63)</f>
        <v>45065865</v>
      </c>
      <c r="E65" s="593">
        <f t="shared" si="5"/>
        <v>-893640</v>
      </c>
    </row>
    <row r="66" spans="1:5" s="421" customFormat="1" x14ac:dyDescent="0.2">
      <c r="A66" s="588"/>
      <c r="B66" s="592" t="s">
        <v>468</v>
      </c>
      <c r="C66" s="593">
        <f>SUM(C58+C65)</f>
        <v>172458813</v>
      </c>
      <c r="D66" s="593">
        <f>SUM(D58+D65)</f>
        <v>169138142</v>
      </c>
      <c r="E66" s="593">
        <f t="shared" si="5"/>
        <v>-3320671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201982906</v>
      </c>
      <c r="D69" s="590">
        <f t="shared" si="6"/>
        <v>194645274</v>
      </c>
      <c r="E69" s="590">
        <f t="shared" ref="E69:E77" si="7">D69-C69</f>
        <v>-7337632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100509240</v>
      </c>
      <c r="D70" s="590">
        <f t="shared" si="6"/>
        <v>96022685</v>
      </c>
      <c r="E70" s="590">
        <f t="shared" si="7"/>
        <v>-4486555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33181146</v>
      </c>
      <c r="D71" s="590">
        <f t="shared" si="6"/>
        <v>37668306</v>
      </c>
      <c r="E71" s="590">
        <f t="shared" si="7"/>
        <v>4487160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33024913</v>
      </c>
      <c r="D72" s="590">
        <f t="shared" si="6"/>
        <v>37410847</v>
      </c>
      <c r="E72" s="590">
        <f t="shared" si="7"/>
        <v>4385934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156233</v>
      </c>
      <c r="D73" s="590">
        <f t="shared" si="6"/>
        <v>257459</v>
      </c>
      <c r="E73" s="590">
        <f t="shared" si="7"/>
        <v>101226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222747</v>
      </c>
      <c r="D74" s="590">
        <f t="shared" si="6"/>
        <v>170608</v>
      </c>
      <c r="E74" s="590">
        <f t="shared" si="7"/>
        <v>-52139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2853510</v>
      </c>
      <c r="D75" s="590">
        <f t="shared" si="6"/>
        <v>2737112</v>
      </c>
      <c r="E75" s="590">
        <f t="shared" si="7"/>
        <v>-116398</v>
      </c>
    </row>
    <row r="76" spans="1:5" s="421" customFormat="1" x14ac:dyDescent="0.2">
      <c r="A76" s="588"/>
      <c r="B76" s="592" t="s">
        <v>793</v>
      </c>
      <c r="C76" s="593">
        <f>SUM(C70+C71+C74)</f>
        <v>133913133</v>
      </c>
      <c r="D76" s="593">
        <f>SUM(D70+D71+D74)</f>
        <v>133861599</v>
      </c>
      <c r="E76" s="593">
        <f t="shared" si="7"/>
        <v>-51534</v>
      </c>
    </row>
    <row r="77" spans="1:5" s="421" customFormat="1" x14ac:dyDescent="0.2">
      <c r="A77" s="588"/>
      <c r="B77" s="592" t="s">
        <v>726</v>
      </c>
      <c r="C77" s="593">
        <f>SUM(C69+C76)</f>
        <v>335896039</v>
      </c>
      <c r="D77" s="593">
        <f>SUM(D69+D76)</f>
        <v>328506873</v>
      </c>
      <c r="E77" s="593">
        <f t="shared" si="7"/>
        <v>-7389166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0.14498582372568686</v>
      </c>
      <c r="D83" s="599">
        <f t="shared" si="8"/>
        <v>0.14997401116667694</v>
      </c>
      <c r="E83" s="599">
        <f t="shared" ref="E83:E91" si="9">D83-C83</f>
        <v>4.9881874409900828E-3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0.26620136826421964</v>
      </c>
      <c r="D84" s="599">
        <f t="shared" si="8"/>
        <v>0.26921358118156652</v>
      </c>
      <c r="E84" s="599">
        <f t="shared" si="9"/>
        <v>3.0122129173468792E-3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8.2121747787560984E-2</v>
      </c>
      <c r="D85" s="599">
        <f t="shared" si="8"/>
        <v>8.4053799778014152E-2</v>
      </c>
      <c r="E85" s="599">
        <f t="shared" si="9"/>
        <v>1.932051990453168E-3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8.1488356825878655E-2</v>
      </c>
      <c r="D86" s="599">
        <f t="shared" si="8"/>
        <v>8.3366781336579904E-2</v>
      </c>
      <c r="E86" s="599">
        <f t="shared" si="9"/>
        <v>1.8784245107012487E-3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6.3339096168233756E-4</v>
      </c>
      <c r="D87" s="599">
        <f t="shared" si="8"/>
        <v>6.8701844143424188E-4</v>
      </c>
      <c r="E87" s="599">
        <f t="shared" si="9"/>
        <v>5.3627479751904321E-5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5.2299510451659758E-4</v>
      </c>
      <c r="D88" s="599">
        <f t="shared" si="8"/>
        <v>4.0677222486785536E-4</v>
      </c>
      <c r="E88" s="599">
        <f t="shared" si="9"/>
        <v>-1.1622287964874222E-4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5.6812345511283698E-3</v>
      </c>
      <c r="D89" s="599">
        <f t="shared" si="8"/>
        <v>7.9741187549385358E-3</v>
      </c>
      <c r="E89" s="599">
        <f t="shared" si="9"/>
        <v>2.292884203810166E-3</v>
      </c>
    </row>
    <row r="90" spans="1:5" s="421" customFormat="1" x14ac:dyDescent="0.2">
      <c r="A90" s="588"/>
      <c r="B90" s="592" t="s">
        <v>796</v>
      </c>
      <c r="C90" s="600">
        <f>SUM(C84+C85+C88)</f>
        <v>0.34884611115629721</v>
      </c>
      <c r="D90" s="600">
        <f>SUM(D84+D85+D88)</f>
        <v>0.3536741531844485</v>
      </c>
      <c r="E90" s="601">
        <f t="shared" si="9"/>
        <v>4.8280420281512915E-3</v>
      </c>
    </row>
    <row r="91" spans="1:5" s="421" customFormat="1" x14ac:dyDescent="0.2">
      <c r="A91" s="588"/>
      <c r="B91" s="592" t="s">
        <v>797</v>
      </c>
      <c r="C91" s="600">
        <f>SUM(C83+C90)</f>
        <v>0.49383193488198407</v>
      </c>
      <c r="D91" s="600">
        <f>SUM(D83+D90)</f>
        <v>0.50364816435112547</v>
      </c>
      <c r="E91" s="601">
        <f t="shared" si="9"/>
        <v>9.816229469141402E-3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0.27628300675328032</v>
      </c>
      <c r="D95" s="599">
        <f t="shared" si="10"/>
        <v>0.26619253016603717</v>
      </c>
      <c r="E95" s="599">
        <f t="shared" ref="E95:E103" si="11">D95-C95</f>
        <v>-1.0090476587243158E-2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0.15277244472722151</v>
      </c>
      <c r="D96" s="599">
        <f t="shared" si="10"/>
        <v>0.14661613173737761</v>
      </c>
      <c r="E96" s="599">
        <f t="shared" si="11"/>
        <v>-6.1563129898438984E-3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7.675666240366516E-2</v>
      </c>
      <c r="D97" s="599">
        <f t="shared" si="10"/>
        <v>8.3084866723299816E-2</v>
      </c>
      <c r="E97" s="599">
        <f t="shared" si="11"/>
        <v>6.328204319634656E-3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7.6037548377370145E-2</v>
      </c>
      <c r="D98" s="599">
        <f t="shared" si="10"/>
        <v>8.210202443845957E-2</v>
      </c>
      <c r="E98" s="599">
        <f t="shared" si="11"/>
        <v>6.0644760610894244E-3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7.1911402629502429E-4</v>
      </c>
      <c r="D99" s="599">
        <f t="shared" si="10"/>
        <v>9.8284228484024128E-4</v>
      </c>
      <c r="E99" s="599">
        <f t="shared" si="11"/>
        <v>2.6372825854521699E-4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3.5595123384890191E-4</v>
      </c>
      <c r="D100" s="599">
        <f t="shared" si="10"/>
        <v>4.5830702215991504E-4</v>
      </c>
      <c r="E100" s="599">
        <f t="shared" si="11"/>
        <v>1.0235578831101314E-4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3.2797901364847185E-2</v>
      </c>
      <c r="D101" s="599">
        <f t="shared" si="10"/>
        <v>3.1543850154808609E-2</v>
      </c>
      <c r="E101" s="599">
        <f t="shared" si="11"/>
        <v>-1.2540512100385759E-3</v>
      </c>
    </row>
    <row r="102" spans="1:5" s="421" customFormat="1" x14ac:dyDescent="0.2">
      <c r="A102" s="588"/>
      <c r="B102" s="592" t="s">
        <v>799</v>
      </c>
      <c r="C102" s="600">
        <f>SUM(C96+C97+C100)</f>
        <v>0.22988505836473558</v>
      </c>
      <c r="D102" s="600">
        <f>SUM(D96+D97+D100)</f>
        <v>0.23015930548283733</v>
      </c>
      <c r="E102" s="601">
        <f t="shared" si="11"/>
        <v>2.7424711810175584E-4</v>
      </c>
    </row>
    <row r="103" spans="1:5" s="421" customFormat="1" x14ac:dyDescent="0.2">
      <c r="A103" s="588"/>
      <c r="B103" s="592" t="s">
        <v>800</v>
      </c>
      <c r="C103" s="600">
        <f>SUM(C95+C102)</f>
        <v>0.50616806511801593</v>
      </c>
      <c r="D103" s="600">
        <f>SUM(D95+D102)</f>
        <v>0.49635183564887453</v>
      </c>
      <c r="E103" s="601">
        <f t="shared" si="11"/>
        <v>-9.816229469141402E-3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0.22472309654118905</v>
      </c>
      <c r="D109" s="599">
        <f t="shared" si="12"/>
        <v>0.21482959049079012</v>
      </c>
      <c r="E109" s="599">
        <f t="shared" ref="E109:E117" si="13">D109-C109</f>
        <v>-9.8935060503989314E-3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0.21486964304452547</v>
      </c>
      <c r="D110" s="599">
        <f t="shared" si="12"/>
        <v>0.21381935896360987</v>
      </c>
      <c r="E110" s="599">
        <f t="shared" si="13"/>
        <v>-1.0502840809155922E-3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4.648225696999065E-2</v>
      </c>
      <c r="D111" s="599">
        <f t="shared" si="12"/>
        <v>5.6150161582768469E-2</v>
      </c>
      <c r="E111" s="599">
        <f t="shared" si="13"/>
        <v>9.6679046127778195E-3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4.6199836253502234E-2</v>
      </c>
      <c r="D112" s="599">
        <f t="shared" si="12"/>
        <v>5.5737059114741867E-2</v>
      </c>
      <c r="E112" s="599">
        <f t="shared" si="13"/>
        <v>9.5372228612396331E-3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2.8242071648841327E-4</v>
      </c>
      <c r="D113" s="599">
        <f t="shared" si="12"/>
        <v>4.1310246802659745E-4</v>
      </c>
      <c r="E113" s="599">
        <f t="shared" si="13"/>
        <v>1.3068175153818417E-4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4.9586771102114722E-4</v>
      </c>
      <c r="D114" s="599">
        <f t="shared" si="12"/>
        <v>3.314725168626837E-4</v>
      </c>
      <c r="E114" s="599">
        <f t="shared" si="13"/>
        <v>-1.6439519415846352E-4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1.3636332281965373E-3</v>
      </c>
      <c r="D115" s="599">
        <f t="shared" si="12"/>
        <v>1.4534642628314203E-3</v>
      </c>
      <c r="E115" s="599">
        <f t="shared" si="13"/>
        <v>8.9831034634882921E-5</v>
      </c>
    </row>
    <row r="116" spans="1:5" s="421" customFormat="1" x14ac:dyDescent="0.2">
      <c r="A116" s="588"/>
      <c r="B116" s="592" t="s">
        <v>796</v>
      </c>
      <c r="C116" s="600">
        <f>SUM(C110+C111+C114)</f>
        <v>0.26184776772553731</v>
      </c>
      <c r="D116" s="600">
        <f>SUM(D110+D111+D114)</f>
        <v>0.27030099306324101</v>
      </c>
      <c r="E116" s="601">
        <f t="shared" si="13"/>
        <v>8.453225337703707E-3</v>
      </c>
    </row>
    <row r="117" spans="1:5" s="421" customFormat="1" x14ac:dyDescent="0.2">
      <c r="A117" s="588"/>
      <c r="B117" s="592" t="s">
        <v>797</v>
      </c>
      <c r="C117" s="600">
        <f>SUM(C109+C116)</f>
        <v>0.48657086426672636</v>
      </c>
      <c r="D117" s="600">
        <f>SUM(D109+D116)</f>
        <v>0.48513058355403116</v>
      </c>
      <c r="E117" s="601">
        <f t="shared" si="13"/>
        <v>-1.4402807126951966E-3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0.37660255946036925</v>
      </c>
      <c r="D121" s="599">
        <f t="shared" si="14"/>
        <v>0.37768548300662191</v>
      </c>
      <c r="E121" s="599">
        <f t="shared" ref="E121:E129" si="15">D121-C121</f>
        <v>1.0829235462526676E-3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8.4357583031814204E-2</v>
      </c>
      <c r="D122" s="599">
        <f t="shared" si="14"/>
        <v>7.8481024657283197E-2</v>
      </c>
      <c r="E122" s="599">
        <f t="shared" si="15"/>
        <v>-5.8765583745310074E-3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5.2301718270634324E-2</v>
      </c>
      <c r="D123" s="599">
        <f t="shared" si="14"/>
        <v>5.8515037522517833E-2</v>
      </c>
      <c r="E123" s="599">
        <f t="shared" si="15"/>
        <v>6.213319251883509E-3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5.2119015907776158E-2</v>
      </c>
      <c r="D124" s="599">
        <f t="shared" si="14"/>
        <v>5.814441513983179E-2</v>
      </c>
      <c r="E124" s="599">
        <f t="shared" si="15"/>
        <v>6.0253992320556324E-3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1.8270236285816994E-4</v>
      </c>
      <c r="D125" s="599">
        <f t="shared" si="14"/>
        <v>3.7062238268603898E-4</v>
      </c>
      <c r="E125" s="599">
        <f t="shared" si="15"/>
        <v>1.8792001982786903E-4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1.6727497045596301E-4</v>
      </c>
      <c r="D126" s="599">
        <f t="shared" si="14"/>
        <v>1.8787125954591519E-4</v>
      </c>
      <c r="E126" s="599">
        <f t="shared" si="15"/>
        <v>2.0596289089952176E-5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7.1315845436331566E-3</v>
      </c>
      <c r="D127" s="599">
        <f t="shared" si="14"/>
        <v>6.8785136194091136E-3</v>
      </c>
      <c r="E127" s="599">
        <f t="shared" si="15"/>
        <v>-2.5307092422404299E-4</v>
      </c>
    </row>
    <row r="128" spans="1:5" s="421" customFormat="1" x14ac:dyDescent="0.2">
      <c r="A128" s="588"/>
      <c r="B128" s="592" t="s">
        <v>799</v>
      </c>
      <c r="C128" s="600">
        <f>SUM(C122+C123+C126)</f>
        <v>0.13682657627290448</v>
      </c>
      <c r="D128" s="600">
        <f>SUM(D122+D123+D126)</f>
        <v>0.13718393343934696</v>
      </c>
      <c r="E128" s="601">
        <f t="shared" si="15"/>
        <v>3.5735716644247351E-4</v>
      </c>
    </row>
    <row r="129" spans="1:5" s="421" customFormat="1" x14ac:dyDescent="0.2">
      <c r="A129" s="588"/>
      <c r="B129" s="592" t="s">
        <v>800</v>
      </c>
      <c r="C129" s="600">
        <f>SUM(C121+C128)</f>
        <v>0.51342913573327376</v>
      </c>
      <c r="D129" s="600">
        <f>SUM(D121+D128)</f>
        <v>0.51486941644596884</v>
      </c>
      <c r="E129" s="601">
        <f t="shared" si="15"/>
        <v>1.4402807126950856E-3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4907</v>
      </c>
      <c r="D137" s="606">
        <v>4782</v>
      </c>
      <c r="E137" s="607">
        <f t="shared" ref="E137:E145" si="16">D137-C137</f>
        <v>-125</v>
      </c>
    </row>
    <row r="138" spans="1:5" s="421" customFormat="1" x14ac:dyDescent="0.2">
      <c r="A138" s="588">
        <v>2</v>
      </c>
      <c r="B138" s="587" t="s">
        <v>635</v>
      </c>
      <c r="C138" s="606">
        <v>5319</v>
      </c>
      <c r="D138" s="606">
        <v>5620</v>
      </c>
      <c r="E138" s="607">
        <f t="shared" si="16"/>
        <v>301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2803</v>
      </c>
      <c r="D139" s="606">
        <f>D140+D141</f>
        <v>2698</v>
      </c>
      <c r="E139" s="607">
        <f t="shared" si="16"/>
        <v>-105</v>
      </c>
    </row>
    <row r="140" spans="1:5" s="421" customFormat="1" x14ac:dyDescent="0.2">
      <c r="A140" s="588">
        <v>4</v>
      </c>
      <c r="B140" s="587" t="s">
        <v>115</v>
      </c>
      <c r="C140" s="606">
        <v>2782</v>
      </c>
      <c r="D140" s="606">
        <v>2675</v>
      </c>
      <c r="E140" s="607">
        <f t="shared" si="16"/>
        <v>-107</v>
      </c>
    </row>
    <row r="141" spans="1:5" s="421" customFormat="1" x14ac:dyDescent="0.2">
      <c r="A141" s="588">
        <v>5</v>
      </c>
      <c r="B141" s="587" t="s">
        <v>743</v>
      </c>
      <c r="C141" s="606">
        <v>21</v>
      </c>
      <c r="D141" s="606">
        <v>23</v>
      </c>
      <c r="E141" s="607">
        <f t="shared" si="16"/>
        <v>2</v>
      </c>
    </row>
    <row r="142" spans="1:5" s="421" customFormat="1" x14ac:dyDescent="0.2">
      <c r="A142" s="588">
        <v>6</v>
      </c>
      <c r="B142" s="587" t="s">
        <v>424</v>
      </c>
      <c r="C142" s="606">
        <v>16</v>
      </c>
      <c r="D142" s="606">
        <v>10</v>
      </c>
      <c r="E142" s="607">
        <f t="shared" si="16"/>
        <v>-6</v>
      </c>
    </row>
    <row r="143" spans="1:5" s="421" customFormat="1" x14ac:dyDescent="0.2">
      <c r="A143" s="588">
        <v>7</v>
      </c>
      <c r="B143" s="587" t="s">
        <v>758</v>
      </c>
      <c r="C143" s="606">
        <v>193</v>
      </c>
      <c r="D143" s="606">
        <v>231</v>
      </c>
      <c r="E143" s="607">
        <f t="shared" si="16"/>
        <v>38</v>
      </c>
    </row>
    <row r="144" spans="1:5" s="421" customFormat="1" x14ac:dyDescent="0.2">
      <c r="A144" s="588"/>
      <c r="B144" s="592" t="s">
        <v>807</v>
      </c>
      <c r="C144" s="608">
        <f>SUM(C138+C139+C142)</f>
        <v>8138</v>
      </c>
      <c r="D144" s="608">
        <f>SUM(D138+D139+D142)</f>
        <v>8328</v>
      </c>
      <c r="E144" s="609">
        <f t="shared" si="16"/>
        <v>190</v>
      </c>
    </row>
    <row r="145" spans="1:5" s="421" customFormat="1" x14ac:dyDescent="0.2">
      <c r="A145" s="588"/>
      <c r="B145" s="592" t="s">
        <v>138</v>
      </c>
      <c r="C145" s="608">
        <f>SUM(C137+C144)</f>
        <v>13045</v>
      </c>
      <c r="D145" s="608">
        <f>SUM(D137+D144)</f>
        <v>13110</v>
      </c>
      <c r="E145" s="609">
        <f t="shared" si="16"/>
        <v>65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17156</v>
      </c>
      <c r="D149" s="610">
        <v>16795</v>
      </c>
      <c r="E149" s="607">
        <f t="shared" ref="E149:E157" si="17">D149-C149</f>
        <v>-361</v>
      </c>
    </row>
    <row r="150" spans="1:5" s="421" customFormat="1" x14ac:dyDescent="0.2">
      <c r="A150" s="588">
        <v>2</v>
      </c>
      <c r="B150" s="587" t="s">
        <v>635</v>
      </c>
      <c r="C150" s="610">
        <v>31377</v>
      </c>
      <c r="D150" s="610">
        <v>31213</v>
      </c>
      <c r="E150" s="607">
        <f t="shared" si="17"/>
        <v>-164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11027</v>
      </c>
      <c r="D151" s="610">
        <f>D152+D153</f>
        <v>11012</v>
      </c>
      <c r="E151" s="607">
        <f t="shared" si="17"/>
        <v>-15</v>
      </c>
    </row>
    <row r="152" spans="1:5" s="421" customFormat="1" x14ac:dyDescent="0.2">
      <c r="A152" s="588">
        <v>4</v>
      </c>
      <c r="B152" s="587" t="s">
        <v>115</v>
      </c>
      <c r="C152" s="610">
        <v>10948</v>
      </c>
      <c r="D152" s="610">
        <v>10923</v>
      </c>
      <c r="E152" s="607">
        <f t="shared" si="17"/>
        <v>-25</v>
      </c>
    </row>
    <row r="153" spans="1:5" s="421" customFormat="1" x14ac:dyDescent="0.2">
      <c r="A153" s="588">
        <v>5</v>
      </c>
      <c r="B153" s="587" t="s">
        <v>743</v>
      </c>
      <c r="C153" s="611">
        <v>79</v>
      </c>
      <c r="D153" s="610">
        <v>89</v>
      </c>
      <c r="E153" s="607">
        <f t="shared" si="17"/>
        <v>10</v>
      </c>
    </row>
    <row r="154" spans="1:5" s="421" customFormat="1" x14ac:dyDescent="0.2">
      <c r="A154" s="588">
        <v>6</v>
      </c>
      <c r="B154" s="587" t="s">
        <v>424</v>
      </c>
      <c r="C154" s="610">
        <v>51</v>
      </c>
      <c r="D154" s="610">
        <v>51</v>
      </c>
      <c r="E154" s="607">
        <f t="shared" si="17"/>
        <v>0</v>
      </c>
    </row>
    <row r="155" spans="1:5" s="421" customFormat="1" x14ac:dyDescent="0.2">
      <c r="A155" s="588">
        <v>7</v>
      </c>
      <c r="B155" s="587" t="s">
        <v>758</v>
      </c>
      <c r="C155" s="610">
        <v>590</v>
      </c>
      <c r="D155" s="610">
        <v>847</v>
      </c>
      <c r="E155" s="607">
        <f t="shared" si="17"/>
        <v>257</v>
      </c>
    </row>
    <row r="156" spans="1:5" s="421" customFormat="1" x14ac:dyDescent="0.2">
      <c r="A156" s="588"/>
      <c r="B156" s="592" t="s">
        <v>808</v>
      </c>
      <c r="C156" s="608">
        <f>SUM(C150+C151+C154)</f>
        <v>42455</v>
      </c>
      <c r="D156" s="608">
        <f>SUM(D150+D151+D154)</f>
        <v>42276</v>
      </c>
      <c r="E156" s="609">
        <f t="shared" si="17"/>
        <v>-179</v>
      </c>
    </row>
    <row r="157" spans="1:5" s="421" customFormat="1" x14ac:dyDescent="0.2">
      <c r="A157" s="588"/>
      <c r="B157" s="592" t="s">
        <v>140</v>
      </c>
      <c r="C157" s="608">
        <f>SUM(C149+C156)</f>
        <v>59611</v>
      </c>
      <c r="D157" s="608">
        <f>SUM(D149+D156)</f>
        <v>59071</v>
      </c>
      <c r="E157" s="609">
        <f t="shared" si="17"/>
        <v>-540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3.496229875687793</v>
      </c>
      <c r="D161" s="612">
        <f t="shared" si="18"/>
        <v>3.5121288163948137</v>
      </c>
      <c r="E161" s="613">
        <f t="shared" ref="E161:E169" si="19">D161-C161</f>
        <v>1.5898940707020692E-2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5.899041173152848</v>
      </c>
      <c r="D162" s="612">
        <f t="shared" si="18"/>
        <v>5.5539145907473308</v>
      </c>
      <c r="E162" s="613">
        <f t="shared" si="19"/>
        <v>-0.34512658240551719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3.9339992864787727</v>
      </c>
      <c r="D163" s="612">
        <f t="shared" si="18"/>
        <v>4.0815418828762047</v>
      </c>
      <c r="E163" s="613">
        <f t="shared" si="19"/>
        <v>0.14754259639743195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3.9352983465132998</v>
      </c>
      <c r="D164" s="612">
        <f t="shared" si="18"/>
        <v>4.0833644859813081</v>
      </c>
      <c r="E164" s="613">
        <f t="shared" si="19"/>
        <v>0.14806613946800828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3.7619047619047619</v>
      </c>
      <c r="D165" s="612">
        <f t="shared" si="18"/>
        <v>3.8695652173913042</v>
      </c>
      <c r="E165" s="613">
        <f t="shared" si="19"/>
        <v>0.10766045548654235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3.1875</v>
      </c>
      <c r="D166" s="612">
        <f t="shared" si="18"/>
        <v>5.0999999999999996</v>
      </c>
      <c r="E166" s="613">
        <f t="shared" si="19"/>
        <v>1.9124999999999996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3.0569948186528499</v>
      </c>
      <c r="D167" s="612">
        <f t="shared" si="18"/>
        <v>3.6666666666666665</v>
      </c>
      <c r="E167" s="613">
        <f t="shared" si="19"/>
        <v>0.60967184801381658</v>
      </c>
    </row>
    <row r="168" spans="1:5" s="421" customFormat="1" x14ac:dyDescent="0.2">
      <c r="A168" s="588"/>
      <c r="B168" s="592" t="s">
        <v>810</v>
      </c>
      <c r="C168" s="614">
        <f t="shared" si="18"/>
        <v>5.2168837552224137</v>
      </c>
      <c r="D168" s="614">
        <f t="shared" si="18"/>
        <v>5.076368876080692</v>
      </c>
      <c r="E168" s="615">
        <f t="shared" si="19"/>
        <v>-0.14051487914172167</v>
      </c>
    </row>
    <row r="169" spans="1:5" s="421" customFormat="1" x14ac:dyDescent="0.2">
      <c r="A169" s="588"/>
      <c r="B169" s="592" t="s">
        <v>744</v>
      </c>
      <c r="C169" s="614">
        <f t="shared" si="18"/>
        <v>4.5696435415868146</v>
      </c>
      <c r="D169" s="614">
        <f t="shared" si="18"/>
        <v>4.505797101449275</v>
      </c>
      <c r="E169" s="615">
        <f t="shared" si="19"/>
        <v>-6.3846440137539595E-2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1.075</v>
      </c>
      <c r="D173" s="617">
        <f t="shared" si="20"/>
        <v>1.06088</v>
      </c>
      <c r="E173" s="618">
        <f t="shared" ref="E173:E181" si="21">D173-C173</f>
        <v>-1.411999999999991E-2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1.4406000000000001</v>
      </c>
      <c r="D174" s="617">
        <f t="shared" si="20"/>
        <v>1.4339</v>
      </c>
      <c r="E174" s="618">
        <f t="shared" si="21"/>
        <v>-6.7000000000001503E-3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0.95943041027470577</v>
      </c>
      <c r="D175" s="617">
        <f t="shared" si="20"/>
        <v>0.95825070422535208</v>
      </c>
      <c r="E175" s="618">
        <f t="shared" si="21"/>
        <v>-1.1797060493536904E-3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0.95902000000000009</v>
      </c>
      <c r="D176" s="617">
        <f t="shared" si="20"/>
        <v>0.95816000000000001</v>
      </c>
      <c r="E176" s="618">
        <f t="shared" si="21"/>
        <v>-8.6000000000008292E-4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1.0138</v>
      </c>
      <c r="D177" s="617">
        <f t="shared" si="20"/>
        <v>0.96879999999999999</v>
      </c>
      <c r="E177" s="618">
        <f t="shared" si="21"/>
        <v>-4.500000000000004E-2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1.5285</v>
      </c>
      <c r="D178" s="617">
        <f t="shared" si="20"/>
        <v>1.3916299999999999</v>
      </c>
      <c r="E178" s="618">
        <f t="shared" si="21"/>
        <v>-0.13687000000000005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1.0650999999999999</v>
      </c>
      <c r="D179" s="617">
        <f t="shared" si="20"/>
        <v>1.11775</v>
      </c>
      <c r="E179" s="618">
        <f t="shared" si="21"/>
        <v>5.2650000000000086E-2</v>
      </c>
    </row>
    <row r="180" spans="1:5" s="421" customFormat="1" x14ac:dyDescent="0.2">
      <c r="A180" s="588"/>
      <c r="B180" s="592" t="s">
        <v>812</v>
      </c>
      <c r="C180" s="619">
        <f t="shared" si="20"/>
        <v>1.2750418825264191</v>
      </c>
      <c r="D180" s="619">
        <f t="shared" si="20"/>
        <v>1.279754406820365</v>
      </c>
      <c r="E180" s="620">
        <f t="shared" si="21"/>
        <v>4.7125242939458634E-3</v>
      </c>
    </row>
    <row r="181" spans="1:5" s="421" customFormat="1" x14ac:dyDescent="0.2">
      <c r="A181" s="588"/>
      <c r="B181" s="592" t="s">
        <v>723</v>
      </c>
      <c r="C181" s="619">
        <f t="shared" si="20"/>
        <v>1.1997942384055194</v>
      </c>
      <c r="D181" s="619">
        <f t="shared" si="20"/>
        <v>1.1999178382913807</v>
      </c>
      <c r="E181" s="620">
        <f t="shared" si="21"/>
        <v>1.2359988586130299E-4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349638109</v>
      </c>
      <c r="D185" s="589">
        <v>339083715</v>
      </c>
      <c r="E185" s="590">
        <f>D185-C185</f>
        <v>-10554394</v>
      </c>
    </row>
    <row r="186" spans="1:5" s="421" customFormat="1" ht="25.5" x14ac:dyDescent="0.2">
      <c r="A186" s="588">
        <v>2</v>
      </c>
      <c r="B186" s="587" t="s">
        <v>815</v>
      </c>
      <c r="C186" s="589">
        <v>199129397</v>
      </c>
      <c r="D186" s="589">
        <v>191908163</v>
      </c>
      <c r="E186" s="590">
        <f>D186-C186</f>
        <v>-7221234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150508712</v>
      </c>
      <c r="D188" s="622">
        <f>+D185-D186</f>
        <v>147175552</v>
      </c>
      <c r="E188" s="590">
        <f t="shared" ref="E188:E197" si="22">D188-C188</f>
        <v>-3333160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0.43046998632520345</v>
      </c>
      <c r="D189" s="623">
        <f>IF(D185=0,0,+D188/D185)</f>
        <v>0.4340389865080958</v>
      </c>
      <c r="E189" s="599">
        <f t="shared" si="22"/>
        <v>3.5690001828923568E-3</v>
      </c>
    </row>
    <row r="190" spans="1:5" s="421" customFormat="1" x14ac:dyDescent="0.2">
      <c r="A190" s="588">
        <v>5</v>
      </c>
      <c r="B190" s="587" t="s">
        <v>762</v>
      </c>
      <c r="C190" s="589">
        <v>17735548</v>
      </c>
      <c r="D190" s="589">
        <v>14608950</v>
      </c>
      <c r="E190" s="622">
        <f t="shared" si="22"/>
        <v>-3126598</v>
      </c>
    </row>
    <row r="191" spans="1:5" s="421" customFormat="1" x14ac:dyDescent="0.2">
      <c r="A191" s="588">
        <v>6</v>
      </c>
      <c r="B191" s="587" t="s">
        <v>748</v>
      </c>
      <c r="C191" s="589">
        <v>11644353</v>
      </c>
      <c r="D191" s="589">
        <v>9573325</v>
      </c>
      <c r="E191" s="622">
        <f t="shared" si="22"/>
        <v>-2071028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18272000</v>
      </c>
      <c r="D193" s="589">
        <v>16801601</v>
      </c>
      <c r="E193" s="622">
        <f t="shared" si="22"/>
        <v>-1470399</v>
      </c>
    </row>
    <row r="194" spans="1:5" s="421" customFormat="1" x14ac:dyDescent="0.2">
      <c r="A194" s="588">
        <v>9</v>
      </c>
      <c r="B194" s="587" t="s">
        <v>818</v>
      </c>
      <c r="C194" s="589">
        <v>17836044</v>
      </c>
      <c r="D194" s="589">
        <v>24556938</v>
      </c>
      <c r="E194" s="622">
        <f t="shared" si="22"/>
        <v>6720894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36108044</v>
      </c>
      <c r="D195" s="589">
        <f>+D193+D194</f>
        <v>41358539</v>
      </c>
      <c r="E195" s="625">
        <f t="shared" si="22"/>
        <v>5250495</v>
      </c>
    </row>
    <row r="196" spans="1:5" s="421" customFormat="1" x14ac:dyDescent="0.2">
      <c r="A196" s="588">
        <v>11</v>
      </c>
      <c r="B196" s="587" t="s">
        <v>820</v>
      </c>
      <c r="C196" s="589">
        <v>16843048</v>
      </c>
      <c r="D196" s="589">
        <v>15792359</v>
      </c>
      <c r="E196" s="622">
        <f t="shared" si="22"/>
        <v>-1050689</v>
      </c>
    </row>
    <row r="197" spans="1:5" s="421" customFormat="1" x14ac:dyDescent="0.2">
      <c r="A197" s="588">
        <v>12</v>
      </c>
      <c r="B197" s="587" t="s">
        <v>710</v>
      </c>
      <c r="C197" s="589">
        <v>338981125</v>
      </c>
      <c r="D197" s="589">
        <v>311061228</v>
      </c>
      <c r="E197" s="622">
        <f t="shared" si="22"/>
        <v>-27919897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5275.0249999999996</v>
      </c>
      <c r="D203" s="629">
        <v>5073.1281600000002</v>
      </c>
      <c r="E203" s="630">
        <f t="shared" ref="E203:E211" si="23">D203-C203</f>
        <v>-201.89683999999943</v>
      </c>
    </row>
    <row r="204" spans="1:5" s="421" customFormat="1" x14ac:dyDescent="0.2">
      <c r="A204" s="588">
        <v>2</v>
      </c>
      <c r="B204" s="587" t="s">
        <v>635</v>
      </c>
      <c r="C204" s="629">
        <v>7662.5514000000003</v>
      </c>
      <c r="D204" s="629">
        <v>8058.518</v>
      </c>
      <c r="E204" s="630">
        <f t="shared" si="23"/>
        <v>395.96659999999974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2689.2834400000002</v>
      </c>
      <c r="D205" s="629">
        <f>D206+D207</f>
        <v>2585.3604</v>
      </c>
      <c r="E205" s="630">
        <f t="shared" si="23"/>
        <v>-103.92304000000013</v>
      </c>
    </row>
    <row r="206" spans="1:5" s="421" customFormat="1" x14ac:dyDescent="0.2">
      <c r="A206" s="588">
        <v>4</v>
      </c>
      <c r="B206" s="587" t="s">
        <v>115</v>
      </c>
      <c r="C206" s="629">
        <v>2667.9936400000001</v>
      </c>
      <c r="D206" s="629">
        <v>2563.078</v>
      </c>
      <c r="E206" s="630">
        <f t="shared" si="23"/>
        <v>-104.91564000000017</v>
      </c>
    </row>
    <row r="207" spans="1:5" s="421" customFormat="1" x14ac:dyDescent="0.2">
      <c r="A207" s="588">
        <v>5</v>
      </c>
      <c r="B207" s="587" t="s">
        <v>743</v>
      </c>
      <c r="C207" s="629">
        <v>21.2898</v>
      </c>
      <c r="D207" s="629">
        <v>22.282399999999999</v>
      </c>
      <c r="E207" s="630">
        <f t="shared" si="23"/>
        <v>0.99259999999999948</v>
      </c>
    </row>
    <row r="208" spans="1:5" s="421" customFormat="1" x14ac:dyDescent="0.2">
      <c r="A208" s="588">
        <v>6</v>
      </c>
      <c r="B208" s="587" t="s">
        <v>424</v>
      </c>
      <c r="C208" s="629">
        <v>24.456</v>
      </c>
      <c r="D208" s="629">
        <v>13.9163</v>
      </c>
      <c r="E208" s="630">
        <f t="shared" si="23"/>
        <v>-10.5397</v>
      </c>
    </row>
    <row r="209" spans="1:5" s="421" customFormat="1" x14ac:dyDescent="0.2">
      <c r="A209" s="588">
        <v>7</v>
      </c>
      <c r="B209" s="587" t="s">
        <v>758</v>
      </c>
      <c r="C209" s="629">
        <v>205.56429999999997</v>
      </c>
      <c r="D209" s="629">
        <v>258.20024999999998</v>
      </c>
      <c r="E209" s="630">
        <f t="shared" si="23"/>
        <v>52.635950000000008</v>
      </c>
    </row>
    <row r="210" spans="1:5" s="421" customFormat="1" x14ac:dyDescent="0.2">
      <c r="A210" s="588"/>
      <c r="B210" s="592" t="s">
        <v>823</v>
      </c>
      <c r="C210" s="631">
        <f>C204+C205+C208</f>
        <v>10376.29084</v>
      </c>
      <c r="D210" s="631">
        <f>D204+D205+D208</f>
        <v>10657.7947</v>
      </c>
      <c r="E210" s="632">
        <f t="shared" si="23"/>
        <v>281.50386000000071</v>
      </c>
    </row>
    <row r="211" spans="1:5" s="421" customFormat="1" x14ac:dyDescent="0.2">
      <c r="A211" s="588"/>
      <c r="B211" s="592" t="s">
        <v>724</v>
      </c>
      <c r="C211" s="631">
        <f>C210+C203</f>
        <v>15651.315839999999</v>
      </c>
      <c r="D211" s="631">
        <f>D210+D203</f>
        <v>15730.922860000001</v>
      </c>
      <c r="E211" s="632">
        <f t="shared" si="23"/>
        <v>79.607020000001285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9350.7122234472372</v>
      </c>
      <c r="D215" s="633">
        <f>IF(D14*D137=0,0,D25/D14*D137)</f>
        <v>8487.6884291591541</v>
      </c>
      <c r="E215" s="633">
        <f t="shared" ref="E215:E223" si="24">D215-C215</f>
        <v>-863.02379428808308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3052.5636994380284</v>
      </c>
      <c r="D216" s="633">
        <f>IF(D15*D138=0,0,D26/D15*D138)</f>
        <v>3060.7024235093886</v>
      </c>
      <c r="E216" s="633">
        <f t="shared" si="24"/>
        <v>8.1387240713602296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2619.7523735778718</v>
      </c>
      <c r="D217" s="633">
        <f>D218+D219</f>
        <v>2667.3211815495038</v>
      </c>
      <c r="E217" s="633">
        <f t="shared" si="24"/>
        <v>47.568807971631941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2595.9102358370915</v>
      </c>
      <c r="D218" s="633">
        <f t="shared" si="25"/>
        <v>2634.4175923763605</v>
      </c>
      <c r="E218" s="633">
        <f t="shared" si="24"/>
        <v>38.50735653926904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23.842137740780178</v>
      </c>
      <c r="D219" s="633">
        <f t="shared" si="25"/>
        <v>32.903589173143367</v>
      </c>
      <c r="E219" s="633">
        <f t="shared" si="24"/>
        <v>9.0614514323631887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10.88962342553187</v>
      </c>
      <c r="D220" s="633">
        <f t="shared" si="25"/>
        <v>11.266920260074331</v>
      </c>
      <c r="E220" s="633">
        <f t="shared" si="24"/>
        <v>0.37729683454246121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1114.1935624112341</v>
      </c>
      <c r="D221" s="633">
        <f t="shared" si="25"/>
        <v>913.78490961750833</v>
      </c>
      <c r="E221" s="633">
        <f t="shared" si="24"/>
        <v>-200.40865279372576</v>
      </c>
    </row>
    <row r="222" spans="1:5" s="421" customFormat="1" x14ac:dyDescent="0.2">
      <c r="A222" s="588"/>
      <c r="B222" s="592" t="s">
        <v>825</v>
      </c>
      <c r="C222" s="634">
        <f>C216+C218+C219+C220</f>
        <v>5683.2056964414323</v>
      </c>
      <c r="D222" s="634">
        <f>D216+D218+D219+D220</f>
        <v>5739.2905253189674</v>
      </c>
      <c r="E222" s="634">
        <f t="shared" si="24"/>
        <v>56.084828877535074</v>
      </c>
    </row>
    <row r="223" spans="1:5" s="421" customFormat="1" x14ac:dyDescent="0.2">
      <c r="A223" s="588"/>
      <c r="B223" s="592" t="s">
        <v>826</v>
      </c>
      <c r="C223" s="634">
        <f>C215+C222</f>
        <v>15033.91791988867</v>
      </c>
      <c r="D223" s="634">
        <f>D215+D222</f>
        <v>14226.978954478122</v>
      </c>
      <c r="E223" s="634">
        <f t="shared" si="24"/>
        <v>-806.93896541054892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14309.619006544994</v>
      </c>
      <c r="D227" s="636">
        <f t="shared" si="26"/>
        <v>13911.140182983274</v>
      </c>
      <c r="E227" s="636">
        <f t="shared" ref="E227:E235" si="27">D227-C227</f>
        <v>-398.47882356171976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9419.0378938273734</v>
      </c>
      <c r="D228" s="636">
        <f t="shared" si="26"/>
        <v>8716.382962723419</v>
      </c>
      <c r="E228" s="636">
        <f t="shared" si="27"/>
        <v>-702.65493110395437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5805.7123201561826</v>
      </c>
      <c r="D229" s="636">
        <f t="shared" si="26"/>
        <v>7134.6780123962599</v>
      </c>
      <c r="E229" s="636">
        <f t="shared" si="27"/>
        <v>1328.9656922400773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5816.4838803738676</v>
      </c>
      <c r="D230" s="636">
        <f t="shared" si="26"/>
        <v>7143.7572325149686</v>
      </c>
      <c r="E230" s="636">
        <f t="shared" si="27"/>
        <v>1327.273352141101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4455.8427040178867</v>
      </c>
      <c r="D231" s="636">
        <f t="shared" si="26"/>
        <v>6090.3224069220551</v>
      </c>
      <c r="E231" s="636">
        <f t="shared" si="27"/>
        <v>1634.4797029041683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6810.5986261040234</v>
      </c>
      <c r="D232" s="636">
        <f t="shared" si="26"/>
        <v>7824.7091540136389</v>
      </c>
      <c r="E232" s="636">
        <f t="shared" si="27"/>
        <v>1014.1105279096155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2228.203048875705</v>
      </c>
      <c r="D233" s="636">
        <f t="shared" si="26"/>
        <v>1849.2352350549622</v>
      </c>
      <c r="E233" s="636">
        <f t="shared" si="27"/>
        <v>-378.96781382074278</v>
      </c>
    </row>
    <row r="234" spans="1:5" x14ac:dyDescent="0.2">
      <c r="A234" s="588"/>
      <c r="B234" s="592" t="s">
        <v>828</v>
      </c>
      <c r="C234" s="637">
        <f t="shared" si="26"/>
        <v>8476.4035006559243</v>
      </c>
      <c r="D234" s="637">
        <f t="shared" si="26"/>
        <v>8331.529786363777</v>
      </c>
      <c r="E234" s="637">
        <f t="shared" si="27"/>
        <v>-144.87371429214727</v>
      </c>
    </row>
    <row r="235" spans="1:5" s="421" customFormat="1" x14ac:dyDescent="0.2">
      <c r="A235" s="588"/>
      <c r="B235" s="592" t="s">
        <v>829</v>
      </c>
      <c r="C235" s="637">
        <f t="shared" si="26"/>
        <v>10442.395238252377</v>
      </c>
      <c r="D235" s="637">
        <f t="shared" si="26"/>
        <v>10130.920634366394</v>
      </c>
      <c r="E235" s="637">
        <f t="shared" si="27"/>
        <v>-311.47460388598302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13528.307253729676</v>
      </c>
      <c r="D239" s="636">
        <f t="shared" si="28"/>
        <v>14617.911347187777</v>
      </c>
      <c r="E239" s="638">
        <f t="shared" ref="E239:E247" si="29">D239-C239</f>
        <v>1089.6040934581015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9282.4854089749188</v>
      </c>
      <c r="D240" s="636">
        <f t="shared" si="28"/>
        <v>8423.411502526591</v>
      </c>
      <c r="E240" s="638">
        <f t="shared" si="29"/>
        <v>-859.07390644832776</v>
      </c>
    </row>
    <row r="241" spans="1:5" x14ac:dyDescent="0.2">
      <c r="A241" s="588">
        <v>3</v>
      </c>
      <c r="B241" s="587" t="s">
        <v>777</v>
      </c>
      <c r="C241" s="636">
        <f t="shared" si="28"/>
        <v>6705.9544166027245</v>
      </c>
      <c r="D241" s="636">
        <f t="shared" si="28"/>
        <v>7206.7031645709749</v>
      </c>
      <c r="E241" s="638">
        <f t="shared" si="29"/>
        <v>500.74874796825043</v>
      </c>
    </row>
    <row r="242" spans="1:5" x14ac:dyDescent="0.2">
      <c r="A242" s="588">
        <v>4</v>
      </c>
      <c r="B242" s="587" t="s">
        <v>115</v>
      </c>
      <c r="C242" s="636">
        <f t="shared" si="28"/>
        <v>6743.9046074544776</v>
      </c>
      <c r="D242" s="636">
        <f t="shared" si="28"/>
        <v>7250.4981956069469</v>
      </c>
      <c r="E242" s="638">
        <f t="shared" si="29"/>
        <v>506.59358815246924</v>
      </c>
    </row>
    <row r="243" spans="1:5" x14ac:dyDescent="0.2">
      <c r="A243" s="588">
        <v>5</v>
      </c>
      <c r="B243" s="587" t="s">
        <v>743</v>
      </c>
      <c r="C243" s="636">
        <f t="shared" si="28"/>
        <v>2573.9722111844426</v>
      </c>
      <c r="D243" s="636">
        <f t="shared" si="28"/>
        <v>3700.2650184854806</v>
      </c>
      <c r="E243" s="638">
        <f t="shared" si="29"/>
        <v>1126.292807301038</v>
      </c>
    </row>
    <row r="244" spans="1:5" x14ac:dyDescent="0.2">
      <c r="A244" s="588">
        <v>6</v>
      </c>
      <c r="B244" s="587" t="s">
        <v>424</v>
      </c>
      <c r="C244" s="636">
        <f t="shared" si="28"/>
        <v>5159.6825532335361</v>
      </c>
      <c r="D244" s="636">
        <f t="shared" si="28"/>
        <v>5477.7169426415057</v>
      </c>
      <c r="E244" s="638">
        <f t="shared" si="29"/>
        <v>318.03438940796968</v>
      </c>
    </row>
    <row r="245" spans="1:5" x14ac:dyDescent="0.2">
      <c r="A245" s="588">
        <v>7</v>
      </c>
      <c r="B245" s="587" t="s">
        <v>758</v>
      </c>
      <c r="C245" s="636">
        <f t="shared" si="28"/>
        <v>2149.9594691751263</v>
      </c>
      <c r="D245" s="636">
        <f t="shared" si="28"/>
        <v>2472.8346640631639</v>
      </c>
      <c r="E245" s="638">
        <f t="shared" si="29"/>
        <v>322.87519488803764</v>
      </c>
    </row>
    <row r="246" spans="1:5" ht="25.5" x14ac:dyDescent="0.2">
      <c r="A246" s="588"/>
      <c r="B246" s="592" t="s">
        <v>831</v>
      </c>
      <c r="C246" s="637">
        <f t="shared" si="28"/>
        <v>8086.8980386857675</v>
      </c>
      <c r="D246" s="637">
        <f t="shared" si="28"/>
        <v>7852.1665354265042</v>
      </c>
      <c r="E246" s="639">
        <f t="shared" si="29"/>
        <v>-234.73150325926326</v>
      </c>
    </row>
    <row r="247" spans="1:5" x14ac:dyDescent="0.2">
      <c r="A247" s="588"/>
      <c r="B247" s="592" t="s">
        <v>832</v>
      </c>
      <c r="C247" s="637">
        <f t="shared" si="28"/>
        <v>11471.315323056991</v>
      </c>
      <c r="D247" s="637">
        <f t="shared" si="28"/>
        <v>11888.549392052179</v>
      </c>
      <c r="E247" s="639">
        <f t="shared" si="29"/>
        <v>417.23406899518704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6589927.8871664414</v>
      </c>
      <c r="D251" s="622">
        <f>((IF((IF(D15=0,0,D26/D15)*D138)=0,0,D59/(IF(D15=0,0,D26/D15)*D138)))-(IF((IF(D17=0,0,D28/D17)*D140)=0,0,D61/(IF(D17=0,0,D28/D17)*D140))))*(IF(D17=0,0,D28/D17)*D140)</f>
        <v>3089943.4500814439</v>
      </c>
      <c r="E251" s="622">
        <f>D251-C251</f>
        <v>-3499984.4370849975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265610.72864956828</v>
      </c>
      <c r="D252" s="622">
        <f>IF(D231=0,0,(D228-D231)*D207)+IF(D243=0,0,(D240-D243)*D219)</f>
        <v>213923.40324405354</v>
      </c>
      <c r="E252" s="622">
        <f>D252-C252</f>
        <v>-51687.325405514741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9425193.4171741642</v>
      </c>
      <c r="D253" s="622">
        <f>IF(D233=0,0,(D228-D233)*D209+IF(D221=0,0,(D240-D245)*D221))</f>
        <v>7210646.5785782682</v>
      </c>
      <c r="E253" s="622">
        <f>D253-C253</f>
        <v>-2214546.838595896</v>
      </c>
    </row>
    <row r="254" spans="1:5" ht="15" customHeight="1" x14ac:dyDescent="0.2">
      <c r="A254" s="588"/>
      <c r="B254" s="592" t="s">
        <v>759</v>
      </c>
      <c r="C254" s="640">
        <f>+C251+C252+C253</f>
        <v>16280732.032990174</v>
      </c>
      <c r="D254" s="640">
        <f>+D251+D252+D253</f>
        <v>10514513.431903765</v>
      </c>
      <c r="E254" s="640">
        <f>D254-C254</f>
        <v>-5766218.6010864098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913394783</v>
      </c>
      <c r="D258" s="625">
        <f>+D44</f>
        <v>900265499</v>
      </c>
      <c r="E258" s="622">
        <f t="shared" ref="E258:E271" si="30">D258-C258</f>
        <v>-13129284</v>
      </c>
    </row>
    <row r="259" spans="1:5" x14ac:dyDescent="0.2">
      <c r="A259" s="588">
        <v>2</v>
      </c>
      <c r="B259" s="587" t="s">
        <v>742</v>
      </c>
      <c r="C259" s="622">
        <f>+(C43-C76)</f>
        <v>394696898</v>
      </c>
      <c r="D259" s="625">
        <f>+(D43-D76)</f>
        <v>391743521</v>
      </c>
      <c r="E259" s="622">
        <f t="shared" si="30"/>
        <v>-2953377</v>
      </c>
    </row>
    <row r="260" spans="1:5" x14ac:dyDescent="0.2">
      <c r="A260" s="588">
        <v>3</v>
      </c>
      <c r="B260" s="587" t="s">
        <v>746</v>
      </c>
      <c r="C260" s="622">
        <f>C195</f>
        <v>36108044</v>
      </c>
      <c r="D260" s="622">
        <f>D195</f>
        <v>41358539</v>
      </c>
      <c r="E260" s="622">
        <f t="shared" si="30"/>
        <v>5250495</v>
      </c>
    </row>
    <row r="261" spans="1:5" x14ac:dyDescent="0.2">
      <c r="A261" s="588">
        <v>4</v>
      </c>
      <c r="B261" s="587" t="s">
        <v>747</v>
      </c>
      <c r="C261" s="622">
        <f>C188</f>
        <v>150508712</v>
      </c>
      <c r="D261" s="622">
        <f>D188</f>
        <v>147175552</v>
      </c>
      <c r="E261" s="622">
        <f t="shared" si="30"/>
        <v>-3333160</v>
      </c>
    </row>
    <row r="262" spans="1:5" x14ac:dyDescent="0.2">
      <c r="A262" s="588">
        <v>5</v>
      </c>
      <c r="B262" s="587" t="s">
        <v>748</v>
      </c>
      <c r="C262" s="622">
        <f>C191</f>
        <v>11644353</v>
      </c>
      <c r="D262" s="622">
        <f>D191</f>
        <v>9573325</v>
      </c>
      <c r="E262" s="622">
        <f t="shared" si="30"/>
        <v>-2071028</v>
      </c>
    </row>
    <row r="263" spans="1:5" x14ac:dyDescent="0.2">
      <c r="A263" s="588">
        <v>6</v>
      </c>
      <c r="B263" s="587" t="s">
        <v>749</v>
      </c>
      <c r="C263" s="622">
        <f>+C259+C260+C261+C262</f>
        <v>592958007</v>
      </c>
      <c r="D263" s="622">
        <f>+D259+D260+D261+D262</f>
        <v>589850937</v>
      </c>
      <c r="E263" s="622">
        <f t="shared" si="30"/>
        <v>-3107070</v>
      </c>
    </row>
    <row r="264" spans="1:5" x14ac:dyDescent="0.2">
      <c r="A264" s="588">
        <v>7</v>
      </c>
      <c r="B264" s="587" t="s">
        <v>654</v>
      </c>
      <c r="C264" s="622">
        <f>+C258-C263</f>
        <v>320436776</v>
      </c>
      <c r="D264" s="622">
        <f>+D258-D263</f>
        <v>310414562</v>
      </c>
      <c r="E264" s="622">
        <f t="shared" si="30"/>
        <v>-10022214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320436776</v>
      </c>
      <c r="D266" s="622">
        <f>+D264+D265</f>
        <v>310414562</v>
      </c>
      <c r="E266" s="641">
        <f t="shared" si="30"/>
        <v>-10022214</v>
      </c>
    </row>
    <row r="267" spans="1:5" x14ac:dyDescent="0.2">
      <c r="A267" s="588">
        <v>10</v>
      </c>
      <c r="B267" s="587" t="s">
        <v>837</v>
      </c>
      <c r="C267" s="642">
        <f>IF(C258=0,0,C266/C258)</f>
        <v>0.35081958202951546</v>
      </c>
      <c r="D267" s="642">
        <f>IF(D258=0,0,D266/D258)</f>
        <v>0.34480335228308023</v>
      </c>
      <c r="E267" s="643">
        <f t="shared" si="30"/>
        <v>-6.016229746435231E-3</v>
      </c>
    </row>
    <row r="268" spans="1:5" x14ac:dyDescent="0.2">
      <c r="A268" s="588">
        <v>11</v>
      </c>
      <c r="B268" s="587" t="s">
        <v>716</v>
      </c>
      <c r="C268" s="622">
        <f>+C260*C267</f>
        <v>12667408.903983355</v>
      </c>
      <c r="D268" s="644">
        <f>+D260*D267</f>
        <v>14260562.892730514</v>
      </c>
      <c r="E268" s="622">
        <f t="shared" si="30"/>
        <v>1593153.988747159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17729339.537682049</v>
      </c>
      <c r="D269" s="644">
        <f>((D17+D18+D28+D29)*D267)-(D50+D51+D61+D62)</f>
        <v>14213969.955269448</v>
      </c>
      <c r="E269" s="622">
        <f t="shared" si="30"/>
        <v>-3515369.5824126005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30396748.441665404</v>
      </c>
      <c r="D271" s="622">
        <f>+D268+D269+D270</f>
        <v>28474532.84799996</v>
      </c>
      <c r="E271" s="625">
        <f t="shared" si="30"/>
        <v>-1922215.5936654434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0.56999169254808768</v>
      </c>
      <c r="D276" s="623">
        <f t="shared" si="31"/>
        <v>0.52269933403955848</v>
      </c>
      <c r="E276" s="650">
        <f t="shared" ref="E276:E284" si="32">D276-C276</f>
        <v>-4.7292358508529198E-2</v>
      </c>
    </row>
    <row r="277" spans="1:5" x14ac:dyDescent="0.2">
      <c r="A277" s="588">
        <v>2</v>
      </c>
      <c r="B277" s="587" t="s">
        <v>635</v>
      </c>
      <c r="C277" s="623">
        <f t="shared" si="31"/>
        <v>0.29683228463894185</v>
      </c>
      <c r="D277" s="623">
        <f t="shared" si="31"/>
        <v>0.28981703650264884</v>
      </c>
      <c r="E277" s="650">
        <f t="shared" si="32"/>
        <v>-7.0152481362930064E-3</v>
      </c>
    </row>
    <row r="278" spans="1:5" x14ac:dyDescent="0.2">
      <c r="A278" s="588">
        <v>3</v>
      </c>
      <c r="B278" s="587" t="s">
        <v>777</v>
      </c>
      <c r="C278" s="623">
        <f t="shared" si="31"/>
        <v>0.20814950347139677</v>
      </c>
      <c r="D278" s="623">
        <f t="shared" si="31"/>
        <v>0.24376284644568541</v>
      </c>
      <c r="E278" s="650">
        <f t="shared" si="32"/>
        <v>3.5613342974288642E-2</v>
      </c>
    </row>
    <row r="279" spans="1:5" x14ac:dyDescent="0.2">
      <c r="A279" s="588">
        <v>4</v>
      </c>
      <c r="B279" s="587" t="s">
        <v>115</v>
      </c>
      <c r="C279" s="623">
        <f t="shared" si="31"/>
        <v>0.20849288146450728</v>
      </c>
      <c r="D279" s="623">
        <f t="shared" si="31"/>
        <v>0.24396350770997005</v>
      </c>
      <c r="E279" s="650">
        <f t="shared" si="32"/>
        <v>3.5470626245462766E-2</v>
      </c>
    </row>
    <row r="280" spans="1:5" x14ac:dyDescent="0.2">
      <c r="A280" s="588">
        <v>5</v>
      </c>
      <c r="B280" s="587" t="s">
        <v>743</v>
      </c>
      <c r="C280" s="623">
        <f t="shared" si="31"/>
        <v>0.16397250992159521</v>
      </c>
      <c r="D280" s="623">
        <f t="shared" si="31"/>
        <v>0.21941345095141626</v>
      </c>
      <c r="E280" s="650">
        <f t="shared" si="32"/>
        <v>5.5440941029821056E-2</v>
      </c>
    </row>
    <row r="281" spans="1:5" x14ac:dyDescent="0.2">
      <c r="A281" s="588">
        <v>6</v>
      </c>
      <c r="B281" s="587" t="s">
        <v>424</v>
      </c>
      <c r="C281" s="623">
        <f t="shared" si="31"/>
        <v>0.34866998394393145</v>
      </c>
      <c r="D281" s="623">
        <f t="shared" si="31"/>
        <v>0.2973514689939733</v>
      </c>
      <c r="E281" s="650">
        <f t="shared" si="32"/>
        <v>-5.1318514949958149E-2</v>
      </c>
    </row>
    <row r="282" spans="1:5" x14ac:dyDescent="0.2">
      <c r="A282" s="588">
        <v>7</v>
      </c>
      <c r="B282" s="587" t="s">
        <v>758</v>
      </c>
      <c r="C282" s="623">
        <f t="shared" si="31"/>
        <v>8.8267578301899519E-2</v>
      </c>
      <c r="D282" s="623">
        <f t="shared" si="31"/>
        <v>6.6511311602011694E-2</v>
      </c>
      <c r="E282" s="650">
        <f t="shared" si="32"/>
        <v>-2.1756266699887825E-2</v>
      </c>
    </row>
    <row r="283" spans="1:5" ht="29.25" customHeight="1" x14ac:dyDescent="0.2">
      <c r="A283" s="588"/>
      <c r="B283" s="592" t="s">
        <v>844</v>
      </c>
      <c r="C283" s="651">
        <f t="shared" si="31"/>
        <v>0.2760332162442139</v>
      </c>
      <c r="D283" s="651">
        <f t="shared" si="31"/>
        <v>0.27888051530851515</v>
      </c>
      <c r="E283" s="652">
        <f t="shared" si="32"/>
        <v>2.8472990643012563E-3</v>
      </c>
    </row>
    <row r="284" spans="1:5" x14ac:dyDescent="0.2">
      <c r="A284" s="588"/>
      <c r="B284" s="592" t="s">
        <v>845</v>
      </c>
      <c r="C284" s="651">
        <f t="shared" si="31"/>
        <v>0.36233750079448346</v>
      </c>
      <c r="D284" s="651">
        <f t="shared" si="31"/>
        <v>0.35148375072410704</v>
      </c>
      <c r="E284" s="652">
        <f t="shared" si="32"/>
        <v>-1.0853750070376422E-2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0.50127431165477032</v>
      </c>
      <c r="D287" s="623">
        <f t="shared" si="33"/>
        <v>0.51773590145824289</v>
      </c>
      <c r="E287" s="650">
        <f t="shared" ref="E287:E295" si="34">D287-C287</f>
        <v>1.6461589803472565E-2</v>
      </c>
    </row>
    <row r="288" spans="1:5" x14ac:dyDescent="0.2">
      <c r="A288" s="588">
        <v>2</v>
      </c>
      <c r="B288" s="587" t="s">
        <v>635</v>
      </c>
      <c r="C288" s="623">
        <f t="shared" si="33"/>
        <v>0.20306050196345096</v>
      </c>
      <c r="D288" s="623">
        <f t="shared" si="33"/>
        <v>0.19532451781980537</v>
      </c>
      <c r="E288" s="650">
        <f t="shared" si="34"/>
        <v>-7.7359841436455967E-3</v>
      </c>
    </row>
    <row r="289" spans="1:5" x14ac:dyDescent="0.2">
      <c r="A289" s="588">
        <v>3</v>
      </c>
      <c r="B289" s="587" t="s">
        <v>777</v>
      </c>
      <c r="C289" s="623">
        <f t="shared" si="33"/>
        <v>0.25057989946673853</v>
      </c>
      <c r="D289" s="623">
        <f t="shared" si="33"/>
        <v>0.25699188722374272</v>
      </c>
      <c r="E289" s="650">
        <f t="shared" si="34"/>
        <v>6.4119877570041894E-3</v>
      </c>
    </row>
    <row r="290" spans="1:5" x14ac:dyDescent="0.2">
      <c r="A290" s="588">
        <v>4</v>
      </c>
      <c r="B290" s="587" t="s">
        <v>115</v>
      </c>
      <c r="C290" s="623">
        <f t="shared" si="33"/>
        <v>0.25206610868178592</v>
      </c>
      <c r="D290" s="623">
        <f t="shared" si="33"/>
        <v>0.25842111372707766</v>
      </c>
      <c r="E290" s="650">
        <f t="shared" si="34"/>
        <v>6.3550050452917395E-3</v>
      </c>
    </row>
    <row r="291" spans="1:5" x14ac:dyDescent="0.2">
      <c r="A291" s="588">
        <v>5</v>
      </c>
      <c r="B291" s="587" t="s">
        <v>743</v>
      </c>
      <c r="C291" s="623">
        <f t="shared" si="33"/>
        <v>9.3431379265721218E-2</v>
      </c>
      <c r="D291" s="623">
        <f t="shared" si="33"/>
        <v>0.13760102348615932</v>
      </c>
      <c r="E291" s="650">
        <f t="shared" si="34"/>
        <v>4.4169644220438106E-2</v>
      </c>
    </row>
    <row r="292" spans="1:5" x14ac:dyDescent="0.2">
      <c r="A292" s="588">
        <v>6</v>
      </c>
      <c r="B292" s="587" t="s">
        <v>424</v>
      </c>
      <c r="C292" s="623">
        <f t="shared" si="33"/>
        <v>0.17281714053714892</v>
      </c>
      <c r="D292" s="623">
        <f t="shared" si="33"/>
        <v>0.14958143277475897</v>
      </c>
      <c r="E292" s="650">
        <f t="shared" si="34"/>
        <v>-2.3235707762389951E-2</v>
      </c>
    </row>
    <row r="293" spans="1:5" x14ac:dyDescent="0.2">
      <c r="A293" s="588">
        <v>7</v>
      </c>
      <c r="B293" s="587" t="s">
        <v>758</v>
      </c>
      <c r="C293" s="623">
        <f t="shared" si="33"/>
        <v>7.9962494782596857E-2</v>
      </c>
      <c r="D293" s="623">
        <f t="shared" si="33"/>
        <v>7.9570805385198312E-2</v>
      </c>
      <c r="E293" s="650">
        <f t="shared" si="34"/>
        <v>-3.9168939739854525E-4</v>
      </c>
    </row>
    <row r="294" spans="1:5" ht="29.25" customHeight="1" x14ac:dyDescent="0.2">
      <c r="A294" s="588"/>
      <c r="B294" s="592" t="s">
        <v>847</v>
      </c>
      <c r="C294" s="651">
        <f t="shared" si="33"/>
        <v>0.21887999547833636</v>
      </c>
      <c r="D294" s="651">
        <f t="shared" si="33"/>
        <v>0.217494643769337</v>
      </c>
      <c r="E294" s="652">
        <f t="shared" si="34"/>
        <v>-1.3853517089993661E-3</v>
      </c>
    </row>
    <row r="295" spans="1:5" x14ac:dyDescent="0.2">
      <c r="A295" s="588"/>
      <c r="B295" s="592" t="s">
        <v>848</v>
      </c>
      <c r="C295" s="651">
        <f t="shared" si="33"/>
        <v>0.37302000576339989</v>
      </c>
      <c r="D295" s="651">
        <f t="shared" si="33"/>
        <v>0.37851344999569464</v>
      </c>
      <c r="E295" s="652">
        <f t="shared" si="34"/>
        <v>5.493444232294753E-3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335896039</v>
      </c>
      <c r="D301" s="590">
        <f>+D48+D47+D50+D51+D52+D59+D58+D61+D62+D63</f>
        <v>328506873</v>
      </c>
      <c r="E301" s="590">
        <f>D301-C301</f>
        <v>-7389166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335896039</v>
      </c>
      <c r="D303" s="593">
        <f>+D301+D302</f>
        <v>328506873</v>
      </c>
      <c r="E303" s="593">
        <f>D303-C303</f>
        <v>-7389166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-1764125</v>
      </c>
      <c r="D305" s="654">
        <v>-5450326</v>
      </c>
      <c r="E305" s="655">
        <f>D305-C305</f>
        <v>-3686201</v>
      </c>
    </row>
    <row r="306" spans="1:5" x14ac:dyDescent="0.2">
      <c r="A306" s="588">
        <v>4</v>
      </c>
      <c r="B306" s="592" t="s">
        <v>855</v>
      </c>
      <c r="C306" s="593">
        <f>+C303+C305+C194+C190-C191</f>
        <v>358059153</v>
      </c>
      <c r="D306" s="593">
        <f>+D303+D305</f>
        <v>323056547</v>
      </c>
      <c r="E306" s="656">
        <f>D306-C306</f>
        <v>-35002606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334131914</v>
      </c>
      <c r="D308" s="589">
        <v>323056547</v>
      </c>
      <c r="E308" s="590">
        <f>D308-C308</f>
        <v>-11075367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23927239</v>
      </c>
      <c r="D310" s="658">
        <f>D306-D308</f>
        <v>0</v>
      </c>
      <c r="E310" s="656">
        <f>D310-C310</f>
        <v>-23927239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913394783</v>
      </c>
      <c r="D314" s="590">
        <f>+D14+D15+D16+D19+D25+D26+D27+D30</f>
        <v>900265499</v>
      </c>
      <c r="E314" s="590">
        <f>D314-C314</f>
        <v>-13129284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913394783</v>
      </c>
      <c r="D316" s="657">
        <f>D314+D315</f>
        <v>900265499</v>
      </c>
      <c r="E316" s="593">
        <f>D316-C316</f>
        <v>-13129284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913394783</v>
      </c>
      <c r="D318" s="589">
        <v>900265500</v>
      </c>
      <c r="E318" s="590">
        <f>D318-C318</f>
        <v>-13129283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-1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36108044</v>
      </c>
      <c r="D324" s="589">
        <f>+D193+D194</f>
        <v>41358539</v>
      </c>
      <c r="E324" s="590">
        <f>D324-C324</f>
        <v>5250495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962245</v>
      </c>
      <c r="E325" s="590">
        <f>D325-C325</f>
        <v>962245</v>
      </c>
    </row>
    <row r="326" spans="1:5" x14ac:dyDescent="0.2">
      <c r="A326" s="588"/>
      <c r="B326" s="592" t="s">
        <v>866</v>
      </c>
      <c r="C326" s="657">
        <f>C324+C325</f>
        <v>36108044</v>
      </c>
      <c r="D326" s="657">
        <f>D324+D325</f>
        <v>42320784</v>
      </c>
      <c r="E326" s="593">
        <f>D326-C326</f>
        <v>6212740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36108044</v>
      </c>
      <c r="D328" s="589">
        <v>42320784</v>
      </c>
      <c r="E328" s="590">
        <f>D328-C328</f>
        <v>6212740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FILING&amp;RNORWALK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135016428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242363699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75670736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75052237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618499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366203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7178824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318400638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453417066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239643951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131993445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74798439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73913620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884819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412598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28397840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207204482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446848433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374660379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525605120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900265499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70572997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70241129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18445714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18310007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135707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108891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477473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88795734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159368731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124072277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25781556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19222592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19100840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121752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61717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2259639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45065865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169138142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194645274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133861599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328506873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4782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5620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2698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2675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23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231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8328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13110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1.06088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1.4339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0.95825070422535208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0.95816000000000001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0.96879999999999999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1.3916299999999999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1.11775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1.279754406820365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1.1999178382913807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339083715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191908163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147175552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0.4340389865080958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14608950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9573325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16801601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24556938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41358539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15792359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311061228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328506873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328506873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-5450326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323056547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323056547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900265499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900265499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900265500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41358539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962245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42320784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42320784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FILING&amp;RNORWALK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5135</v>
      </c>
      <c r="D12" s="185">
        <v>4878</v>
      </c>
      <c r="E12" s="185">
        <f>+D12-C12</f>
        <v>-257</v>
      </c>
      <c r="F12" s="77">
        <f>IF(C12=0,0,+E12/C12)</f>
        <v>-5.0048685491723463E-2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4361</v>
      </c>
      <c r="D13" s="185">
        <v>4042</v>
      </c>
      <c r="E13" s="185">
        <f>+D13-C13</f>
        <v>-319</v>
      </c>
      <c r="F13" s="77">
        <f>IF(C13=0,0,+E13/C13)</f>
        <v>-7.3148360467782614E-2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18272000</v>
      </c>
      <c r="D15" s="76">
        <v>16801601</v>
      </c>
      <c r="E15" s="76">
        <f>+D15-C15</f>
        <v>-1470399</v>
      </c>
      <c r="F15" s="77">
        <f>IF(C15=0,0,+E15/C15)</f>
        <v>-8.047279991243432E-2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4189.8647099289155</v>
      </c>
      <c r="D16" s="79">
        <f>IF(D13=0,0,+D15/+D13)</f>
        <v>4156.7543295398318</v>
      </c>
      <c r="E16" s="79">
        <f>+D16-C16</f>
        <v>-33.11038038908373</v>
      </c>
      <c r="F16" s="80">
        <f>IF(C16=0,0,+E16/C16)</f>
        <v>-7.9024939183884712E-3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0.38950099999999999</v>
      </c>
      <c r="D18" s="704">
        <v>0.36440299999999998</v>
      </c>
      <c r="E18" s="704">
        <f>+D18-C18</f>
        <v>-2.5098000000000009E-2</v>
      </c>
      <c r="F18" s="77">
        <f>IF(C18=0,0,+E18/C18)</f>
        <v>-6.443629156279447E-2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7116962.2719999999</v>
      </c>
      <c r="D19" s="79">
        <f>+D15*D18</f>
        <v>6122553.8092029998</v>
      </c>
      <c r="E19" s="79">
        <f>+D19-C19</f>
        <v>-994408.46279700007</v>
      </c>
      <c r="F19" s="80">
        <f>IF(C19=0,0,+E19/C19)</f>
        <v>-0.13972372267719674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1631.9564943820224</v>
      </c>
      <c r="D20" s="79">
        <f>IF(D13=0,0,+D19/D13)</f>
        <v>1514.7337479473033</v>
      </c>
      <c r="E20" s="79">
        <f>+D20-C20</f>
        <v>-117.22274643471906</v>
      </c>
      <c r="F20" s="80">
        <f>IF(C20=0,0,+E20/C20)</f>
        <v>-7.1829578078984352E-2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2478477</v>
      </c>
      <c r="D22" s="76">
        <v>3401101</v>
      </c>
      <c r="E22" s="76">
        <f>+D22-C22</f>
        <v>922624</v>
      </c>
      <c r="F22" s="77">
        <f>IF(C22=0,0,+E22/C22)</f>
        <v>0.37225441268972842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10856254</v>
      </c>
      <c r="D23" s="185">
        <v>9057776</v>
      </c>
      <c r="E23" s="185">
        <f>+D23-C23</f>
        <v>-1798478</v>
      </c>
      <c r="F23" s="77">
        <f>IF(C23=0,0,+E23/C23)</f>
        <v>-0.16566285202980696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4937269</v>
      </c>
      <c r="D24" s="185">
        <v>4342724</v>
      </c>
      <c r="E24" s="185">
        <f>+D24-C24</f>
        <v>-594545</v>
      </c>
      <c r="F24" s="77">
        <f>IF(C24=0,0,+E24/C24)</f>
        <v>-0.12041981103318454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18272000</v>
      </c>
      <c r="D25" s="79">
        <f>+D22+D23+D24</f>
        <v>16801601</v>
      </c>
      <c r="E25" s="79">
        <f>+E22+E23+E24</f>
        <v>-1470399</v>
      </c>
      <c r="F25" s="80">
        <f>IF(C25=0,0,+E25/C25)</f>
        <v>-8.047279991243432E-2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1450</v>
      </c>
      <c r="D27" s="185">
        <v>458</v>
      </c>
      <c r="E27" s="185">
        <f>+D27-C27</f>
        <v>-992</v>
      </c>
      <c r="F27" s="77">
        <f>IF(C27=0,0,+E27/C27)</f>
        <v>-0.68413793103448273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319</v>
      </c>
      <c r="D28" s="185">
        <v>95</v>
      </c>
      <c r="E28" s="185">
        <f>+D28-C28</f>
        <v>-224</v>
      </c>
      <c r="F28" s="77">
        <f>IF(C28=0,0,+E28/C28)</f>
        <v>-0.70219435736677116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2276</v>
      </c>
      <c r="D29" s="185">
        <v>1907</v>
      </c>
      <c r="E29" s="185">
        <f>+D29-C29</f>
        <v>-369</v>
      </c>
      <c r="F29" s="77">
        <f>IF(C29=0,0,+E29/C29)</f>
        <v>-0.16212653778558875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15478</v>
      </c>
      <c r="D30" s="185">
        <v>12631</v>
      </c>
      <c r="E30" s="185">
        <f>+D30-C30</f>
        <v>-2847</v>
      </c>
      <c r="F30" s="77">
        <f>IF(C30=0,0,+E30/C30)</f>
        <v>-0.18393849334539347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4741877</v>
      </c>
      <c r="D33" s="76">
        <v>4834558</v>
      </c>
      <c r="E33" s="76">
        <f>+D33-C33</f>
        <v>92681</v>
      </c>
      <c r="F33" s="77">
        <f>IF(C33=0,0,+E33/C33)</f>
        <v>1.954521384675309E-2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3232452</v>
      </c>
      <c r="D34" s="185">
        <v>6110638</v>
      </c>
      <c r="E34" s="185">
        <f>+D34-C34</f>
        <v>2878186</v>
      </c>
      <c r="F34" s="77">
        <f>IF(C34=0,0,+E34/C34)</f>
        <v>0.89040332230764752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9861715</v>
      </c>
      <c r="D35" s="185">
        <v>13611742</v>
      </c>
      <c r="E35" s="185">
        <f>+D35-C35</f>
        <v>3750027</v>
      </c>
      <c r="F35" s="77">
        <f>IF(C35=0,0,+E35/C35)</f>
        <v>0.38026114119095916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17836044</v>
      </c>
      <c r="D36" s="79">
        <f>+D33+D34+D35</f>
        <v>24556938</v>
      </c>
      <c r="E36" s="79">
        <f>+E33+E34+E35</f>
        <v>6720894</v>
      </c>
      <c r="F36" s="80">
        <f>IF(C36=0,0,+E36/C36)</f>
        <v>0.37681528482437027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18272000</v>
      </c>
      <c r="D39" s="76">
        <f>+D25</f>
        <v>16801601</v>
      </c>
      <c r="E39" s="76">
        <f>+D39-C39</f>
        <v>-1470399</v>
      </c>
      <c r="F39" s="77">
        <f>IF(C39=0,0,+E39/C39)</f>
        <v>-8.047279991243432E-2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17836044</v>
      </c>
      <c r="D40" s="185">
        <f>+D36</f>
        <v>24556938</v>
      </c>
      <c r="E40" s="185">
        <f>+D40-C40</f>
        <v>6720894</v>
      </c>
      <c r="F40" s="77">
        <f>IF(C40=0,0,+E40/C40)</f>
        <v>0.37681528482437027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36108044</v>
      </c>
      <c r="D41" s="79">
        <f>+D39+D40</f>
        <v>41358539</v>
      </c>
      <c r="E41" s="79">
        <f>+E39+E40</f>
        <v>5250495</v>
      </c>
      <c r="F41" s="80">
        <f>IF(C41=0,0,+E41/C41)</f>
        <v>0.1454106735884115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7220354</v>
      </c>
      <c r="D43" s="76">
        <f t="shared" si="0"/>
        <v>8235659</v>
      </c>
      <c r="E43" s="76">
        <f>+D43-C43</f>
        <v>1015305</v>
      </c>
      <c r="F43" s="77">
        <f>IF(C43=0,0,+E43/C43)</f>
        <v>0.1406170666978378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14088706</v>
      </c>
      <c r="D44" s="185">
        <f t="shared" si="0"/>
        <v>15168414</v>
      </c>
      <c r="E44" s="185">
        <f>+D44-C44</f>
        <v>1079708</v>
      </c>
      <c r="F44" s="77">
        <f>IF(C44=0,0,+E44/C44)</f>
        <v>7.6636420690445239E-2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14798984</v>
      </c>
      <c r="D45" s="185">
        <f t="shared" si="0"/>
        <v>17954466</v>
      </c>
      <c r="E45" s="185">
        <f>+D45-C45</f>
        <v>3155482</v>
      </c>
      <c r="F45" s="77">
        <f>IF(C45=0,0,+E45/C45)</f>
        <v>0.21322288070586468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36108044</v>
      </c>
      <c r="D46" s="79">
        <f>+D43+D44+D45</f>
        <v>41358539</v>
      </c>
      <c r="E46" s="79">
        <f>+E43+E44+E45</f>
        <v>5250495</v>
      </c>
      <c r="F46" s="80">
        <f>IF(C46=0,0,+E46/C46)</f>
        <v>0.1454106735884115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FILING&amp;RNORWALK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349638109</v>
      </c>
      <c r="D15" s="76">
        <v>339083715</v>
      </c>
      <c r="E15" s="76">
        <f>+D15-C15</f>
        <v>-10554394</v>
      </c>
      <c r="F15" s="77">
        <f>IF(C15=0,0,E15/C15)</f>
        <v>-3.0186623621168251E-2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150508712</v>
      </c>
      <c r="D17" s="76">
        <v>147175552</v>
      </c>
      <c r="E17" s="76">
        <f>+D17-C17</f>
        <v>-3333160</v>
      </c>
      <c r="F17" s="77">
        <f>IF(C17=0,0,E17/C17)</f>
        <v>-2.2145960560741494E-2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199129397</v>
      </c>
      <c r="D19" s="79">
        <f>+D15-D17</f>
        <v>191908163</v>
      </c>
      <c r="E19" s="79">
        <f>+D19-C19</f>
        <v>-7221234</v>
      </c>
      <c r="F19" s="80">
        <f>IF(C19=0,0,E19/C19)</f>
        <v>-3.6264027857222908E-2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0.43046998632520345</v>
      </c>
      <c r="D21" s="720">
        <f>IF(D15=0,0,D17/D15)</f>
        <v>0.4340389865080958</v>
      </c>
      <c r="E21" s="720">
        <f>+D21-C21</f>
        <v>3.5690001828923568E-3</v>
      </c>
      <c r="F21" s="80">
        <f>IF(C21=0,0,E21/C21)</f>
        <v>8.2909385004047986E-3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FILING&amp;R&amp;12NORWALK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473961549</v>
      </c>
      <c r="D10" s="744">
        <v>451063513</v>
      </c>
      <c r="E10" s="744">
        <v>453417066</v>
      </c>
    </row>
    <row r="11" spans="1:6" ht="26.1" customHeight="1" x14ac:dyDescent="0.25">
      <c r="A11" s="742">
        <v>2</v>
      </c>
      <c r="B11" s="743" t="s">
        <v>932</v>
      </c>
      <c r="C11" s="744">
        <v>434996813</v>
      </c>
      <c r="D11" s="744">
        <v>462331270</v>
      </c>
      <c r="E11" s="744">
        <v>446848433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908958362</v>
      </c>
      <c r="D12" s="744">
        <f>+D11+D10</f>
        <v>913394783</v>
      </c>
      <c r="E12" s="744">
        <f>+E11+E10</f>
        <v>900265499</v>
      </c>
    </row>
    <row r="13" spans="1:6" ht="26.1" customHeight="1" x14ac:dyDescent="0.25">
      <c r="A13" s="742">
        <v>4</v>
      </c>
      <c r="B13" s="743" t="s">
        <v>507</v>
      </c>
      <c r="C13" s="744">
        <v>363267877</v>
      </c>
      <c r="D13" s="744">
        <v>334131914</v>
      </c>
      <c r="E13" s="744">
        <v>324018792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361951445</v>
      </c>
      <c r="D16" s="744">
        <v>338981125</v>
      </c>
      <c r="E16" s="744">
        <v>311061228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67341</v>
      </c>
      <c r="D19" s="747">
        <v>59611</v>
      </c>
      <c r="E19" s="747">
        <v>59071</v>
      </c>
    </row>
    <row r="20" spans="1:5" ht="26.1" customHeight="1" x14ac:dyDescent="0.25">
      <c r="A20" s="742">
        <v>2</v>
      </c>
      <c r="B20" s="743" t="s">
        <v>381</v>
      </c>
      <c r="C20" s="748">
        <v>15003</v>
      </c>
      <c r="D20" s="748">
        <v>13045</v>
      </c>
      <c r="E20" s="748">
        <v>13110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4.4885022995400918</v>
      </c>
      <c r="D21" s="749">
        <f>IF(D20=0,0,+D19/D20)</f>
        <v>4.5696435415868146</v>
      </c>
      <c r="E21" s="749">
        <f>IF(E20=0,0,+E19/E20)</f>
        <v>4.505797101449275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129145.84565897349</v>
      </c>
      <c r="D22" s="748">
        <f>IF(D10=0,0,D19*(D12/D10))</f>
        <v>120711.10794858949</v>
      </c>
      <c r="E22" s="748">
        <f>IF(E10=0,0,E19*(E12/E10))</f>
        <v>117286.24103317055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28772.592067560316</v>
      </c>
      <c r="D23" s="748">
        <f>IF(D10=0,0,D20*(D12/D10))</f>
        <v>26415.869607779601</v>
      </c>
      <c r="E23" s="748">
        <f>IF(E10=0,0,E20*(E12/E10))</f>
        <v>26030.076009291632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1.1303147770445909</v>
      </c>
      <c r="D26" s="750">
        <v>1.1997942384055194</v>
      </c>
      <c r="E26" s="750">
        <v>1.1999178382913807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76116.527400959792</v>
      </c>
      <c r="D27" s="748">
        <f>D19*D26</f>
        <v>71520.93434559142</v>
      </c>
      <c r="E27" s="748">
        <f>E19*E26</f>
        <v>70880.346625710154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16958.112599999997</v>
      </c>
      <c r="D28" s="748">
        <f>D20*D26</f>
        <v>15651.315839999999</v>
      </c>
      <c r="E28" s="748">
        <f>E20*E26</f>
        <v>15730.922860000001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145975.45774225777</v>
      </c>
      <c r="D29" s="748">
        <f>D22*D26</f>
        <v>144828.49182826435</v>
      </c>
      <c r="E29" s="748">
        <f>E22*E26</f>
        <v>140733.85280184384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32522.085987839404</v>
      </c>
      <c r="D30" s="748">
        <f>D23*D26</f>
        <v>31693.608157885432</v>
      </c>
      <c r="E30" s="748">
        <f>E23*E26</f>
        <v>31233.952535629542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13497.844730550481</v>
      </c>
      <c r="D33" s="744">
        <f>IF(D19=0,0,D12/D19)</f>
        <v>15322.587827749912</v>
      </c>
      <c r="E33" s="744">
        <f>IF(E19=0,0,E12/E19)</f>
        <v>15240.397132264563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60585.107111910955</v>
      </c>
      <c r="D34" s="744">
        <f>IF(D20=0,0,D12/D20)</f>
        <v>70018.76450747413</v>
      </c>
      <c r="E34" s="744">
        <f>IF(E20=0,0,E12/E20)</f>
        <v>68670.137223493512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7038.231523143405</v>
      </c>
      <c r="D35" s="744">
        <f>IF(D22=0,0,D12/D22)</f>
        <v>7566.783194376877</v>
      </c>
      <c r="E35" s="744">
        <f>IF(E22=0,0,E12/E22)</f>
        <v>7675.7980396472049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31591.118376324735</v>
      </c>
      <c r="D36" s="744">
        <f>IF(D23=0,0,D12/D23)</f>
        <v>34577.501954771949</v>
      </c>
      <c r="E36" s="744">
        <f>IF(E23=0,0,E12/E23)</f>
        <v>34585.5885583524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6226.7889140988782</v>
      </c>
      <c r="D37" s="744">
        <f>IF(D29=0,0,D12/D29)</f>
        <v>6306.7340650283859</v>
      </c>
      <c r="E37" s="744">
        <f>IF(E29=0,0,E12/E29)</f>
        <v>6396.936352389871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27948.956359683569</v>
      </c>
      <c r="D38" s="744">
        <f>IF(D30=0,0,D12/D30)</f>
        <v>28819.526588762521</v>
      </c>
      <c r="E38" s="744">
        <f>IF(E30=0,0,E12/E30)</f>
        <v>28823.297274753782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3669.9713148462979</v>
      </c>
      <c r="D39" s="744">
        <f>IF(D22=0,0,D10/D22)</f>
        <v>3736.7191857116136</v>
      </c>
      <c r="E39" s="744">
        <f>IF(E22=0,0,E10/E22)</f>
        <v>3865.9015925982821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16472.674685933784</v>
      </c>
      <c r="D40" s="744">
        <f>IF(D23=0,0,D10/D23)</f>
        <v>17075.474693710617</v>
      </c>
      <c r="E40" s="744">
        <f>IF(E23=0,0,E10/E23)</f>
        <v>17418.968190417476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5394.4532602723448</v>
      </c>
      <c r="D43" s="744">
        <f>IF(D19=0,0,D13/D19)</f>
        <v>5605.205649963933</v>
      </c>
      <c r="E43" s="744">
        <f>IF(E19=0,0,E13/E19)</f>
        <v>5485.2430465033603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24213.015863493969</v>
      </c>
      <c r="D44" s="744">
        <f>IF(D20=0,0,D13/D20)</f>
        <v>25613.791797623609</v>
      </c>
      <c r="E44" s="744">
        <f>IF(E20=0,0,E13/E20)</f>
        <v>24715.392219679634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2812.8498841476976</v>
      </c>
      <c r="D45" s="744">
        <f>IF(D22=0,0,D13/D22)</f>
        <v>2768.0295515331186</v>
      </c>
      <c r="E45" s="744">
        <f>IF(E22=0,0,E13/E22)</f>
        <v>2762.6325913911928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12625.483173258022</v>
      </c>
      <c r="D46" s="744">
        <f>IF(D23=0,0,D13/D23)</f>
        <v>12648.908363084762</v>
      </c>
      <c r="E46" s="744">
        <f>IF(E23=0,0,E13/E23)</f>
        <v>12447.861922659737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2488.554464007269</v>
      </c>
      <c r="D47" s="744">
        <f>IF(D29=0,0,D13/D29)</f>
        <v>2307.086884507567</v>
      </c>
      <c r="E47" s="744">
        <f>IF(E29=0,0,E13/E29)</f>
        <v>2302.3514637677486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11169.882434227387</v>
      </c>
      <c r="D48" s="744">
        <f>IF(D30=0,0,D13/D30)</f>
        <v>10542.564681669648</v>
      </c>
      <c r="E48" s="744">
        <f>IF(E30=0,0,E13/E30)</f>
        <v>10373.928551962217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5374.9045158224562</v>
      </c>
      <c r="D51" s="744">
        <f>IF(D19=0,0,D16/D19)</f>
        <v>5686.5532368187078</v>
      </c>
      <c r="E51" s="744">
        <f>IF(E19=0,0,E16/E19)</f>
        <v>5265.8872881786328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24125.271279077519</v>
      </c>
      <c r="D52" s="744">
        <f>IF(D20=0,0,D16/D20)</f>
        <v>25985.521272518206</v>
      </c>
      <c r="E52" s="744">
        <f>IF(E20=0,0,E16/E20)</f>
        <v>23727.019679633868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2802.6565094147913</v>
      </c>
      <c r="D53" s="744">
        <f>IF(D22=0,0,D16/D22)</f>
        <v>2808.2015877475924</v>
      </c>
      <c r="E53" s="744">
        <f>IF(E22=0,0,E16/E22)</f>
        <v>2652.1544663710947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12579.730187329298</v>
      </c>
      <c r="D54" s="744">
        <f>IF(D23=0,0,D16/D23)</f>
        <v>12832.480248924625</v>
      </c>
      <c r="E54" s="744">
        <f>IF(E23=0,0,E16/E23)</f>
        <v>11950.069907170626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2479.536290539203</v>
      </c>
      <c r="D55" s="744">
        <f>IF(D29=0,0,D16/D29)</f>
        <v>2340.5693225194887</v>
      </c>
      <c r="E55" s="744">
        <f>IF(E29=0,0,E16/E29)</f>
        <v>2210.2800556308271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11129.404341878322</v>
      </c>
      <c r="D56" s="744">
        <f>IF(D30=0,0,D16/D30)</f>
        <v>10695.567488287408</v>
      </c>
      <c r="E56" s="744">
        <f>IF(E30=0,0,E16/E30)</f>
        <v>9959.0734680525238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46217962</v>
      </c>
      <c r="D59" s="752">
        <v>46255451</v>
      </c>
      <c r="E59" s="752">
        <v>45733017</v>
      </c>
    </row>
    <row r="60" spans="1:6" ht="26.1" customHeight="1" x14ac:dyDescent="0.25">
      <c r="A60" s="742">
        <v>2</v>
      </c>
      <c r="B60" s="743" t="s">
        <v>968</v>
      </c>
      <c r="C60" s="752">
        <v>14427766</v>
      </c>
      <c r="D60" s="752">
        <v>15513984</v>
      </c>
      <c r="E60" s="752">
        <v>9992314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60645728</v>
      </c>
      <c r="D61" s="755">
        <f>D59+D60</f>
        <v>61769435</v>
      </c>
      <c r="E61" s="755">
        <f>E59+E60</f>
        <v>55725331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9930604</v>
      </c>
      <c r="D64" s="744">
        <v>11928508</v>
      </c>
      <c r="E64" s="752">
        <v>11986450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2996514</v>
      </c>
      <c r="D65" s="752">
        <v>3620814</v>
      </c>
      <c r="E65" s="752">
        <v>2283503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12927118</v>
      </c>
      <c r="D66" s="757">
        <f>D64+D65</f>
        <v>15549322</v>
      </c>
      <c r="E66" s="757">
        <f>E64+E65</f>
        <v>14269953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77433917</v>
      </c>
      <c r="D69" s="752">
        <v>80198641</v>
      </c>
      <c r="E69" s="752">
        <v>75302594</v>
      </c>
    </row>
    <row r="70" spans="1:6" ht="26.1" customHeight="1" x14ac:dyDescent="0.25">
      <c r="A70" s="742">
        <v>2</v>
      </c>
      <c r="B70" s="743" t="s">
        <v>976</v>
      </c>
      <c r="C70" s="752">
        <v>30346364</v>
      </c>
      <c r="D70" s="752">
        <v>32551822</v>
      </c>
      <c r="E70" s="752">
        <v>21288563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107780281</v>
      </c>
      <c r="D71" s="755">
        <f>D69+D70</f>
        <v>112750463</v>
      </c>
      <c r="E71" s="755">
        <f>E69+E70</f>
        <v>96591157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133582483</v>
      </c>
      <c r="D75" s="744">
        <f t="shared" si="0"/>
        <v>138382600</v>
      </c>
      <c r="E75" s="744">
        <f t="shared" si="0"/>
        <v>133022061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47770644</v>
      </c>
      <c r="D76" s="744">
        <f t="shared" si="0"/>
        <v>51686620</v>
      </c>
      <c r="E76" s="744">
        <f t="shared" si="0"/>
        <v>33564380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181353127</v>
      </c>
      <c r="D77" s="757">
        <f>D75+D76</f>
        <v>190069220</v>
      </c>
      <c r="E77" s="757">
        <f>E75+E76</f>
        <v>166586441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453.2</v>
      </c>
      <c r="D80" s="749">
        <v>450.4</v>
      </c>
      <c r="E80" s="749">
        <v>444.9</v>
      </c>
    </row>
    <row r="81" spans="1:5" ht="26.1" customHeight="1" x14ac:dyDescent="0.25">
      <c r="A81" s="742">
        <v>2</v>
      </c>
      <c r="B81" s="743" t="s">
        <v>617</v>
      </c>
      <c r="C81" s="749">
        <v>90.7</v>
      </c>
      <c r="D81" s="749">
        <v>91.8</v>
      </c>
      <c r="E81" s="749">
        <v>90</v>
      </c>
    </row>
    <row r="82" spans="1:5" ht="26.1" customHeight="1" x14ac:dyDescent="0.25">
      <c r="A82" s="742">
        <v>3</v>
      </c>
      <c r="B82" s="743" t="s">
        <v>982</v>
      </c>
      <c r="C82" s="749">
        <v>1154.9000000000001</v>
      </c>
      <c r="D82" s="749">
        <v>1143.2</v>
      </c>
      <c r="E82" s="749">
        <v>1116.0999999999999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1698.8000000000002</v>
      </c>
      <c r="D83" s="759">
        <f>D80+D81+D82</f>
        <v>1685.4</v>
      </c>
      <c r="E83" s="759">
        <f>E80+E81+E82</f>
        <v>1651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101981.3812886143</v>
      </c>
      <c r="D86" s="752">
        <f>IF(D80=0,0,D59/D80)</f>
        <v>102698.60346358793</v>
      </c>
      <c r="E86" s="752">
        <f>IF(E80=0,0,E59/E80)</f>
        <v>102793.92447741066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31835.317740511917</v>
      </c>
      <c r="D87" s="752">
        <f>IF(D80=0,0,D60/D80)</f>
        <v>34444.90230905862</v>
      </c>
      <c r="E87" s="752">
        <f>IF(E80=0,0,E60/E80)</f>
        <v>22459.685322544392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133816.6990291262</v>
      </c>
      <c r="D88" s="755">
        <f>+D86+D87</f>
        <v>137143.50577264655</v>
      </c>
      <c r="E88" s="755">
        <f>+E86+E87</f>
        <v>125253.60979995505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109488.46747519294</v>
      </c>
      <c r="D91" s="744">
        <f>IF(D81=0,0,D64/D81)</f>
        <v>129940.17429193901</v>
      </c>
      <c r="E91" s="744">
        <f>IF(E81=0,0,E64/E81)</f>
        <v>133182.77777777778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33037.640573318633</v>
      </c>
      <c r="D92" s="744">
        <f>IF(D81=0,0,D65/D81)</f>
        <v>39442.418300653597</v>
      </c>
      <c r="E92" s="744">
        <f>IF(E81=0,0,E65/E81)</f>
        <v>25372.255555555555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142526.10804851158</v>
      </c>
      <c r="D93" s="757">
        <f>+D91+D92</f>
        <v>169382.59259259261</v>
      </c>
      <c r="E93" s="757">
        <f>+E91+E92</f>
        <v>158555.03333333333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67048.157416226502</v>
      </c>
      <c r="D96" s="752">
        <f>IF(D82=0,0,D69/D82)</f>
        <v>70152.765045486347</v>
      </c>
      <c r="E96" s="752">
        <f>IF(E82=0,0,E69/E82)</f>
        <v>67469.397007436608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26276.183219326347</v>
      </c>
      <c r="D97" s="752">
        <f>IF(D82=0,0,D70/D82)</f>
        <v>28474.301959412176</v>
      </c>
      <c r="E97" s="752">
        <f>IF(E82=0,0,E70/E82)</f>
        <v>19074.064151957711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93324.340635552857</v>
      </c>
      <c r="D98" s="757">
        <f>+D96+D97</f>
        <v>98627.067004898519</v>
      </c>
      <c r="E98" s="757">
        <f>+E96+E97</f>
        <v>86543.461159394326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78633.437132093241</v>
      </c>
      <c r="D101" s="744">
        <f>IF(D83=0,0,D75/D83)</f>
        <v>82106.680906609705</v>
      </c>
      <c r="E101" s="744">
        <f>IF(E83=0,0,E75/E83)</f>
        <v>80570.600242277404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28120.228396515184</v>
      </c>
      <c r="D102" s="761">
        <f>IF(D83=0,0,D76/D83)</f>
        <v>30667.271864245875</v>
      </c>
      <c r="E102" s="761">
        <f>IF(E83=0,0,E76/E83)</f>
        <v>20329.727437916416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106753.66552860843</v>
      </c>
      <c r="D103" s="757">
        <f>+D101+D102</f>
        <v>112773.95277085558</v>
      </c>
      <c r="E103" s="757">
        <f>+E101+E102</f>
        <v>100900.32768019382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2693.056637115576</v>
      </c>
      <c r="D108" s="744">
        <f>IF(D19=0,0,D77/D19)</f>
        <v>3188.492392343695</v>
      </c>
      <c r="E108" s="744">
        <f>IF(E19=0,0,E77/E19)</f>
        <v>2820.1053139442365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12087.790908484969</v>
      </c>
      <c r="D109" s="744">
        <f>IF(D20=0,0,D77/D20)</f>
        <v>14570.273668072059</v>
      </c>
      <c r="E109" s="744">
        <f>IF(E20=0,0,E77/E20)</f>
        <v>12706.82234935164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1404.2505670595606</v>
      </c>
      <c r="D110" s="744">
        <f>IF(D22=0,0,D77/D22)</f>
        <v>1574.5793674675733</v>
      </c>
      <c r="E110" s="744">
        <f>IF(E22=0,0,E77/E22)</f>
        <v>1420.3408646448693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6302.9818993773151</v>
      </c>
      <c r="D111" s="744">
        <f>IF(D23=0,0,D77/D23)</f>
        <v>7195.2664372640493</v>
      </c>
      <c r="E111" s="744">
        <f>IF(E23=0,0,E77/E23)</f>
        <v>6399.767750986809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1242.3535421975314</v>
      </c>
      <c r="D112" s="744">
        <f>IF(D29=0,0,D77/D29)</f>
        <v>1312.3745031149085</v>
      </c>
      <c r="E112" s="744">
        <f>IF(E29=0,0,E77/E29)</f>
        <v>1183.6984327754967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5576.3067309953985</v>
      </c>
      <c r="D113" s="744">
        <f>IF(D30=0,0,D77/D30)</f>
        <v>5997.0836723022467</v>
      </c>
      <c r="E113" s="744">
        <f>IF(E30=0,0,E77/E30)</f>
        <v>5333.5049673898829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FILING&amp;R&amp;"Arial,Bold"&amp;12NORWALK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913394783</v>
      </c>
      <c r="D12" s="76">
        <v>900265500</v>
      </c>
      <c r="E12" s="76">
        <f t="shared" ref="E12:E21" si="0">D12-C12</f>
        <v>-13129283</v>
      </c>
      <c r="F12" s="77">
        <f t="shared" ref="F12:F21" si="1">IF(C12=0,0,E12/C12)</f>
        <v>-1.4374160269316975E-2</v>
      </c>
    </row>
    <row r="13" spans="1:8" ht="23.1" customHeight="1" x14ac:dyDescent="0.2">
      <c r="A13" s="74">
        <v>2</v>
      </c>
      <c r="B13" s="75" t="s">
        <v>72</v>
      </c>
      <c r="C13" s="76">
        <v>543154825</v>
      </c>
      <c r="D13" s="76">
        <v>534888169</v>
      </c>
      <c r="E13" s="76">
        <f t="shared" si="0"/>
        <v>-8266656</v>
      </c>
      <c r="F13" s="77">
        <f t="shared" si="1"/>
        <v>-1.521970462105349E-2</v>
      </c>
    </row>
    <row r="14" spans="1:8" ht="23.1" customHeight="1" x14ac:dyDescent="0.2">
      <c r="A14" s="74">
        <v>3</v>
      </c>
      <c r="B14" s="75" t="s">
        <v>73</v>
      </c>
      <c r="C14" s="76">
        <v>18272000</v>
      </c>
      <c r="D14" s="76">
        <v>16801601</v>
      </c>
      <c r="E14" s="76">
        <f t="shared" si="0"/>
        <v>-1470399</v>
      </c>
      <c r="F14" s="77">
        <f t="shared" si="1"/>
        <v>-8.047279991243432E-2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351967958</v>
      </c>
      <c r="D16" s="79">
        <f>D12-D13-D14-D15</f>
        <v>348575730</v>
      </c>
      <c r="E16" s="79">
        <f t="shared" si="0"/>
        <v>-3392228</v>
      </c>
      <c r="F16" s="80">
        <f t="shared" si="1"/>
        <v>-9.6378886853103821E-3</v>
      </c>
    </row>
    <row r="17" spans="1:7" ht="23.1" customHeight="1" x14ac:dyDescent="0.2">
      <c r="A17" s="74">
        <v>5</v>
      </c>
      <c r="B17" s="75" t="s">
        <v>76</v>
      </c>
      <c r="C17" s="76">
        <v>17836044</v>
      </c>
      <c r="D17" s="76">
        <v>24556938</v>
      </c>
      <c r="E17" s="76">
        <f t="shared" si="0"/>
        <v>6720894</v>
      </c>
      <c r="F17" s="77">
        <f t="shared" si="1"/>
        <v>0.37681528482437027</v>
      </c>
      <c r="G17" s="65"/>
    </row>
    <row r="18" spans="1:7" ht="31.5" customHeight="1" x14ac:dyDescent="0.25">
      <c r="A18" s="71"/>
      <c r="B18" s="81" t="s">
        <v>77</v>
      </c>
      <c r="C18" s="79">
        <f>C16-C17</f>
        <v>334131914</v>
      </c>
      <c r="D18" s="79">
        <f>D16-D17</f>
        <v>324018792</v>
      </c>
      <c r="E18" s="79">
        <f t="shared" si="0"/>
        <v>-10113122</v>
      </c>
      <c r="F18" s="80">
        <f t="shared" si="1"/>
        <v>-3.0266854425644599E-2</v>
      </c>
    </row>
    <row r="19" spans="1:7" ht="23.1" customHeight="1" x14ac:dyDescent="0.2">
      <c r="A19" s="74">
        <v>6</v>
      </c>
      <c r="B19" s="75" t="s">
        <v>78</v>
      </c>
      <c r="C19" s="76">
        <v>16843048</v>
      </c>
      <c r="D19" s="76">
        <v>14640639</v>
      </c>
      <c r="E19" s="76">
        <f t="shared" si="0"/>
        <v>-2202409</v>
      </c>
      <c r="F19" s="77">
        <f t="shared" si="1"/>
        <v>-0.13076071504397541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1156023</v>
      </c>
      <c r="E20" s="76">
        <f t="shared" si="0"/>
        <v>1156023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350974962</v>
      </c>
      <c r="D21" s="79">
        <f>SUM(D18:D20)</f>
        <v>339815454</v>
      </c>
      <c r="E21" s="79">
        <f t="shared" si="0"/>
        <v>-11159508</v>
      </c>
      <c r="F21" s="80">
        <f t="shared" si="1"/>
        <v>-3.1795738181460365E-2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138382600</v>
      </c>
      <c r="D24" s="76">
        <v>133022061</v>
      </c>
      <c r="E24" s="76">
        <f t="shared" ref="E24:E33" si="2">D24-C24</f>
        <v>-5360539</v>
      </c>
      <c r="F24" s="77">
        <f t="shared" ref="F24:F33" si="3">IF(C24=0,0,E24/C24)</f>
        <v>-3.8737088333359829E-2</v>
      </c>
    </row>
    <row r="25" spans="1:7" ht="23.1" customHeight="1" x14ac:dyDescent="0.2">
      <c r="A25" s="74">
        <v>2</v>
      </c>
      <c r="B25" s="75" t="s">
        <v>83</v>
      </c>
      <c r="C25" s="76">
        <v>51686620</v>
      </c>
      <c r="D25" s="76">
        <v>33564380</v>
      </c>
      <c r="E25" s="76">
        <f t="shared" si="2"/>
        <v>-18122240</v>
      </c>
      <c r="F25" s="77">
        <f t="shared" si="3"/>
        <v>-0.35061762599295526</v>
      </c>
    </row>
    <row r="26" spans="1:7" ht="23.1" customHeight="1" x14ac:dyDescent="0.2">
      <c r="A26" s="74">
        <v>3</v>
      </c>
      <c r="B26" s="75" t="s">
        <v>84</v>
      </c>
      <c r="C26" s="76">
        <v>7455185</v>
      </c>
      <c r="D26" s="76">
        <v>7662386</v>
      </c>
      <c r="E26" s="76">
        <f t="shared" si="2"/>
        <v>207201</v>
      </c>
      <c r="F26" s="77">
        <f t="shared" si="3"/>
        <v>2.7792871672533949E-2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30741799</v>
      </c>
      <c r="D27" s="76">
        <v>31141533</v>
      </c>
      <c r="E27" s="76">
        <f t="shared" si="2"/>
        <v>399734</v>
      </c>
      <c r="F27" s="77">
        <f t="shared" si="3"/>
        <v>1.3002947550336921E-2</v>
      </c>
    </row>
    <row r="28" spans="1:7" ht="23.1" customHeight="1" x14ac:dyDescent="0.2">
      <c r="A28" s="74">
        <v>5</v>
      </c>
      <c r="B28" s="75" t="s">
        <v>86</v>
      </c>
      <c r="C28" s="76">
        <v>18635476</v>
      </c>
      <c r="D28" s="76">
        <v>18637806</v>
      </c>
      <c r="E28" s="76">
        <f t="shared" si="2"/>
        <v>2330</v>
      </c>
      <c r="F28" s="77">
        <f t="shared" si="3"/>
        <v>1.2503034534776573E-4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2529391</v>
      </c>
      <c r="D30" s="76">
        <v>2456725</v>
      </c>
      <c r="E30" s="76">
        <f t="shared" si="2"/>
        <v>-72666</v>
      </c>
      <c r="F30" s="77">
        <f t="shared" si="3"/>
        <v>-2.8728654446860923E-2</v>
      </c>
    </row>
    <row r="31" spans="1:7" ht="23.1" customHeight="1" x14ac:dyDescent="0.2">
      <c r="A31" s="74">
        <v>8</v>
      </c>
      <c r="B31" s="75" t="s">
        <v>89</v>
      </c>
      <c r="C31" s="76">
        <v>5816594</v>
      </c>
      <c r="D31" s="76">
        <v>3436127</v>
      </c>
      <c r="E31" s="76">
        <f t="shared" si="2"/>
        <v>-2380467</v>
      </c>
      <c r="F31" s="77">
        <f t="shared" si="3"/>
        <v>-0.40925445372326141</v>
      </c>
    </row>
    <row r="32" spans="1:7" ht="23.1" customHeight="1" x14ac:dyDescent="0.2">
      <c r="A32" s="74">
        <v>9</v>
      </c>
      <c r="B32" s="75" t="s">
        <v>90</v>
      </c>
      <c r="C32" s="76">
        <v>83733460</v>
      </c>
      <c r="D32" s="76">
        <v>81140210</v>
      </c>
      <c r="E32" s="76">
        <f t="shared" si="2"/>
        <v>-2593250</v>
      </c>
      <c r="F32" s="77">
        <f t="shared" si="3"/>
        <v>-3.0970295506718582E-2</v>
      </c>
    </row>
    <row r="33" spans="1:6" ht="23.1" customHeight="1" x14ac:dyDescent="0.25">
      <c r="A33" s="71"/>
      <c r="B33" s="78" t="s">
        <v>91</v>
      </c>
      <c r="C33" s="79">
        <f>SUM(C24:C32)</f>
        <v>338981125</v>
      </c>
      <c r="D33" s="79">
        <f>SUM(D24:D32)</f>
        <v>311061228</v>
      </c>
      <c r="E33" s="79">
        <f t="shared" si="2"/>
        <v>-27919897</v>
      </c>
      <c r="F33" s="80">
        <f t="shared" si="3"/>
        <v>-8.236416408140719E-2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11993837</v>
      </c>
      <c r="D35" s="79">
        <f>+D21-D33</f>
        <v>28754226</v>
      </c>
      <c r="E35" s="79">
        <f>D35-C35</f>
        <v>16760389</v>
      </c>
      <c r="F35" s="80">
        <f>IF(C35=0,0,E35/C35)</f>
        <v>1.3974167732978195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2302857</v>
      </c>
      <c r="D38" s="76">
        <v>2258619</v>
      </c>
      <c r="E38" s="76">
        <f>D38-C38</f>
        <v>-44238</v>
      </c>
      <c r="F38" s="77">
        <f>IF(C38=0,0,E38/C38)</f>
        <v>-1.9210050819482061E-2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2302857</v>
      </c>
      <c r="D41" s="79">
        <f>SUM(D38:D40)</f>
        <v>2258619</v>
      </c>
      <c r="E41" s="79">
        <f>D41-C41</f>
        <v>-44238</v>
      </c>
      <c r="F41" s="80">
        <f>IF(C41=0,0,E41/C41)</f>
        <v>-1.9210050819482061E-2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14296694</v>
      </c>
      <c r="D43" s="79">
        <f>D35+D41</f>
        <v>31012845</v>
      </c>
      <c r="E43" s="79">
        <f>D43-C43</f>
        <v>16716151</v>
      </c>
      <c r="F43" s="80">
        <f>IF(C43=0,0,E43/C43)</f>
        <v>1.169231921729597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7513809</v>
      </c>
      <c r="D46" s="76">
        <v>6339426</v>
      </c>
      <c r="E46" s="76">
        <f>D46-C46</f>
        <v>-1174383</v>
      </c>
      <c r="F46" s="77">
        <f>IF(C46=0,0,E46/C46)</f>
        <v>-0.15629662665101016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195247</v>
      </c>
      <c r="E47" s="76">
        <f>D47-C47</f>
        <v>195247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7513809</v>
      </c>
      <c r="D48" s="79">
        <f>SUM(D46:D47)</f>
        <v>6534673</v>
      </c>
      <c r="E48" s="79">
        <f>D48-C48</f>
        <v>-979136</v>
      </c>
      <c r="F48" s="80">
        <f>IF(C48=0,0,E48/C48)</f>
        <v>-0.13031153706462328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21810503</v>
      </c>
      <c r="D50" s="79">
        <f>D43+D48</f>
        <v>37547518</v>
      </c>
      <c r="E50" s="79">
        <f>D50-C50</f>
        <v>15737015</v>
      </c>
      <c r="F50" s="80">
        <f>IF(C50=0,0,E50/C50)</f>
        <v>0.72153379497941883</v>
      </c>
    </row>
    <row r="51" spans="1:6" ht="23.1" customHeight="1" x14ac:dyDescent="0.2">
      <c r="A51" s="85"/>
      <c r="B51" s="75" t="s">
        <v>104</v>
      </c>
      <c r="C51" s="76">
        <v>12900862</v>
      </c>
      <c r="D51" s="76">
        <v>4508589</v>
      </c>
      <c r="E51" s="76">
        <f>D51-C51</f>
        <v>-8392273</v>
      </c>
      <c r="F51" s="77">
        <f>IF(C51=0,0,E51/C51)</f>
        <v>-0.65052032957177586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FILING&amp;RNORWALK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212800842</v>
      </c>
      <c r="D14" s="113">
        <v>208807677</v>
      </c>
      <c r="E14" s="113">
        <f t="shared" ref="E14:E25" si="0">D14-C14</f>
        <v>-3993165</v>
      </c>
      <c r="F14" s="114">
        <f t="shared" ref="F14:F25" si="1">IF(C14=0,0,E14/C14)</f>
        <v>-1.8764798872365363E-2</v>
      </c>
    </row>
    <row r="15" spans="1:6" x14ac:dyDescent="0.2">
      <c r="A15" s="115">
        <v>2</v>
      </c>
      <c r="B15" s="116" t="s">
        <v>114</v>
      </c>
      <c r="C15" s="113">
        <v>30346099</v>
      </c>
      <c r="D15" s="113">
        <v>33556022</v>
      </c>
      <c r="E15" s="113">
        <f t="shared" si="0"/>
        <v>3209923</v>
      </c>
      <c r="F15" s="114">
        <f t="shared" si="1"/>
        <v>0.10577712146790268</v>
      </c>
    </row>
    <row r="16" spans="1:6" x14ac:dyDescent="0.2">
      <c r="A16" s="115">
        <v>3</v>
      </c>
      <c r="B16" s="116" t="s">
        <v>115</v>
      </c>
      <c r="C16" s="113">
        <v>74431040</v>
      </c>
      <c r="D16" s="113">
        <v>75052237</v>
      </c>
      <c r="E16" s="113">
        <f t="shared" si="0"/>
        <v>621197</v>
      </c>
      <c r="F16" s="114">
        <f t="shared" si="1"/>
        <v>8.3459400809124795E-3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477701</v>
      </c>
      <c r="D18" s="113">
        <v>366203</v>
      </c>
      <c r="E18" s="113">
        <f t="shared" si="0"/>
        <v>-111498</v>
      </c>
      <c r="F18" s="114">
        <f t="shared" si="1"/>
        <v>-0.23340541468408063</v>
      </c>
    </row>
    <row r="19" spans="1:6" x14ac:dyDescent="0.2">
      <c r="A19" s="115">
        <v>6</v>
      </c>
      <c r="B19" s="116" t="s">
        <v>118</v>
      </c>
      <c r="C19" s="113">
        <v>12270152</v>
      </c>
      <c r="D19" s="113">
        <v>13876079</v>
      </c>
      <c r="E19" s="113">
        <f t="shared" si="0"/>
        <v>1605927</v>
      </c>
      <c r="F19" s="114">
        <f t="shared" si="1"/>
        <v>0.13088077474508875</v>
      </c>
    </row>
    <row r="20" spans="1:6" x14ac:dyDescent="0.2">
      <c r="A20" s="115">
        <v>7</v>
      </c>
      <c r="B20" s="116" t="s">
        <v>119</v>
      </c>
      <c r="C20" s="113">
        <v>113124738</v>
      </c>
      <c r="D20" s="113">
        <v>111468252</v>
      </c>
      <c r="E20" s="113">
        <f t="shared" si="0"/>
        <v>-1656486</v>
      </c>
      <c r="F20" s="114">
        <f t="shared" si="1"/>
        <v>-1.4643004079266907E-2</v>
      </c>
    </row>
    <row r="21" spans="1:6" x14ac:dyDescent="0.2">
      <c r="A21" s="115">
        <v>8</v>
      </c>
      <c r="B21" s="116" t="s">
        <v>120</v>
      </c>
      <c r="C21" s="113">
        <v>1845195</v>
      </c>
      <c r="D21" s="113">
        <v>2493273</v>
      </c>
      <c r="E21" s="113">
        <f t="shared" si="0"/>
        <v>648078</v>
      </c>
      <c r="F21" s="114">
        <f t="shared" si="1"/>
        <v>0.35122466731158497</v>
      </c>
    </row>
    <row r="22" spans="1:6" x14ac:dyDescent="0.2">
      <c r="A22" s="115">
        <v>9</v>
      </c>
      <c r="B22" s="116" t="s">
        <v>121</v>
      </c>
      <c r="C22" s="113">
        <v>5189210</v>
      </c>
      <c r="D22" s="113">
        <v>7178824</v>
      </c>
      <c r="E22" s="113">
        <f t="shared" si="0"/>
        <v>1989614</v>
      </c>
      <c r="F22" s="114">
        <f t="shared" si="1"/>
        <v>0.38341366026813328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578536</v>
      </c>
      <c r="D24" s="113">
        <v>618499</v>
      </c>
      <c r="E24" s="113">
        <f t="shared" si="0"/>
        <v>39963</v>
      </c>
      <c r="F24" s="114">
        <f t="shared" si="1"/>
        <v>6.9076081695866806E-2</v>
      </c>
    </row>
    <row r="25" spans="1:6" ht="15.75" x14ac:dyDescent="0.25">
      <c r="A25" s="117"/>
      <c r="B25" s="118" t="s">
        <v>124</v>
      </c>
      <c r="C25" s="119">
        <f>SUM(C14:C24)</f>
        <v>451063513</v>
      </c>
      <c r="D25" s="119">
        <f>SUM(D14:D24)</f>
        <v>453417066</v>
      </c>
      <c r="E25" s="119">
        <f t="shared" si="0"/>
        <v>2353553</v>
      </c>
      <c r="F25" s="120">
        <f t="shared" si="1"/>
        <v>5.2177862588499817E-3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121877481</v>
      </c>
      <c r="D27" s="113">
        <v>114167538</v>
      </c>
      <c r="E27" s="113">
        <f t="shared" ref="E27:E38" si="2">D27-C27</f>
        <v>-7709943</v>
      </c>
      <c r="F27" s="114">
        <f t="shared" ref="F27:F38" si="3">IF(C27=0,0,E27/C27)</f>
        <v>-6.325978299469448E-2</v>
      </c>
    </row>
    <row r="28" spans="1:6" x14ac:dyDescent="0.2">
      <c r="A28" s="115">
        <v>2</v>
      </c>
      <c r="B28" s="116" t="s">
        <v>114</v>
      </c>
      <c r="C28" s="113">
        <v>17664073</v>
      </c>
      <c r="D28" s="113">
        <v>17825907</v>
      </c>
      <c r="E28" s="113">
        <f t="shared" si="2"/>
        <v>161834</v>
      </c>
      <c r="F28" s="114">
        <f t="shared" si="3"/>
        <v>9.1617601444468674E-3</v>
      </c>
    </row>
    <row r="29" spans="1:6" x14ac:dyDescent="0.2">
      <c r="A29" s="115">
        <v>3</v>
      </c>
      <c r="B29" s="116" t="s">
        <v>115</v>
      </c>
      <c r="C29" s="113">
        <v>69452300</v>
      </c>
      <c r="D29" s="113">
        <v>73913620</v>
      </c>
      <c r="E29" s="113">
        <f t="shared" si="2"/>
        <v>4461320</v>
      </c>
      <c r="F29" s="114">
        <f t="shared" si="3"/>
        <v>6.423574165290423E-2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325124</v>
      </c>
      <c r="D31" s="113">
        <v>412598</v>
      </c>
      <c r="E31" s="113">
        <f t="shared" si="2"/>
        <v>87474</v>
      </c>
      <c r="F31" s="114">
        <f t="shared" si="3"/>
        <v>0.26904811702611925</v>
      </c>
    </row>
    <row r="32" spans="1:6" x14ac:dyDescent="0.2">
      <c r="A32" s="115">
        <v>6</v>
      </c>
      <c r="B32" s="116" t="s">
        <v>118</v>
      </c>
      <c r="C32" s="113">
        <v>18279219</v>
      </c>
      <c r="D32" s="113">
        <v>25270876</v>
      </c>
      <c r="E32" s="113">
        <f t="shared" si="2"/>
        <v>6991657</v>
      </c>
      <c r="F32" s="114">
        <f t="shared" si="3"/>
        <v>0.38249210756761542</v>
      </c>
    </row>
    <row r="33" spans="1:6" x14ac:dyDescent="0.2">
      <c r="A33" s="115">
        <v>7</v>
      </c>
      <c r="B33" s="116" t="s">
        <v>119</v>
      </c>
      <c r="C33" s="113">
        <v>198166912</v>
      </c>
      <c r="D33" s="113">
        <v>180197884</v>
      </c>
      <c r="E33" s="113">
        <f t="shared" si="2"/>
        <v>-17969028</v>
      </c>
      <c r="F33" s="114">
        <f t="shared" si="3"/>
        <v>-9.0676227522786451E-2</v>
      </c>
    </row>
    <row r="34" spans="1:6" x14ac:dyDescent="0.2">
      <c r="A34" s="115">
        <v>8</v>
      </c>
      <c r="B34" s="116" t="s">
        <v>120</v>
      </c>
      <c r="C34" s="113">
        <v>5951894</v>
      </c>
      <c r="D34" s="113">
        <v>5777351</v>
      </c>
      <c r="E34" s="113">
        <f t="shared" si="2"/>
        <v>-174543</v>
      </c>
      <c r="F34" s="114">
        <f t="shared" si="3"/>
        <v>-2.9325623070572158E-2</v>
      </c>
    </row>
    <row r="35" spans="1:6" x14ac:dyDescent="0.2">
      <c r="A35" s="115">
        <v>9</v>
      </c>
      <c r="B35" s="116" t="s">
        <v>121</v>
      </c>
      <c r="C35" s="113">
        <v>29957432</v>
      </c>
      <c r="D35" s="113">
        <v>28397840</v>
      </c>
      <c r="E35" s="113">
        <f t="shared" si="2"/>
        <v>-1559592</v>
      </c>
      <c r="F35" s="114">
        <f t="shared" si="3"/>
        <v>-5.2060270052519855E-2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656835</v>
      </c>
      <c r="D37" s="113">
        <v>884820</v>
      </c>
      <c r="E37" s="113">
        <f t="shared" si="2"/>
        <v>227985</v>
      </c>
      <c r="F37" s="114">
        <f t="shared" si="3"/>
        <v>0.34709630272442848</v>
      </c>
    </row>
    <row r="38" spans="1:6" ht="15.75" x14ac:dyDescent="0.25">
      <c r="A38" s="117"/>
      <c r="B38" s="118" t="s">
        <v>126</v>
      </c>
      <c r="C38" s="119">
        <f>SUM(C27:C37)</f>
        <v>462331270</v>
      </c>
      <c r="D38" s="119">
        <f>SUM(D27:D37)</f>
        <v>446848434</v>
      </c>
      <c r="E38" s="119">
        <f t="shared" si="2"/>
        <v>-15482836</v>
      </c>
      <c r="F38" s="120">
        <f t="shared" si="3"/>
        <v>-3.3488619534646664E-2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334678323</v>
      </c>
      <c r="D41" s="119">
        <f t="shared" si="4"/>
        <v>322975215</v>
      </c>
      <c r="E41" s="123">
        <f t="shared" ref="E41:E52" si="5">D41-C41</f>
        <v>-11703108</v>
      </c>
      <c r="F41" s="124">
        <f t="shared" ref="F41:F52" si="6">IF(C41=0,0,E41/C41)</f>
        <v>-3.4968228282893601E-2</v>
      </c>
    </row>
    <row r="42" spans="1:6" ht="15.75" x14ac:dyDescent="0.25">
      <c r="A42" s="121">
        <v>2</v>
      </c>
      <c r="B42" s="122" t="s">
        <v>114</v>
      </c>
      <c r="C42" s="119">
        <f t="shared" si="4"/>
        <v>48010172</v>
      </c>
      <c r="D42" s="119">
        <f t="shared" si="4"/>
        <v>51381929</v>
      </c>
      <c r="E42" s="123">
        <f t="shared" si="5"/>
        <v>3371757</v>
      </c>
      <c r="F42" s="124">
        <f t="shared" si="6"/>
        <v>7.0230054580933385E-2</v>
      </c>
    </row>
    <row r="43" spans="1:6" ht="15.75" x14ac:dyDescent="0.25">
      <c r="A43" s="121">
        <v>3</v>
      </c>
      <c r="B43" s="122" t="s">
        <v>115</v>
      </c>
      <c r="C43" s="119">
        <f t="shared" si="4"/>
        <v>143883340</v>
      </c>
      <c r="D43" s="119">
        <f t="shared" si="4"/>
        <v>148965857</v>
      </c>
      <c r="E43" s="123">
        <f t="shared" si="5"/>
        <v>5082517</v>
      </c>
      <c r="F43" s="124">
        <f t="shared" si="6"/>
        <v>3.5323874188630873E-2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802825</v>
      </c>
      <c r="D45" s="119">
        <f t="shared" si="4"/>
        <v>778801</v>
      </c>
      <c r="E45" s="123">
        <f t="shared" si="5"/>
        <v>-24024</v>
      </c>
      <c r="F45" s="124">
        <f t="shared" si="6"/>
        <v>-2.9924329710709057E-2</v>
      </c>
    </row>
    <row r="46" spans="1:6" ht="15.75" x14ac:dyDescent="0.25">
      <c r="A46" s="121">
        <v>6</v>
      </c>
      <c r="B46" s="122" t="s">
        <v>118</v>
      </c>
      <c r="C46" s="119">
        <f t="shared" si="4"/>
        <v>30549371</v>
      </c>
      <c r="D46" s="119">
        <f t="shared" si="4"/>
        <v>39146955</v>
      </c>
      <c r="E46" s="123">
        <f t="shared" si="5"/>
        <v>8597584</v>
      </c>
      <c r="F46" s="124">
        <f t="shared" si="6"/>
        <v>0.28143243931274398</v>
      </c>
    </row>
    <row r="47" spans="1:6" ht="15.75" x14ac:dyDescent="0.25">
      <c r="A47" s="121">
        <v>7</v>
      </c>
      <c r="B47" s="122" t="s">
        <v>119</v>
      </c>
      <c r="C47" s="119">
        <f t="shared" si="4"/>
        <v>311291650</v>
      </c>
      <c r="D47" s="119">
        <f t="shared" si="4"/>
        <v>291666136</v>
      </c>
      <c r="E47" s="123">
        <f t="shared" si="5"/>
        <v>-19625514</v>
      </c>
      <c r="F47" s="124">
        <f t="shared" si="6"/>
        <v>-6.3045423801120271E-2</v>
      </c>
    </row>
    <row r="48" spans="1:6" ht="15.75" x14ac:dyDescent="0.25">
      <c r="A48" s="121">
        <v>8</v>
      </c>
      <c r="B48" s="122" t="s">
        <v>120</v>
      </c>
      <c r="C48" s="119">
        <f t="shared" si="4"/>
        <v>7797089</v>
      </c>
      <c r="D48" s="119">
        <f t="shared" si="4"/>
        <v>8270624</v>
      </c>
      <c r="E48" s="123">
        <f t="shared" si="5"/>
        <v>473535</v>
      </c>
      <c r="F48" s="124">
        <f t="shared" si="6"/>
        <v>6.0732280983325955E-2</v>
      </c>
    </row>
    <row r="49" spans="1:6" ht="15.75" x14ac:dyDescent="0.25">
      <c r="A49" s="121">
        <v>9</v>
      </c>
      <c r="B49" s="122" t="s">
        <v>121</v>
      </c>
      <c r="C49" s="119">
        <f t="shared" si="4"/>
        <v>35146642</v>
      </c>
      <c r="D49" s="119">
        <f t="shared" si="4"/>
        <v>35576664</v>
      </c>
      <c r="E49" s="123">
        <f t="shared" si="5"/>
        <v>430022</v>
      </c>
      <c r="F49" s="124">
        <f t="shared" si="6"/>
        <v>1.223508066574326E-2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1235371</v>
      </c>
      <c r="D51" s="119">
        <f t="shared" si="4"/>
        <v>1503319</v>
      </c>
      <c r="E51" s="123">
        <f t="shared" si="5"/>
        <v>267948</v>
      </c>
      <c r="F51" s="124">
        <f t="shared" si="6"/>
        <v>0.21689678647143246</v>
      </c>
    </row>
    <row r="52" spans="1:6" ht="18.75" customHeight="1" thickBot="1" x14ac:dyDescent="0.3">
      <c r="A52" s="125"/>
      <c r="B52" s="126" t="s">
        <v>128</v>
      </c>
      <c r="C52" s="127">
        <f>SUM(C41:C51)</f>
        <v>913394783</v>
      </c>
      <c r="D52" s="128">
        <f>SUM(D41:D51)</f>
        <v>900265500</v>
      </c>
      <c r="E52" s="127">
        <f t="shared" si="5"/>
        <v>-13129283</v>
      </c>
      <c r="F52" s="129">
        <f t="shared" si="6"/>
        <v>-1.4374160269316975E-2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64164032</v>
      </c>
      <c r="D57" s="113">
        <v>61942085</v>
      </c>
      <c r="E57" s="113">
        <f t="shared" ref="E57:E68" si="7">D57-C57</f>
        <v>-2221947</v>
      </c>
      <c r="F57" s="114">
        <f t="shared" ref="F57:F68" si="8">IF(C57=0,0,E57/C57)</f>
        <v>-3.4629167319160992E-2</v>
      </c>
    </row>
    <row r="58" spans="1:6" x14ac:dyDescent="0.2">
      <c r="A58" s="115">
        <v>2</v>
      </c>
      <c r="B58" s="116" t="s">
        <v>114</v>
      </c>
      <c r="C58" s="113">
        <v>8009830</v>
      </c>
      <c r="D58" s="113">
        <v>8299044</v>
      </c>
      <c r="E58" s="113">
        <f t="shared" si="7"/>
        <v>289214</v>
      </c>
      <c r="F58" s="114">
        <f t="shared" si="8"/>
        <v>3.6107383053073538E-2</v>
      </c>
    </row>
    <row r="59" spans="1:6" x14ac:dyDescent="0.2">
      <c r="A59" s="115">
        <v>3</v>
      </c>
      <c r="B59" s="116" t="s">
        <v>115</v>
      </c>
      <c r="C59" s="113">
        <v>15518342</v>
      </c>
      <c r="D59" s="113">
        <v>18310007</v>
      </c>
      <c r="E59" s="113">
        <f t="shared" si="7"/>
        <v>2791665</v>
      </c>
      <c r="F59" s="114">
        <f t="shared" si="8"/>
        <v>0.17989454028014076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166560</v>
      </c>
      <c r="D61" s="113">
        <v>108891</v>
      </c>
      <c r="E61" s="113">
        <f t="shared" si="7"/>
        <v>-57669</v>
      </c>
      <c r="F61" s="114">
        <f t="shared" si="8"/>
        <v>-0.34623559077809796</v>
      </c>
    </row>
    <row r="62" spans="1:6" x14ac:dyDescent="0.2">
      <c r="A62" s="115">
        <v>6</v>
      </c>
      <c r="B62" s="116" t="s">
        <v>118</v>
      </c>
      <c r="C62" s="113">
        <v>6359352</v>
      </c>
      <c r="D62" s="113">
        <v>6697009</v>
      </c>
      <c r="E62" s="113">
        <f t="shared" si="7"/>
        <v>337657</v>
      </c>
      <c r="F62" s="114">
        <f t="shared" si="8"/>
        <v>5.3096133065129905E-2</v>
      </c>
    </row>
    <row r="63" spans="1:6" x14ac:dyDescent="0.2">
      <c r="A63" s="115">
        <v>7</v>
      </c>
      <c r="B63" s="116" t="s">
        <v>119</v>
      </c>
      <c r="C63" s="113">
        <v>67498670</v>
      </c>
      <c r="D63" s="113">
        <v>61888675</v>
      </c>
      <c r="E63" s="113">
        <f t="shared" si="7"/>
        <v>-5609995</v>
      </c>
      <c r="F63" s="114">
        <f t="shared" si="8"/>
        <v>-8.3112674664552647E-2</v>
      </c>
    </row>
    <row r="64" spans="1:6" x14ac:dyDescent="0.2">
      <c r="A64" s="115">
        <v>8</v>
      </c>
      <c r="B64" s="116" t="s">
        <v>120</v>
      </c>
      <c r="C64" s="113">
        <v>1167537</v>
      </c>
      <c r="D64" s="113">
        <v>1509840</v>
      </c>
      <c r="E64" s="113">
        <f t="shared" si="7"/>
        <v>342303</v>
      </c>
      <c r="F64" s="114">
        <f t="shared" si="8"/>
        <v>0.29318385627179266</v>
      </c>
    </row>
    <row r="65" spans="1:6" x14ac:dyDescent="0.2">
      <c r="A65" s="115">
        <v>9</v>
      </c>
      <c r="B65" s="116" t="s">
        <v>121</v>
      </c>
      <c r="C65" s="113">
        <v>458039</v>
      </c>
      <c r="D65" s="113">
        <v>477473</v>
      </c>
      <c r="E65" s="113">
        <f t="shared" si="7"/>
        <v>19434</v>
      </c>
      <c r="F65" s="114">
        <f t="shared" si="8"/>
        <v>4.2428701486117992E-2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94864</v>
      </c>
      <c r="D67" s="113">
        <v>135707</v>
      </c>
      <c r="E67" s="113">
        <f t="shared" si="7"/>
        <v>40843</v>
      </c>
      <c r="F67" s="114">
        <f t="shared" si="8"/>
        <v>0.4305426716141002</v>
      </c>
    </row>
    <row r="68" spans="1:6" ht="15.75" x14ac:dyDescent="0.25">
      <c r="A68" s="117"/>
      <c r="B68" s="118" t="s">
        <v>131</v>
      </c>
      <c r="C68" s="119">
        <f>SUM(C57:C67)</f>
        <v>163437226</v>
      </c>
      <c r="D68" s="119">
        <f>SUM(D57:D67)</f>
        <v>159368731</v>
      </c>
      <c r="E68" s="119">
        <f t="shared" si="7"/>
        <v>-4068495</v>
      </c>
      <c r="F68" s="120">
        <f t="shared" si="8"/>
        <v>-2.4893318979851017E-2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24707861</v>
      </c>
      <c r="D70" s="113">
        <v>21993110</v>
      </c>
      <c r="E70" s="113">
        <f t="shared" ref="E70:E81" si="9">D70-C70</f>
        <v>-2714751</v>
      </c>
      <c r="F70" s="114">
        <f t="shared" ref="F70:F81" si="10">IF(C70=0,0,E70/C70)</f>
        <v>-0.10987397897373634</v>
      </c>
    </row>
    <row r="71" spans="1:6" x14ac:dyDescent="0.2">
      <c r="A71" s="115">
        <v>2</v>
      </c>
      <c r="B71" s="116" t="s">
        <v>114</v>
      </c>
      <c r="C71" s="113">
        <v>3627517</v>
      </c>
      <c r="D71" s="113">
        <v>3788446</v>
      </c>
      <c r="E71" s="113">
        <f t="shared" si="9"/>
        <v>160929</v>
      </c>
      <c r="F71" s="114">
        <f t="shared" si="10"/>
        <v>4.4363403396868985E-2</v>
      </c>
    </row>
    <row r="72" spans="1:6" x14ac:dyDescent="0.2">
      <c r="A72" s="115">
        <v>3</v>
      </c>
      <c r="B72" s="116" t="s">
        <v>115</v>
      </c>
      <c r="C72" s="113">
        <v>17506571</v>
      </c>
      <c r="D72" s="113">
        <v>19100840</v>
      </c>
      <c r="E72" s="113">
        <f t="shared" si="9"/>
        <v>1594269</v>
      </c>
      <c r="F72" s="114">
        <f t="shared" si="10"/>
        <v>9.106689139752154E-2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56187</v>
      </c>
      <c r="D74" s="113">
        <v>61717</v>
      </c>
      <c r="E74" s="113">
        <f t="shared" si="9"/>
        <v>5530</v>
      </c>
      <c r="F74" s="114">
        <f t="shared" si="10"/>
        <v>9.8421343015288237E-2</v>
      </c>
    </row>
    <row r="75" spans="1:6" x14ac:dyDescent="0.2">
      <c r="A75" s="115">
        <v>6</v>
      </c>
      <c r="B75" s="116" t="s">
        <v>118</v>
      </c>
      <c r="C75" s="113">
        <v>8879833</v>
      </c>
      <c r="D75" s="113">
        <v>12815983</v>
      </c>
      <c r="E75" s="113">
        <f t="shared" si="9"/>
        <v>3936150</v>
      </c>
      <c r="F75" s="114">
        <f t="shared" si="10"/>
        <v>0.4432684713777838</v>
      </c>
    </row>
    <row r="76" spans="1:6" x14ac:dyDescent="0.2">
      <c r="A76" s="115">
        <v>7</v>
      </c>
      <c r="B76" s="116" t="s">
        <v>119</v>
      </c>
      <c r="C76" s="113">
        <v>112392075</v>
      </c>
      <c r="D76" s="113">
        <v>105896659</v>
      </c>
      <c r="E76" s="113">
        <f t="shared" si="9"/>
        <v>-6495416</v>
      </c>
      <c r="F76" s="114">
        <f t="shared" si="10"/>
        <v>-5.7792473357218467E-2</v>
      </c>
    </row>
    <row r="77" spans="1:6" x14ac:dyDescent="0.2">
      <c r="A77" s="115">
        <v>8</v>
      </c>
      <c r="B77" s="116" t="s">
        <v>120</v>
      </c>
      <c r="C77" s="113">
        <v>2831929</v>
      </c>
      <c r="D77" s="113">
        <v>3099996</v>
      </c>
      <c r="E77" s="113">
        <f t="shared" si="9"/>
        <v>268067</v>
      </c>
      <c r="F77" s="114">
        <f t="shared" si="10"/>
        <v>9.4658799708608507E-2</v>
      </c>
    </row>
    <row r="78" spans="1:6" x14ac:dyDescent="0.2">
      <c r="A78" s="115">
        <v>9</v>
      </c>
      <c r="B78" s="116" t="s">
        <v>121</v>
      </c>
      <c r="C78" s="113">
        <v>2395471</v>
      </c>
      <c r="D78" s="113">
        <v>2259639</v>
      </c>
      <c r="E78" s="113">
        <f t="shared" si="9"/>
        <v>-135832</v>
      </c>
      <c r="F78" s="114">
        <f t="shared" si="10"/>
        <v>-5.670367121956392E-2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61369</v>
      </c>
      <c r="D80" s="113">
        <v>121751</v>
      </c>
      <c r="E80" s="113">
        <f t="shared" si="9"/>
        <v>60382</v>
      </c>
      <c r="F80" s="114">
        <f t="shared" si="10"/>
        <v>0.98391696133226869</v>
      </c>
    </row>
    <row r="81" spans="1:6" ht="15.75" x14ac:dyDescent="0.25">
      <c r="A81" s="117"/>
      <c r="B81" s="118" t="s">
        <v>133</v>
      </c>
      <c r="C81" s="119">
        <f>SUM(C70:C80)</f>
        <v>172458813</v>
      </c>
      <c r="D81" s="119">
        <f>SUM(D70:D80)</f>
        <v>169138141</v>
      </c>
      <c r="E81" s="119">
        <f t="shared" si="9"/>
        <v>-3320672</v>
      </c>
      <c r="F81" s="120">
        <f t="shared" si="10"/>
        <v>-1.9254869856955355E-2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88871893</v>
      </c>
      <c r="D84" s="119">
        <f t="shared" si="11"/>
        <v>83935195</v>
      </c>
      <c r="E84" s="119">
        <f t="shared" ref="E84:E95" si="12">D84-C84</f>
        <v>-4936698</v>
      </c>
      <c r="F84" s="120">
        <f t="shared" ref="F84:F95" si="13">IF(C84=0,0,E84/C84)</f>
        <v>-5.5548473576454593E-2</v>
      </c>
    </row>
    <row r="85" spans="1:6" ht="15.75" x14ac:dyDescent="0.25">
      <c r="A85" s="130">
        <v>2</v>
      </c>
      <c r="B85" s="122" t="s">
        <v>114</v>
      </c>
      <c r="C85" s="119">
        <f t="shared" si="11"/>
        <v>11637347</v>
      </c>
      <c r="D85" s="119">
        <f t="shared" si="11"/>
        <v>12087490</v>
      </c>
      <c r="E85" s="119">
        <f t="shared" si="12"/>
        <v>450143</v>
      </c>
      <c r="F85" s="120">
        <f t="shared" si="13"/>
        <v>3.868089522465902E-2</v>
      </c>
    </row>
    <row r="86" spans="1:6" ht="15.75" x14ac:dyDescent="0.25">
      <c r="A86" s="130">
        <v>3</v>
      </c>
      <c r="B86" s="122" t="s">
        <v>115</v>
      </c>
      <c r="C86" s="119">
        <f t="shared" si="11"/>
        <v>33024913</v>
      </c>
      <c r="D86" s="119">
        <f t="shared" si="11"/>
        <v>37410847</v>
      </c>
      <c r="E86" s="119">
        <f t="shared" si="12"/>
        <v>4385934</v>
      </c>
      <c r="F86" s="120">
        <f t="shared" si="13"/>
        <v>0.13280682980148956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222747</v>
      </c>
      <c r="D88" s="119">
        <f t="shared" si="11"/>
        <v>170608</v>
      </c>
      <c r="E88" s="119">
        <f t="shared" si="12"/>
        <v>-52139</v>
      </c>
      <c r="F88" s="120">
        <f t="shared" si="13"/>
        <v>-0.23407273723102892</v>
      </c>
    </row>
    <row r="89" spans="1:6" ht="15.75" x14ac:dyDescent="0.25">
      <c r="A89" s="130">
        <v>6</v>
      </c>
      <c r="B89" s="122" t="s">
        <v>118</v>
      </c>
      <c r="C89" s="119">
        <f t="shared" si="11"/>
        <v>15239185</v>
      </c>
      <c r="D89" s="119">
        <f t="shared" si="11"/>
        <v>19512992</v>
      </c>
      <c r="E89" s="119">
        <f t="shared" si="12"/>
        <v>4273807</v>
      </c>
      <c r="F89" s="120">
        <f t="shared" si="13"/>
        <v>0.28044852792324526</v>
      </c>
    </row>
    <row r="90" spans="1:6" ht="15.75" x14ac:dyDescent="0.25">
      <c r="A90" s="130">
        <v>7</v>
      </c>
      <c r="B90" s="122" t="s">
        <v>119</v>
      </c>
      <c r="C90" s="119">
        <f t="shared" si="11"/>
        <v>179890745</v>
      </c>
      <c r="D90" s="119">
        <f t="shared" si="11"/>
        <v>167785334</v>
      </c>
      <c r="E90" s="119">
        <f t="shared" si="12"/>
        <v>-12105411</v>
      </c>
      <c r="F90" s="120">
        <f t="shared" si="13"/>
        <v>-6.7293128393014323E-2</v>
      </c>
    </row>
    <row r="91" spans="1:6" ht="15.75" x14ac:dyDescent="0.25">
      <c r="A91" s="130">
        <v>8</v>
      </c>
      <c r="B91" s="122" t="s">
        <v>120</v>
      </c>
      <c r="C91" s="119">
        <f t="shared" si="11"/>
        <v>3999466</v>
      </c>
      <c r="D91" s="119">
        <f t="shared" si="11"/>
        <v>4609836</v>
      </c>
      <c r="E91" s="119">
        <f t="shared" si="12"/>
        <v>610370</v>
      </c>
      <c r="F91" s="120">
        <f t="shared" si="13"/>
        <v>0.15261287381865479</v>
      </c>
    </row>
    <row r="92" spans="1:6" ht="15.75" x14ac:dyDescent="0.25">
      <c r="A92" s="130">
        <v>9</v>
      </c>
      <c r="B92" s="122" t="s">
        <v>121</v>
      </c>
      <c r="C92" s="119">
        <f t="shared" si="11"/>
        <v>2853510</v>
      </c>
      <c r="D92" s="119">
        <f t="shared" si="11"/>
        <v>2737112</v>
      </c>
      <c r="E92" s="119">
        <f t="shared" si="12"/>
        <v>-116398</v>
      </c>
      <c r="F92" s="120">
        <f t="shared" si="13"/>
        <v>-4.0791165967527715E-2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156233</v>
      </c>
      <c r="D94" s="119">
        <f t="shared" si="11"/>
        <v>257458</v>
      </c>
      <c r="E94" s="119">
        <f t="shared" si="12"/>
        <v>101225</v>
      </c>
      <c r="F94" s="120">
        <f t="shared" si="13"/>
        <v>0.64791049266160161</v>
      </c>
    </row>
    <row r="95" spans="1:6" ht="18.75" customHeight="1" thickBot="1" x14ac:dyDescent="0.3">
      <c r="A95" s="131"/>
      <c r="B95" s="132" t="s">
        <v>134</v>
      </c>
      <c r="C95" s="128">
        <f>SUM(C84:C94)</f>
        <v>335896039</v>
      </c>
      <c r="D95" s="128">
        <f>SUM(D84:D94)</f>
        <v>328506872</v>
      </c>
      <c r="E95" s="128">
        <f t="shared" si="12"/>
        <v>-7389167</v>
      </c>
      <c r="F95" s="129">
        <f t="shared" si="13"/>
        <v>-2.1998374919806662E-2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4676</v>
      </c>
      <c r="D100" s="133">
        <v>4916</v>
      </c>
      <c r="E100" s="133">
        <f t="shared" ref="E100:E111" si="14">D100-C100</f>
        <v>240</v>
      </c>
      <c r="F100" s="114">
        <f t="shared" ref="F100:F111" si="15">IF(C100=0,0,E100/C100)</f>
        <v>5.1325919589392643E-2</v>
      </c>
    </row>
    <row r="101" spans="1:6" x14ac:dyDescent="0.2">
      <c r="A101" s="115">
        <v>2</v>
      </c>
      <c r="B101" s="116" t="s">
        <v>114</v>
      </c>
      <c r="C101" s="133">
        <v>643</v>
      </c>
      <c r="D101" s="133">
        <v>704</v>
      </c>
      <c r="E101" s="133">
        <f t="shared" si="14"/>
        <v>61</v>
      </c>
      <c r="F101" s="114">
        <f t="shared" si="15"/>
        <v>9.4867807153965783E-2</v>
      </c>
    </row>
    <row r="102" spans="1:6" x14ac:dyDescent="0.2">
      <c r="A102" s="115">
        <v>3</v>
      </c>
      <c r="B102" s="116" t="s">
        <v>115</v>
      </c>
      <c r="C102" s="133">
        <v>2782</v>
      </c>
      <c r="D102" s="133">
        <v>2675</v>
      </c>
      <c r="E102" s="133">
        <f t="shared" si="14"/>
        <v>-107</v>
      </c>
      <c r="F102" s="114">
        <f t="shared" si="15"/>
        <v>-3.8461538461538464E-2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16</v>
      </c>
      <c r="D104" s="133">
        <v>10</v>
      </c>
      <c r="E104" s="133">
        <f t="shared" si="14"/>
        <v>-6</v>
      </c>
      <c r="F104" s="114">
        <f t="shared" si="15"/>
        <v>-0.375</v>
      </c>
    </row>
    <row r="105" spans="1:6" x14ac:dyDescent="0.2">
      <c r="A105" s="115">
        <v>6</v>
      </c>
      <c r="B105" s="116" t="s">
        <v>118</v>
      </c>
      <c r="C105" s="133">
        <v>490</v>
      </c>
      <c r="D105" s="133">
        <v>561</v>
      </c>
      <c r="E105" s="133">
        <f t="shared" si="14"/>
        <v>71</v>
      </c>
      <c r="F105" s="114">
        <f t="shared" si="15"/>
        <v>0.14489795918367346</v>
      </c>
    </row>
    <row r="106" spans="1:6" x14ac:dyDescent="0.2">
      <c r="A106" s="115">
        <v>7</v>
      </c>
      <c r="B106" s="116" t="s">
        <v>119</v>
      </c>
      <c r="C106" s="133">
        <v>4185</v>
      </c>
      <c r="D106" s="133">
        <v>3947</v>
      </c>
      <c r="E106" s="133">
        <f t="shared" si="14"/>
        <v>-238</v>
      </c>
      <c r="F106" s="114">
        <f t="shared" si="15"/>
        <v>-5.686977299880526E-2</v>
      </c>
    </row>
    <row r="107" spans="1:6" x14ac:dyDescent="0.2">
      <c r="A107" s="115">
        <v>8</v>
      </c>
      <c r="B107" s="116" t="s">
        <v>120</v>
      </c>
      <c r="C107" s="133">
        <v>39</v>
      </c>
      <c r="D107" s="133">
        <v>43</v>
      </c>
      <c r="E107" s="133">
        <f t="shared" si="14"/>
        <v>4</v>
      </c>
      <c r="F107" s="114">
        <f t="shared" si="15"/>
        <v>0.10256410256410256</v>
      </c>
    </row>
    <row r="108" spans="1:6" x14ac:dyDescent="0.2">
      <c r="A108" s="115">
        <v>9</v>
      </c>
      <c r="B108" s="116" t="s">
        <v>121</v>
      </c>
      <c r="C108" s="133">
        <v>193</v>
      </c>
      <c r="D108" s="133">
        <v>231</v>
      </c>
      <c r="E108" s="133">
        <f t="shared" si="14"/>
        <v>38</v>
      </c>
      <c r="F108" s="114">
        <f t="shared" si="15"/>
        <v>0.19689119170984457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21</v>
      </c>
      <c r="D110" s="133">
        <v>23</v>
      </c>
      <c r="E110" s="133">
        <f t="shared" si="14"/>
        <v>2</v>
      </c>
      <c r="F110" s="114">
        <f t="shared" si="15"/>
        <v>9.5238095238095233E-2</v>
      </c>
    </row>
    <row r="111" spans="1:6" ht="15.75" x14ac:dyDescent="0.25">
      <c r="A111" s="117"/>
      <c r="B111" s="118" t="s">
        <v>138</v>
      </c>
      <c r="C111" s="134">
        <f>SUM(C100:C110)</f>
        <v>13045</v>
      </c>
      <c r="D111" s="134">
        <f>SUM(D100:D110)</f>
        <v>13110</v>
      </c>
      <c r="E111" s="134">
        <f t="shared" si="14"/>
        <v>65</v>
      </c>
      <c r="F111" s="120">
        <f t="shared" si="15"/>
        <v>4.9827520122652357E-3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27585</v>
      </c>
      <c r="D113" s="133">
        <v>27039</v>
      </c>
      <c r="E113" s="133">
        <f t="shared" ref="E113:E124" si="16">D113-C113</f>
        <v>-546</v>
      </c>
      <c r="F113" s="114">
        <f t="shared" ref="F113:F124" si="17">IF(C113=0,0,E113/C113)</f>
        <v>-1.979336595976074E-2</v>
      </c>
    </row>
    <row r="114" spans="1:6" x14ac:dyDescent="0.2">
      <c r="A114" s="115">
        <v>2</v>
      </c>
      <c r="B114" s="116" t="s">
        <v>114</v>
      </c>
      <c r="C114" s="133">
        <v>3792</v>
      </c>
      <c r="D114" s="133">
        <v>4174</v>
      </c>
      <c r="E114" s="133">
        <f t="shared" si="16"/>
        <v>382</v>
      </c>
      <c r="F114" s="114">
        <f t="shared" si="17"/>
        <v>0.10073839662447258</v>
      </c>
    </row>
    <row r="115" spans="1:6" x14ac:dyDescent="0.2">
      <c r="A115" s="115">
        <v>3</v>
      </c>
      <c r="B115" s="116" t="s">
        <v>115</v>
      </c>
      <c r="C115" s="133">
        <v>10948</v>
      </c>
      <c r="D115" s="133">
        <v>10923</v>
      </c>
      <c r="E115" s="133">
        <f t="shared" si="16"/>
        <v>-25</v>
      </c>
      <c r="F115" s="114">
        <f t="shared" si="17"/>
        <v>-2.2835221044939717E-3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51</v>
      </c>
      <c r="D117" s="133">
        <v>51</v>
      </c>
      <c r="E117" s="133">
        <f t="shared" si="16"/>
        <v>0</v>
      </c>
      <c r="F117" s="114">
        <f t="shared" si="17"/>
        <v>0</v>
      </c>
    </row>
    <row r="118" spans="1:6" x14ac:dyDescent="0.2">
      <c r="A118" s="115">
        <v>6</v>
      </c>
      <c r="B118" s="116" t="s">
        <v>118</v>
      </c>
      <c r="C118" s="133">
        <v>1727</v>
      </c>
      <c r="D118" s="133">
        <v>2038</v>
      </c>
      <c r="E118" s="133">
        <f t="shared" si="16"/>
        <v>311</v>
      </c>
      <c r="F118" s="114">
        <f t="shared" si="17"/>
        <v>0.18008106543138391</v>
      </c>
    </row>
    <row r="119" spans="1:6" x14ac:dyDescent="0.2">
      <c r="A119" s="115">
        <v>7</v>
      </c>
      <c r="B119" s="116" t="s">
        <v>119</v>
      </c>
      <c r="C119" s="133">
        <v>14685</v>
      </c>
      <c r="D119" s="133">
        <v>13733</v>
      </c>
      <c r="E119" s="133">
        <f t="shared" si="16"/>
        <v>-952</v>
      </c>
      <c r="F119" s="114">
        <f t="shared" si="17"/>
        <v>-6.4828055839291798E-2</v>
      </c>
    </row>
    <row r="120" spans="1:6" x14ac:dyDescent="0.2">
      <c r="A120" s="115">
        <v>8</v>
      </c>
      <c r="B120" s="116" t="s">
        <v>120</v>
      </c>
      <c r="C120" s="133">
        <v>154</v>
      </c>
      <c r="D120" s="133">
        <v>177</v>
      </c>
      <c r="E120" s="133">
        <f t="shared" si="16"/>
        <v>23</v>
      </c>
      <c r="F120" s="114">
        <f t="shared" si="17"/>
        <v>0.14935064935064934</v>
      </c>
    </row>
    <row r="121" spans="1:6" x14ac:dyDescent="0.2">
      <c r="A121" s="115">
        <v>9</v>
      </c>
      <c r="B121" s="116" t="s">
        <v>121</v>
      </c>
      <c r="C121" s="133">
        <v>590</v>
      </c>
      <c r="D121" s="133">
        <v>847</v>
      </c>
      <c r="E121" s="133">
        <f t="shared" si="16"/>
        <v>257</v>
      </c>
      <c r="F121" s="114">
        <f t="shared" si="17"/>
        <v>0.43559322033898307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79</v>
      </c>
      <c r="D123" s="133">
        <v>89</v>
      </c>
      <c r="E123" s="133">
        <f t="shared" si="16"/>
        <v>10</v>
      </c>
      <c r="F123" s="114">
        <f t="shared" si="17"/>
        <v>0.12658227848101267</v>
      </c>
    </row>
    <row r="124" spans="1:6" ht="15.75" x14ac:dyDescent="0.25">
      <c r="A124" s="117"/>
      <c r="B124" s="118" t="s">
        <v>140</v>
      </c>
      <c r="C124" s="134">
        <f>SUM(C113:C123)</f>
        <v>59611</v>
      </c>
      <c r="D124" s="134">
        <f>SUM(D113:D123)</f>
        <v>59071</v>
      </c>
      <c r="E124" s="134">
        <f t="shared" si="16"/>
        <v>-540</v>
      </c>
      <c r="F124" s="120">
        <f t="shared" si="17"/>
        <v>-9.0587307711663956E-3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58585</v>
      </c>
      <c r="D126" s="133">
        <v>61692</v>
      </c>
      <c r="E126" s="133">
        <f t="shared" ref="E126:E137" si="18">D126-C126</f>
        <v>3107</v>
      </c>
      <c r="F126" s="114">
        <f t="shared" ref="F126:F137" si="19">IF(C126=0,0,E126/C126)</f>
        <v>5.3034053085260734E-2</v>
      </c>
    </row>
    <row r="127" spans="1:6" x14ac:dyDescent="0.2">
      <c r="A127" s="115">
        <v>2</v>
      </c>
      <c r="B127" s="116" t="s">
        <v>114</v>
      </c>
      <c r="C127" s="133">
        <v>8492</v>
      </c>
      <c r="D127" s="133">
        <v>8806</v>
      </c>
      <c r="E127" s="133">
        <f t="shared" si="18"/>
        <v>314</v>
      </c>
      <c r="F127" s="114">
        <f t="shared" si="19"/>
        <v>3.6975977390485165E-2</v>
      </c>
    </row>
    <row r="128" spans="1:6" x14ac:dyDescent="0.2">
      <c r="A128" s="115">
        <v>3</v>
      </c>
      <c r="B128" s="116" t="s">
        <v>115</v>
      </c>
      <c r="C128" s="133">
        <v>43071</v>
      </c>
      <c r="D128" s="133">
        <v>46479</v>
      </c>
      <c r="E128" s="133">
        <f t="shared" si="18"/>
        <v>3408</v>
      </c>
      <c r="F128" s="114">
        <f t="shared" si="19"/>
        <v>7.9125165424531588E-2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192</v>
      </c>
      <c r="D130" s="133">
        <v>267</v>
      </c>
      <c r="E130" s="133">
        <f t="shared" si="18"/>
        <v>75</v>
      </c>
      <c r="F130" s="114">
        <f t="shared" si="19"/>
        <v>0.390625</v>
      </c>
    </row>
    <row r="131" spans="1:6" x14ac:dyDescent="0.2">
      <c r="A131" s="115">
        <v>6</v>
      </c>
      <c r="B131" s="116" t="s">
        <v>118</v>
      </c>
      <c r="C131" s="133">
        <v>11783</v>
      </c>
      <c r="D131" s="133">
        <v>15156</v>
      </c>
      <c r="E131" s="133">
        <f t="shared" si="18"/>
        <v>3373</v>
      </c>
      <c r="F131" s="114">
        <f t="shared" si="19"/>
        <v>0.28625986590851227</v>
      </c>
    </row>
    <row r="132" spans="1:6" x14ac:dyDescent="0.2">
      <c r="A132" s="115">
        <v>7</v>
      </c>
      <c r="B132" s="116" t="s">
        <v>119</v>
      </c>
      <c r="C132" s="133">
        <v>113631</v>
      </c>
      <c r="D132" s="133">
        <v>104969</v>
      </c>
      <c r="E132" s="133">
        <f t="shared" si="18"/>
        <v>-8662</v>
      </c>
      <c r="F132" s="114">
        <f t="shared" si="19"/>
        <v>-7.6229198018146455E-2</v>
      </c>
    </row>
    <row r="133" spans="1:6" x14ac:dyDescent="0.2">
      <c r="A133" s="115">
        <v>8</v>
      </c>
      <c r="B133" s="116" t="s">
        <v>120</v>
      </c>
      <c r="C133" s="133">
        <v>3241</v>
      </c>
      <c r="D133" s="133">
        <v>3237</v>
      </c>
      <c r="E133" s="133">
        <f t="shared" si="18"/>
        <v>-4</v>
      </c>
      <c r="F133" s="114">
        <f t="shared" si="19"/>
        <v>-1.2341869793273681E-3</v>
      </c>
    </row>
    <row r="134" spans="1:6" x14ac:dyDescent="0.2">
      <c r="A134" s="115">
        <v>9</v>
      </c>
      <c r="B134" s="116" t="s">
        <v>121</v>
      </c>
      <c r="C134" s="133">
        <v>21817</v>
      </c>
      <c r="D134" s="133">
        <v>21540</v>
      </c>
      <c r="E134" s="133">
        <f t="shared" si="18"/>
        <v>-277</v>
      </c>
      <c r="F134" s="114">
        <f t="shared" si="19"/>
        <v>-1.2696521061557501E-2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211</v>
      </c>
      <c r="D136" s="133">
        <v>217</v>
      </c>
      <c r="E136" s="133">
        <f t="shared" si="18"/>
        <v>6</v>
      </c>
      <c r="F136" s="114">
        <f t="shared" si="19"/>
        <v>2.843601895734597E-2</v>
      </c>
    </row>
    <row r="137" spans="1:6" ht="15.75" x14ac:dyDescent="0.25">
      <c r="A137" s="117"/>
      <c r="B137" s="118" t="s">
        <v>142</v>
      </c>
      <c r="C137" s="134">
        <f>SUM(C126:C136)</f>
        <v>261023</v>
      </c>
      <c r="D137" s="134">
        <f>SUM(D126:D136)</f>
        <v>262363</v>
      </c>
      <c r="E137" s="134">
        <f t="shared" si="18"/>
        <v>1340</v>
      </c>
      <c r="F137" s="120">
        <f t="shared" si="19"/>
        <v>5.1336472264896195E-3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35675959</v>
      </c>
      <c r="D142" s="113">
        <v>23376245</v>
      </c>
      <c r="E142" s="113">
        <f t="shared" ref="E142:E153" si="20">D142-C142</f>
        <v>-12299714</v>
      </c>
      <c r="F142" s="114">
        <f t="shared" ref="F142:F153" si="21">IF(C142=0,0,E142/C142)</f>
        <v>-0.34476197262139469</v>
      </c>
    </row>
    <row r="143" spans="1:6" x14ac:dyDescent="0.2">
      <c r="A143" s="115">
        <v>2</v>
      </c>
      <c r="B143" s="116" t="s">
        <v>114</v>
      </c>
      <c r="C143" s="113">
        <v>4813696</v>
      </c>
      <c r="D143" s="113">
        <v>3211943</v>
      </c>
      <c r="E143" s="113">
        <f t="shared" si="20"/>
        <v>-1601753</v>
      </c>
      <c r="F143" s="114">
        <f t="shared" si="21"/>
        <v>-0.33274909757491955</v>
      </c>
    </row>
    <row r="144" spans="1:6" x14ac:dyDescent="0.2">
      <c r="A144" s="115">
        <v>3</v>
      </c>
      <c r="B144" s="116" t="s">
        <v>115</v>
      </c>
      <c r="C144" s="113">
        <v>32159396</v>
      </c>
      <c r="D144" s="113">
        <v>30998321</v>
      </c>
      <c r="E144" s="113">
        <f t="shared" si="20"/>
        <v>-1161075</v>
      </c>
      <c r="F144" s="114">
        <f t="shared" si="21"/>
        <v>-3.6103756426271193E-2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156969</v>
      </c>
      <c r="D146" s="113">
        <v>127675</v>
      </c>
      <c r="E146" s="113">
        <f t="shared" si="20"/>
        <v>-29294</v>
      </c>
      <c r="F146" s="114">
        <f t="shared" si="21"/>
        <v>-0.1866228363562232</v>
      </c>
    </row>
    <row r="147" spans="1:6" x14ac:dyDescent="0.2">
      <c r="A147" s="115">
        <v>6</v>
      </c>
      <c r="B147" s="116" t="s">
        <v>118</v>
      </c>
      <c r="C147" s="113">
        <v>7410124</v>
      </c>
      <c r="D147" s="113">
        <v>8726553</v>
      </c>
      <c r="E147" s="113">
        <f t="shared" si="20"/>
        <v>1316429</v>
      </c>
      <c r="F147" s="114">
        <f t="shared" si="21"/>
        <v>0.1776527626258346</v>
      </c>
    </row>
    <row r="148" spans="1:6" x14ac:dyDescent="0.2">
      <c r="A148" s="115">
        <v>7</v>
      </c>
      <c r="B148" s="116" t="s">
        <v>119</v>
      </c>
      <c r="C148" s="113">
        <v>50410015</v>
      </c>
      <c r="D148" s="113">
        <v>41097385</v>
      </c>
      <c r="E148" s="113">
        <f t="shared" si="20"/>
        <v>-9312630</v>
      </c>
      <c r="F148" s="114">
        <f t="shared" si="21"/>
        <v>-0.18473769547578989</v>
      </c>
    </row>
    <row r="149" spans="1:6" x14ac:dyDescent="0.2">
      <c r="A149" s="115">
        <v>8</v>
      </c>
      <c r="B149" s="116" t="s">
        <v>120</v>
      </c>
      <c r="C149" s="113">
        <v>2092411</v>
      </c>
      <c r="D149" s="113">
        <v>2092800</v>
      </c>
      <c r="E149" s="113">
        <f t="shared" si="20"/>
        <v>389</v>
      </c>
      <c r="F149" s="114">
        <f t="shared" si="21"/>
        <v>1.8590993834385308E-4</v>
      </c>
    </row>
    <row r="150" spans="1:6" x14ac:dyDescent="0.2">
      <c r="A150" s="115">
        <v>9</v>
      </c>
      <c r="B150" s="116" t="s">
        <v>121</v>
      </c>
      <c r="C150" s="113">
        <v>14797556</v>
      </c>
      <c r="D150" s="113">
        <v>12915001</v>
      </c>
      <c r="E150" s="113">
        <f t="shared" si="20"/>
        <v>-1882555</v>
      </c>
      <c r="F150" s="114">
        <f t="shared" si="21"/>
        <v>-0.12722067076482088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618032</v>
      </c>
      <c r="D152" s="113">
        <v>401772</v>
      </c>
      <c r="E152" s="113">
        <f t="shared" si="20"/>
        <v>-216260</v>
      </c>
      <c r="F152" s="114">
        <f t="shared" si="21"/>
        <v>-0.34991715639319648</v>
      </c>
    </row>
    <row r="153" spans="1:6" ht="33.75" customHeight="1" x14ac:dyDescent="0.25">
      <c r="A153" s="117"/>
      <c r="B153" s="118" t="s">
        <v>146</v>
      </c>
      <c r="C153" s="119">
        <f>SUM(C142:C152)</f>
        <v>148134158</v>
      </c>
      <c r="D153" s="119">
        <f>SUM(D142:D152)</f>
        <v>122947695</v>
      </c>
      <c r="E153" s="119">
        <f t="shared" si="20"/>
        <v>-25186463</v>
      </c>
      <c r="F153" s="120">
        <f t="shared" si="21"/>
        <v>-0.17002468127573925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5959802</v>
      </c>
      <c r="D155" s="113">
        <v>4816095</v>
      </c>
      <c r="E155" s="113">
        <f t="shared" ref="E155:E166" si="22">D155-C155</f>
        <v>-1143707</v>
      </c>
      <c r="F155" s="114">
        <f t="shared" ref="F155:F166" si="23">IF(C155=0,0,E155/C155)</f>
        <v>-0.19190352296938723</v>
      </c>
    </row>
    <row r="156" spans="1:6" x14ac:dyDescent="0.2">
      <c r="A156" s="115">
        <v>2</v>
      </c>
      <c r="B156" s="116" t="s">
        <v>114</v>
      </c>
      <c r="C156" s="113">
        <v>811105</v>
      </c>
      <c r="D156" s="113">
        <v>923897</v>
      </c>
      <c r="E156" s="113">
        <f t="shared" si="22"/>
        <v>112792</v>
      </c>
      <c r="F156" s="114">
        <f t="shared" si="23"/>
        <v>0.13905967784688789</v>
      </c>
    </row>
    <row r="157" spans="1:6" x14ac:dyDescent="0.2">
      <c r="A157" s="115">
        <v>3</v>
      </c>
      <c r="B157" s="116" t="s">
        <v>115</v>
      </c>
      <c r="C157" s="113">
        <v>6513017</v>
      </c>
      <c r="D157" s="113">
        <v>7304940</v>
      </c>
      <c r="E157" s="113">
        <f t="shared" si="22"/>
        <v>791923</v>
      </c>
      <c r="F157" s="114">
        <f t="shared" si="23"/>
        <v>0.12159080806944002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25056</v>
      </c>
      <c r="D159" s="113">
        <v>18032</v>
      </c>
      <c r="E159" s="113">
        <f t="shared" si="22"/>
        <v>-7024</v>
      </c>
      <c r="F159" s="114">
        <f t="shared" si="23"/>
        <v>-0.28033205619412516</v>
      </c>
    </row>
    <row r="160" spans="1:6" x14ac:dyDescent="0.2">
      <c r="A160" s="115">
        <v>6</v>
      </c>
      <c r="B160" s="116" t="s">
        <v>118</v>
      </c>
      <c r="C160" s="113">
        <v>4185672</v>
      </c>
      <c r="D160" s="113">
        <v>6065795</v>
      </c>
      <c r="E160" s="113">
        <f t="shared" si="22"/>
        <v>1880123</v>
      </c>
      <c r="F160" s="114">
        <f t="shared" si="23"/>
        <v>0.44918068114271736</v>
      </c>
    </row>
    <row r="161" spans="1:6" x14ac:dyDescent="0.2">
      <c r="A161" s="115">
        <v>7</v>
      </c>
      <c r="B161" s="116" t="s">
        <v>119</v>
      </c>
      <c r="C161" s="113">
        <v>33526942</v>
      </c>
      <c r="D161" s="113">
        <v>32895443</v>
      </c>
      <c r="E161" s="113">
        <f t="shared" si="22"/>
        <v>-631499</v>
      </c>
      <c r="F161" s="114">
        <f t="shared" si="23"/>
        <v>-1.8835568123093362E-2</v>
      </c>
    </row>
    <row r="162" spans="1:6" x14ac:dyDescent="0.2">
      <c r="A162" s="115">
        <v>8</v>
      </c>
      <c r="B162" s="116" t="s">
        <v>120</v>
      </c>
      <c r="C162" s="113">
        <v>1224093</v>
      </c>
      <c r="D162" s="113">
        <v>1309936</v>
      </c>
      <c r="E162" s="113">
        <f t="shared" si="22"/>
        <v>85843</v>
      </c>
      <c r="F162" s="114">
        <f t="shared" si="23"/>
        <v>7.0127841593735113E-2</v>
      </c>
    </row>
    <row r="163" spans="1:6" x14ac:dyDescent="0.2">
      <c r="A163" s="115">
        <v>9</v>
      </c>
      <c r="B163" s="116" t="s">
        <v>121</v>
      </c>
      <c r="C163" s="113">
        <v>459446</v>
      </c>
      <c r="D163" s="113">
        <v>278673</v>
      </c>
      <c r="E163" s="113">
        <f t="shared" si="22"/>
        <v>-180773</v>
      </c>
      <c r="F163" s="114">
        <f t="shared" si="23"/>
        <v>-0.39345864367085576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53354</v>
      </c>
      <c r="D165" s="113">
        <v>82359</v>
      </c>
      <c r="E165" s="113">
        <f t="shared" si="22"/>
        <v>29005</v>
      </c>
      <c r="F165" s="114">
        <f t="shared" si="23"/>
        <v>0.54363309217678146</v>
      </c>
    </row>
    <row r="166" spans="1:6" ht="33.75" customHeight="1" x14ac:dyDescent="0.25">
      <c r="A166" s="117"/>
      <c r="B166" s="118" t="s">
        <v>148</v>
      </c>
      <c r="C166" s="119">
        <f>SUM(C155:C165)</f>
        <v>52758487</v>
      </c>
      <c r="D166" s="119">
        <f>SUM(D155:D165)</f>
        <v>53695170</v>
      </c>
      <c r="E166" s="119">
        <f t="shared" si="22"/>
        <v>936683</v>
      </c>
      <c r="F166" s="120">
        <f t="shared" si="23"/>
        <v>1.7754167211049856E-2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6488</v>
      </c>
      <c r="D168" s="133">
        <v>6457</v>
      </c>
      <c r="E168" s="133">
        <f t="shared" ref="E168:E179" si="24">D168-C168</f>
        <v>-31</v>
      </c>
      <c r="F168" s="114">
        <f t="shared" ref="F168:F179" si="25">IF(C168=0,0,E168/C168)</f>
        <v>-4.7780517879161526E-3</v>
      </c>
    </row>
    <row r="169" spans="1:6" x14ac:dyDescent="0.2">
      <c r="A169" s="115">
        <v>2</v>
      </c>
      <c r="B169" s="116" t="s">
        <v>114</v>
      </c>
      <c r="C169" s="133">
        <v>904</v>
      </c>
      <c r="D169" s="133">
        <v>953</v>
      </c>
      <c r="E169" s="133">
        <f t="shared" si="24"/>
        <v>49</v>
      </c>
      <c r="F169" s="114">
        <f t="shared" si="25"/>
        <v>5.4203539823008851E-2</v>
      </c>
    </row>
    <row r="170" spans="1:6" x14ac:dyDescent="0.2">
      <c r="A170" s="115">
        <v>3</v>
      </c>
      <c r="B170" s="116" t="s">
        <v>115</v>
      </c>
      <c r="C170" s="133">
        <v>11040</v>
      </c>
      <c r="D170" s="133">
        <v>11201</v>
      </c>
      <c r="E170" s="133">
        <f t="shared" si="24"/>
        <v>161</v>
      </c>
      <c r="F170" s="114">
        <f t="shared" si="25"/>
        <v>1.4583333333333334E-2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55</v>
      </c>
      <c r="D172" s="133">
        <v>54</v>
      </c>
      <c r="E172" s="133">
        <f t="shared" si="24"/>
        <v>-1</v>
      </c>
      <c r="F172" s="114">
        <f t="shared" si="25"/>
        <v>-1.8181818181818181E-2</v>
      </c>
    </row>
    <row r="173" spans="1:6" x14ac:dyDescent="0.2">
      <c r="A173" s="115">
        <v>6</v>
      </c>
      <c r="B173" s="116" t="s">
        <v>118</v>
      </c>
      <c r="C173" s="133">
        <v>1948</v>
      </c>
      <c r="D173" s="133">
        <v>2323</v>
      </c>
      <c r="E173" s="133">
        <f t="shared" si="24"/>
        <v>375</v>
      </c>
      <c r="F173" s="114">
        <f t="shared" si="25"/>
        <v>0.19250513347022588</v>
      </c>
    </row>
    <row r="174" spans="1:6" x14ac:dyDescent="0.2">
      <c r="A174" s="115">
        <v>7</v>
      </c>
      <c r="B174" s="116" t="s">
        <v>119</v>
      </c>
      <c r="C174" s="133">
        <v>13810</v>
      </c>
      <c r="D174" s="133">
        <v>13152</v>
      </c>
      <c r="E174" s="133">
        <f t="shared" si="24"/>
        <v>-658</v>
      </c>
      <c r="F174" s="114">
        <f t="shared" si="25"/>
        <v>-4.7646632874728458E-2</v>
      </c>
    </row>
    <row r="175" spans="1:6" x14ac:dyDescent="0.2">
      <c r="A175" s="115">
        <v>8</v>
      </c>
      <c r="B175" s="116" t="s">
        <v>120</v>
      </c>
      <c r="C175" s="133">
        <v>856</v>
      </c>
      <c r="D175" s="133">
        <v>814</v>
      </c>
      <c r="E175" s="133">
        <f t="shared" si="24"/>
        <v>-42</v>
      </c>
      <c r="F175" s="114">
        <f t="shared" si="25"/>
        <v>-4.9065420560747662E-2</v>
      </c>
    </row>
    <row r="176" spans="1:6" x14ac:dyDescent="0.2">
      <c r="A176" s="115">
        <v>9</v>
      </c>
      <c r="B176" s="116" t="s">
        <v>121</v>
      </c>
      <c r="C176" s="133">
        <v>4559</v>
      </c>
      <c r="D176" s="133">
        <v>3973</v>
      </c>
      <c r="E176" s="133">
        <f t="shared" si="24"/>
        <v>-586</v>
      </c>
      <c r="F176" s="114">
        <f t="shared" si="25"/>
        <v>-0.12853695985961833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178</v>
      </c>
      <c r="D178" s="133">
        <v>164</v>
      </c>
      <c r="E178" s="133">
        <f t="shared" si="24"/>
        <v>-14</v>
      </c>
      <c r="F178" s="114">
        <f t="shared" si="25"/>
        <v>-7.8651685393258425E-2</v>
      </c>
    </row>
    <row r="179" spans="1:6" ht="33.75" customHeight="1" x14ac:dyDescent="0.25">
      <c r="A179" s="117"/>
      <c r="B179" s="118" t="s">
        <v>150</v>
      </c>
      <c r="C179" s="134">
        <f>SUM(C168:C178)</f>
        <v>39838</v>
      </c>
      <c r="D179" s="134">
        <f>SUM(D168:D178)</f>
        <v>39091</v>
      </c>
      <c r="E179" s="134">
        <f t="shared" si="24"/>
        <v>-747</v>
      </c>
      <c r="F179" s="120">
        <f t="shared" si="25"/>
        <v>-1.8750941312314875E-2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FILING&amp;RNORWALK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46255451</v>
      </c>
      <c r="D15" s="157">
        <v>45733017</v>
      </c>
      <c r="E15" s="157">
        <f>+D15-C15</f>
        <v>-522434</v>
      </c>
      <c r="F15" s="161">
        <f>IF(C15=0,0,E15/C15)</f>
        <v>-1.1294539101996865E-2</v>
      </c>
    </row>
    <row r="16" spans="1:6" ht="15" customHeight="1" x14ac:dyDescent="0.2">
      <c r="A16" s="147">
        <v>2</v>
      </c>
      <c r="B16" s="160" t="s">
        <v>157</v>
      </c>
      <c r="C16" s="157">
        <v>11928508</v>
      </c>
      <c r="D16" s="157">
        <v>11986450</v>
      </c>
      <c r="E16" s="157">
        <f>+D16-C16</f>
        <v>57942</v>
      </c>
      <c r="F16" s="161">
        <f>IF(C16=0,0,E16/C16)</f>
        <v>4.8574390024301445E-3</v>
      </c>
    </row>
    <row r="17" spans="1:6" ht="15" customHeight="1" x14ac:dyDescent="0.2">
      <c r="A17" s="147">
        <v>3</v>
      </c>
      <c r="B17" s="160" t="s">
        <v>158</v>
      </c>
      <c r="C17" s="157">
        <v>80198641</v>
      </c>
      <c r="D17" s="157">
        <v>75302594</v>
      </c>
      <c r="E17" s="157">
        <f>+D17-C17</f>
        <v>-4896047</v>
      </c>
      <c r="F17" s="161">
        <f>IF(C17=0,0,E17/C17)</f>
        <v>-6.1049002064760674E-2</v>
      </c>
    </row>
    <row r="18" spans="1:6" ht="15.75" customHeight="1" x14ac:dyDescent="0.25">
      <c r="A18" s="147"/>
      <c r="B18" s="162" t="s">
        <v>159</v>
      </c>
      <c r="C18" s="158">
        <f>SUM(C15:C17)</f>
        <v>138382600</v>
      </c>
      <c r="D18" s="158">
        <f>SUM(D15:D17)</f>
        <v>133022061</v>
      </c>
      <c r="E18" s="158">
        <f>+D18-C18</f>
        <v>-5360539</v>
      </c>
      <c r="F18" s="159">
        <f>IF(C18=0,0,E18/C18)</f>
        <v>-3.8737088333359829E-2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15513984</v>
      </c>
      <c r="D21" s="157">
        <v>9992314</v>
      </c>
      <c r="E21" s="157">
        <f>+D21-C21</f>
        <v>-5521670</v>
      </c>
      <c r="F21" s="161">
        <f>IF(C21=0,0,E21/C21)</f>
        <v>-0.35591566937287034</v>
      </c>
    </row>
    <row r="22" spans="1:6" ht="15" customHeight="1" x14ac:dyDescent="0.2">
      <c r="A22" s="147">
        <v>2</v>
      </c>
      <c r="B22" s="160" t="s">
        <v>162</v>
      </c>
      <c r="C22" s="157">
        <v>3620814</v>
      </c>
      <c r="D22" s="157">
        <v>2283503</v>
      </c>
      <c r="E22" s="157">
        <f>+D22-C22</f>
        <v>-1337311</v>
      </c>
      <c r="F22" s="161">
        <f>IF(C22=0,0,E22/C22)</f>
        <v>-0.36933987771810428</v>
      </c>
    </row>
    <row r="23" spans="1:6" ht="15" customHeight="1" x14ac:dyDescent="0.2">
      <c r="A23" s="147">
        <v>3</v>
      </c>
      <c r="B23" s="160" t="s">
        <v>163</v>
      </c>
      <c r="C23" s="157">
        <v>32551822</v>
      </c>
      <c r="D23" s="157">
        <v>21288563</v>
      </c>
      <c r="E23" s="157">
        <f>+D23-C23</f>
        <v>-11263259</v>
      </c>
      <c r="F23" s="161">
        <f>IF(C23=0,0,E23/C23)</f>
        <v>-0.34601009430439866</v>
      </c>
    </row>
    <row r="24" spans="1:6" ht="15.75" customHeight="1" x14ac:dyDescent="0.25">
      <c r="A24" s="147"/>
      <c r="B24" s="162" t="s">
        <v>164</v>
      </c>
      <c r="C24" s="158">
        <f>SUM(C21:C23)</f>
        <v>51686620</v>
      </c>
      <c r="D24" s="158">
        <f>SUM(D21:D23)</f>
        <v>33564380</v>
      </c>
      <c r="E24" s="158">
        <f>+D24-C24</f>
        <v>-18122240</v>
      </c>
      <c r="F24" s="159">
        <f>IF(C24=0,0,E24/C24)</f>
        <v>-0.35061762599295526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480087</v>
      </c>
      <c r="D27" s="157">
        <v>190940</v>
      </c>
      <c r="E27" s="157">
        <f>+D27-C27</f>
        <v>-289147</v>
      </c>
      <c r="F27" s="161">
        <f>IF(C27=0,0,E27/C27)</f>
        <v>-0.60228042000720705</v>
      </c>
    </row>
    <row r="28" spans="1:6" ht="15" customHeight="1" x14ac:dyDescent="0.2">
      <c r="A28" s="147">
        <v>2</v>
      </c>
      <c r="B28" s="160" t="s">
        <v>167</v>
      </c>
      <c r="C28" s="157">
        <v>7455185</v>
      </c>
      <c r="D28" s="157">
        <v>7662386</v>
      </c>
      <c r="E28" s="157">
        <f>+D28-C28</f>
        <v>207201</v>
      </c>
      <c r="F28" s="161">
        <f>IF(C28=0,0,E28/C28)</f>
        <v>2.7792871672533949E-2</v>
      </c>
    </row>
    <row r="29" spans="1:6" ht="15" customHeight="1" x14ac:dyDescent="0.2">
      <c r="A29" s="147">
        <v>3</v>
      </c>
      <c r="B29" s="160" t="s">
        <v>168</v>
      </c>
      <c r="C29" s="157">
        <v>7086120</v>
      </c>
      <c r="D29" s="157">
        <v>5440237</v>
      </c>
      <c r="E29" s="157">
        <f>+D29-C29</f>
        <v>-1645883</v>
      </c>
      <c r="F29" s="161">
        <f>IF(C29=0,0,E29/C29)</f>
        <v>-0.23226857575090459</v>
      </c>
    </row>
    <row r="30" spans="1:6" ht="15.75" customHeight="1" x14ac:dyDescent="0.25">
      <c r="A30" s="147"/>
      <c r="B30" s="162" t="s">
        <v>169</v>
      </c>
      <c r="C30" s="158">
        <f>SUM(C27:C29)</f>
        <v>15021392</v>
      </c>
      <c r="D30" s="158">
        <f>SUM(D27:D29)</f>
        <v>13293563</v>
      </c>
      <c r="E30" s="158">
        <f>+D30-C30</f>
        <v>-1727829</v>
      </c>
      <c r="F30" s="159">
        <f>IF(C30=0,0,E30/C30)</f>
        <v>-0.11502455964134349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23207797</v>
      </c>
      <c r="D33" s="157">
        <v>22000804</v>
      </c>
      <c r="E33" s="157">
        <f>+D33-C33</f>
        <v>-1206993</v>
      </c>
      <c r="F33" s="161">
        <f>IF(C33=0,0,E33/C33)</f>
        <v>-5.2008081594302119E-2</v>
      </c>
    </row>
    <row r="34" spans="1:6" ht="15" customHeight="1" x14ac:dyDescent="0.2">
      <c r="A34" s="147">
        <v>2</v>
      </c>
      <c r="B34" s="160" t="s">
        <v>173</v>
      </c>
      <c r="C34" s="157">
        <v>7534002</v>
      </c>
      <c r="D34" s="157">
        <v>9140729</v>
      </c>
      <c r="E34" s="157">
        <f>+D34-C34</f>
        <v>1606727</v>
      </c>
      <c r="F34" s="161">
        <f>IF(C34=0,0,E34/C34)</f>
        <v>0.21326341564549625</v>
      </c>
    </row>
    <row r="35" spans="1:6" ht="15.75" customHeight="1" x14ac:dyDescent="0.25">
      <c r="A35" s="147"/>
      <c r="B35" s="162" t="s">
        <v>174</v>
      </c>
      <c r="C35" s="158">
        <f>SUM(C33:C34)</f>
        <v>30741799</v>
      </c>
      <c r="D35" s="158">
        <f>SUM(D33:D34)</f>
        <v>31141533</v>
      </c>
      <c r="E35" s="158">
        <f>+D35-C35</f>
        <v>399734</v>
      </c>
      <c r="F35" s="159">
        <f>IF(C35=0,0,E35/C35)</f>
        <v>1.3002947550336921E-2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6372888</v>
      </c>
      <c r="D38" s="157">
        <v>8325635</v>
      </c>
      <c r="E38" s="157">
        <f>+D38-C38</f>
        <v>1952747</v>
      </c>
      <c r="F38" s="161">
        <f>IF(C38=0,0,E38/C38)</f>
        <v>0.30641476831226283</v>
      </c>
    </row>
    <row r="39" spans="1:6" ht="15" customHeight="1" x14ac:dyDescent="0.2">
      <c r="A39" s="147">
        <v>2</v>
      </c>
      <c r="B39" s="160" t="s">
        <v>178</v>
      </c>
      <c r="C39" s="157">
        <v>12262588</v>
      </c>
      <c r="D39" s="157">
        <v>10113544</v>
      </c>
      <c r="E39" s="157">
        <f>+D39-C39</f>
        <v>-2149044</v>
      </c>
      <c r="F39" s="161">
        <f>IF(C39=0,0,E39/C39)</f>
        <v>-0.17525207566298404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198627</v>
      </c>
      <c r="E40" s="157">
        <f>+D40-C40</f>
        <v>198627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18635476</v>
      </c>
      <c r="D41" s="158">
        <f>SUM(D38:D40)</f>
        <v>18637806</v>
      </c>
      <c r="E41" s="158">
        <f>+D41-C41</f>
        <v>2330</v>
      </c>
      <c r="F41" s="159">
        <f>IF(C41=0,0,E41/C41)</f>
        <v>1.2503034534776573E-4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2529391</v>
      </c>
      <c r="D47" s="157">
        <v>2456725</v>
      </c>
      <c r="E47" s="157">
        <f>+D47-C47</f>
        <v>-72666</v>
      </c>
      <c r="F47" s="161">
        <f>IF(C47=0,0,E47/C47)</f>
        <v>-2.8728654446860923E-2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5816594</v>
      </c>
      <c r="D50" s="157">
        <v>3436127</v>
      </c>
      <c r="E50" s="157">
        <f>+D50-C50</f>
        <v>-2380467</v>
      </c>
      <c r="F50" s="161">
        <f>IF(C50=0,0,E50/C50)</f>
        <v>-0.40925445372326141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197105</v>
      </c>
      <c r="D53" s="157">
        <v>183266</v>
      </c>
      <c r="E53" s="157">
        <f t="shared" ref="E53:E59" si="0">+D53-C53</f>
        <v>-13839</v>
      </c>
      <c r="F53" s="161">
        <f t="shared" ref="F53:F59" si="1">IF(C53=0,0,E53/C53)</f>
        <v>-7.0211308693336041E-2</v>
      </c>
    </row>
    <row r="54" spans="1:6" ht="15" customHeight="1" x14ac:dyDescent="0.2">
      <c r="A54" s="147">
        <v>2</v>
      </c>
      <c r="B54" s="160" t="s">
        <v>189</v>
      </c>
      <c r="C54" s="157">
        <v>2228902</v>
      </c>
      <c r="D54" s="157">
        <v>2550842</v>
      </c>
      <c r="E54" s="157">
        <f t="shared" si="0"/>
        <v>321940</v>
      </c>
      <c r="F54" s="161">
        <f t="shared" si="1"/>
        <v>0.1444388313169444</v>
      </c>
    </row>
    <row r="55" spans="1:6" ht="15" customHeight="1" x14ac:dyDescent="0.2">
      <c r="A55" s="147">
        <v>3</v>
      </c>
      <c r="B55" s="160" t="s">
        <v>190</v>
      </c>
      <c r="C55" s="157">
        <v>238870</v>
      </c>
      <c r="D55" s="157">
        <v>221636</v>
      </c>
      <c r="E55" s="157">
        <f t="shared" si="0"/>
        <v>-17234</v>
      </c>
      <c r="F55" s="161">
        <f t="shared" si="1"/>
        <v>-7.2148030309373293E-2</v>
      </c>
    </row>
    <row r="56" spans="1:6" ht="15" customHeight="1" x14ac:dyDescent="0.2">
      <c r="A56" s="147">
        <v>4</v>
      </c>
      <c r="B56" s="160" t="s">
        <v>191</v>
      </c>
      <c r="C56" s="157">
        <v>1321904</v>
      </c>
      <c r="D56" s="157">
        <v>1780756</v>
      </c>
      <c r="E56" s="157">
        <f t="shared" si="0"/>
        <v>458852</v>
      </c>
      <c r="F56" s="161">
        <f t="shared" si="1"/>
        <v>0.3471144651956572</v>
      </c>
    </row>
    <row r="57" spans="1:6" ht="15" customHeight="1" x14ac:dyDescent="0.2">
      <c r="A57" s="147">
        <v>5</v>
      </c>
      <c r="B57" s="160" t="s">
        <v>192</v>
      </c>
      <c r="C57" s="157">
        <v>693971</v>
      </c>
      <c r="D57" s="157">
        <v>600366</v>
      </c>
      <c r="E57" s="157">
        <f t="shared" si="0"/>
        <v>-93605</v>
      </c>
      <c r="F57" s="161">
        <f t="shared" si="1"/>
        <v>-0.13488315794175837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4680752</v>
      </c>
      <c r="D59" s="158">
        <f>SUM(D53:D58)</f>
        <v>5336866</v>
      </c>
      <c r="E59" s="158">
        <f t="shared" si="0"/>
        <v>656114</v>
      </c>
      <c r="F59" s="159">
        <f t="shared" si="1"/>
        <v>0.14017277565656117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251958</v>
      </c>
      <c r="D62" s="157">
        <v>206306</v>
      </c>
      <c r="E62" s="157">
        <f t="shared" ref="E62:E90" si="2">+D62-C62</f>
        <v>-45652</v>
      </c>
      <c r="F62" s="161">
        <f t="shared" ref="F62:F90" si="3">IF(C62=0,0,E62/C62)</f>
        <v>-0.18118892831344907</v>
      </c>
    </row>
    <row r="63" spans="1:6" ht="15" customHeight="1" x14ac:dyDescent="0.2">
      <c r="A63" s="147">
        <v>2</v>
      </c>
      <c r="B63" s="160" t="s">
        <v>198</v>
      </c>
      <c r="C63" s="157">
        <v>1900681</v>
      </c>
      <c r="D63" s="157">
        <v>1806649</v>
      </c>
      <c r="E63" s="157">
        <f t="shared" si="2"/>
        <v>-94032</v>
      </c>
      <c r="F63" s="161">
        <f t="shared" si="3"/>
        <v>-4.9472794224806792E-2</v>
      </c>
    </row>
    <row r="64" spans="1:6" ht="15" customHeight="1" x14ac:dyDescent="0.2">
      <c r="A64" s="147">
        <v>3</v>
      </c>
      <c r="B64" s="160" t="s">
        <v>199</v>
      </c>
      <c r="C64" s="157">
        <v>4809675</v>
      </c>
      <c r="D64" s="157">
        <v>3026561</v>
      </c>
      <c r="E64" s="157">
        <f t="shared" si="2"/>
        <v>-1783114</v>
      </c>
      <c r="F64" s="161">
        <f t="shared" si="3"/>
        <v>-0.37073482095983618</v>
      </c>
    </row>
    <row r="65" spans="1:6" ht="15" customHeight="1" x14ac:dyDescent="0.2">
      <c r="A65" s="147">
        <v>4</v>
      </c>
      <c r="B65" s="160" t="s">
        <v>200</v>
      </c>
      <c r="C65" s="157">
        <v>784507</v>
      </c>
      <c r="D65" s="157">
        <v>838055</v>
      </c>
      <c r="E65" s="157">
        <f t="shared" si="2"/>
        <v>53548</v>
      </c>
      <c r="F65" s="161">
        <f t="shared" si="3"/>
        <v>6.8256879798395675E-2</v>
      </c>
    </row>
    <row r="66" spans="1:6" ht="15" customHeight="1" x14ac:dyDescent="0.2">
      <c r="A66" s="147">
        <v>5</v>
      </c>
      <c r="B66" s="160" t="s">
        <v>201</v>
      </c>
      <c r="C66" s="157">
        <v>724051</v>
      </c>
      <c r="D66" s="157">
        <v>819565</v>
      </c>
      <c r="E66" s="157">
        <f t="shared" si="2"/>
        <v>95514</v>
      </c>
      <c r="F66" s="161">
        <f t="shared" si="3"/>
        <v>0.13191612193063748</v>
      </c>
    </row>
    <row r="67" spans="1:6" ht="15" customHeight="1" x14ac:dyDescent="0.2">
      <c r="A67" s="147">
        <v>6</v>
      </c>
      <c r="B67" s="160" t="s">
        <v>202</v>
      </c>
      <c r="C67" s="157">
        <v>7207526</v>
      </c>
      <c r="D67" s="157">
        <v>7653967</v>
      </c>
      <c r="E67" s="157">
        <f t="shared" si="2"/>
        <v>446441</v>
      </c>
      <c r="F67" s="161">
        <f t="shared" si="3"/>
        <v>6.1940948946975702E-2</v>
      </c>
    </row>
    <row r="68" spans="1:6" ht="15" customHeight="1" x14ac:dyDescent="0.2">
      <c r="A68" s="147">
        <v>7</v>
      </c>
      <c r="B68" s="160" t="s">
        <v>203</v>
      </c>
      <c r="C68" s="157">
        <v>11189374</v>
      </c>
      <c r="D68" s="157">
        <v>14500368</v>
      </c>
      <c r="E68" s="157">
        <f t="shared" si="2"/>
        <v>3310994</v>
      </c>
      <c r="F68" s="161">
        <f t="shared" si="3"/>
        <v>0.29590520434833978</v>
      </c>
    </row>
    <row r="69" spans="1:6" ht="15" customHeight="1" x14ac:dyDescent="0.2">
      <c r="A69" s="147">
        <v>8</v>
      </c>
      <c r="B69" s="160" t="s">
        <v>204</v>
      </c>
      <c r="C69" s="157">
        <v>666132</v>
      </c>
      <c r="D69" s="157">
        <v>680907</v>
      </c>
      <c r="E69" s="157">
        <f t="shared" si="2"/>
        <v>14775</v>
      </c>
      <c r="F69" s="161">
        <f t="shared" si="3"/>
        <v>2.2180288591450343E-2</v>
      </c>
    </row>
    <row r="70" spans="1:6" ht="15" customHeight="1" x14ac:dyDescent="0.2">
      <c r="A70" s="147">
        <v>9</v>
      </c>
      <c r="B70" s="160" t="s">
        <v>205</v>
      </c>
      <c r="C70" s="157">
        <v>379432</v>
      </c>
      <c r="D70" s="157">
        <v>420469</v>
      </c>
      <c r="E70" s="157">
        <f t="shared" si="2"/>
        <v>41037</v>
      </c>
      <c r="F70" s="161">
        <f t="shared" si="3"/>
        <v>0.10815376668283118</v>
      </c>
    </row>
    <row r="71" spans="1:6" ht="15" customHeight="1" x14ac:dyDescent="0.2">
      <c r="A71" s="147">
        <v>10</v>
      </c>
      <c r="B71" s="160" t="s">
        <v>206</v>
      </c>
      <c r="C71" s="157">
        <v>30828</v>
      </c>
      <c r="D71" s="157">
        <v>27197</v>
      </c>
      <c r="E71" s="157">
        <f t="shared" si="2"/>
        <v>-3631</v>
      </c>
      <c r="F71" s="161">
        <f t="shared" si="3"/>
        <v>-0.11778253535746724</v>
      </c>
    </row>
    <row r="72" spans="1:6" ht="15" customHeight="1" x14ac:dyDescent="0.2">
      <c r="A72" s="147">
        <v>11</v>
      </c>
      <c r="B72" s="160" t="s">
        <v>207</v>
      </c>
      <c r="C72" s="157">
        <v>594192</v>
      </c>
      <c r="D72" s="157">
        <v>776442</v>
      </c>
      <c r="E72" s="157">
        <f t="shared" si="2"/>
        <v>182250</v>
      </c>
      <c r="F72" s="161">
        <f t="shared" si="3"/>
        <v>0.30671904031020275</v>
      </c>
    </row>
    <row r="73" spans="1:6" ht="15" customHeight="1" x14ac:dyDescent="0.2">
      <c r="A73" s="147">
        <v>12</v>
      </c>
      <c r="B73" s="160" t="s">
        <v>208</v>
      </c>
      <c r="C73" s="157">
        <v>643660</v>
      </c>
      <c r="D73" s="157">
        <v>594030</v>
      </c>
      <c r="E73" s="157">
        <f t="shared" si="2"/>
        <v>-49630</v>
      </c>
      <c r="F73" s="161">
        <f t="shared" si="3"/>
        <v>-7.7105925488612004E-2</v>
      </c>
    </row>
    <row r="74" spans="1:6" ht="15" customHeight="1" x14ac:dyDescent="0.2">
      <c r="A74" s="147">
        <v>13</v>
      </c>
      <c r="B74" s="160" t="s">
        <v>209</v>
      </c>
      <c r="C74" s="157">
        <v>224341</v>
      </c>
      <c r="D74" s="157">
        <v>208017</v>
      </c>
      <c r="E74" s="157">
        <f t="shared" si="2"/>
        <v>-16324</v>
      </c>
      <c r="F74" s="161">
        <f t="shared" si="3"/>
        <v>-7.2764229454268275E-2</v>
      </c>
    </row>
    <row r="75" spans="1:6" ht="15" customHeight="1" x14ac:dyDescent="0.2">
      <c r="A75" s="147">
        <v>14</v>
      </c>
      <c r="B75" s="160" t="s">
        <v>210</v>
      </c>
      <c r="C75" s="157">
        <v>225997</v>
      </c>
      <c r="D75" s="157">
        <v>272360</v>
      </c>
      <c r="E75" s="157">
        <f t="shared" si="2"/>
        <v>46363</v>
      </c>
      <c r="F75" s="161">
        <f t="shared" si="3"/>
        <v>0.20514874091249</v>
      </c>
    </row>
    <row r="76" spans="1:6" ht="15" customHeight="1" x14ac:dyDescent="0.2">
      <c r="A76" s="147">
        <v>15</v>
      </c>
      <c r="B76" s="160" t="s">
        <v>211</v>
      </c>
      <c r="C76" s="157">
        <v>1525928</v>
      </c>
      <c r="D76" s="157">
        <v>1494445</v>
      </c>
      <c r="E76" s="157">
        <f t="shared" si="2"/>
        <v>-31483</v>
      </c>
      <c r="F76" s="161">
        <f t="shared" si="3"/>
        <v>-2.0632035063253312E-2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62958</v>
      </c>
      <c r="E77" s="157">
        <f t="shared" si="2"/>
        <v>62958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500396</v>
      </c>
      <c r="D79" s="157">
        <v>2608</v>
      </c>
      <c r="E79" s="157">
        <f t="shared" si="2"/>
        <v>-497788</v>
      </c>
      <c r="F79" s="161">
        <f t="shared" si="3"/>
        <v>-0.99478812780278025</v>
      </c>
    </row>
    <row r="80" spans="1:6" ht="15" customHeight="1" x14ac:dyDescent="0.2">
      <c r="A80" s="147">
        <v>19</v>
      </c>
      <c r="B80" s="160" t="s">
        <v>215</v>
      </c>
      <c r="C80" s="157">
        <v>184417</v>
      </c>
      <c r="D80" s="157">
        <v>140072</v>
      </c>
      <c r="E80" s="157">
        <f t="shared" si="2"/>
        <v>-44345</v>
      </c>
      <c r="F80" s="161">
        <f t="shared" si="3"/>
        <v>-0.24046047815548457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1123452</v>
      </c>
      <c r="E81" s="157">
        <f t="shared" si="2"/>
        <v>1123452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1645686</v>
      </c>
      <c r="D82" s="157">
        <v>1345559</v>
      </c>
      <c r="E82" s="157">
        <f t="shared" si="2"/>
        <v>-300127</v>
      </c>
      <c r="F82" s="161">
        <f t="shared" si="3"/>
        <v>-0.18237197132381269</v>
      </c>
    </row>
    <row r="83" spans="1:6" ht="15" customHeight="1" x14ac:dyDescent="0.2">
      <c r="A83" s="147">
        <v>22</v>
      </c>
      <c r="B83" s="160" t="s">
        <v>218</v>
      </c>
      <c r="C83" s="157">
        <v>101834</v>
      </c>
      <c r="D83" s="157">
        <v>1911354</v>
      </c>
      <c r="E83" s="157">
        <f t="shared" si="2"/>
        <v>1809520</v>
      </c>
      <c r="F83" s="161">
        <f t="shared" si="3"/>
        <v>17.769310839208909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3989343</v>
      </c>
      <c r="D85" s="157">
        <v>6499557</v>
      </c>
      <c r="E85" s="157">
        <f t="shared" si="2"/>
        <v>2510214</v>
      </c>
      <c r="F85" s="161">
        <f t="shared" si="3"/>
        <v>0.62922992582989234</v>
      </c>
    </row>
    <row r="86" spans="1:6" ht="15" customHeight="1" x14ac:dyDescent="0.2">
      <c r="A86" s="147">
        <v>25</v>
      </c>
      <c r="B86" s="160" t="s">
        <v>221</v>
      </c>
      <c r="C86" s="157">
        <v>66096</v>
      </c>
      <c r="D86" s="157">
        <v>119006</v>
      </c>
      <c r="E86" s="157">
        <f t="shared" si="2"/>
        <v>52910</v>
      </c>
      <c r="F86" s="161">
        <f t="shared" si="3"/>
        <v>0.80050229968530617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15701283</v>
      </c>
      <c r="E88" s="157">
        <f t="shared" si="2"/>
        <v>15701283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33840447</v>
      </c>
      <c r="D89" s="157">
        <v>9940980</v>
      </c>
      <c r="E89" s="157">
        <f t="shared" si="2"/>
        <v>-23899467</v>
      </c>
      <c r="F89" s="161">
        <f t="shared" si="3"/>
        <v>-0.70623969594727876</v>
      </c>
    </row>
    <row r="90" spans="1:6" ht="15.75" customHeight="1" x14ac:dyDescent="0.25">
      <c r="A90" s="147"/>
      <c r="B90" s="162" t="s">
        <v>225</v>
      </c>
      <c r="C90" s="158">
        <f>SUM(C62:C89)</f>
        <v>71486501</v>
      </c>
      <c r="D90" s="158">
        <f>SUM(D62:D89)</f>
        <v>70172167</v>
      </c>
      <c r="E90" s="158">
        <f t="shared" si="2"/>
        <v>-1314334</v>
      </c>
      <c r="F90" s="159">
        <f t="shared" si="3"/>
        <v>-1.838576488727571E-2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338981125</v>
      </c>
      <c r="D95" s="158">
        <f>+D93+D90+D59+D50+D47+D44+D41+D35+D30+D24+D18</f>
        <v>311061228</v>
      </c>
      <c r="E95" s="158">
        <f>+D95-C95</f>
        <v>-27919897</v>
      </c>
      <c r="F95" s="159">
        <f>IF(C95=0,0,E95/C95)</f>
        <v>-8.236416408140719E-2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94249511</v>
      </c>
      <c r="D103" s="157">
        <v>65598155</v>
      </c>
      <c r="E103" s="157">
        <f t="shared" ref="E103:E121" si="4">D103-C103</f>
        <v>-28651356</v>
      </c>
      <c r="F103" s="161">
        <f t="shared" ref="F103:F121" si="5">IF(C103=0,0,E103/C103)</f>
        <v>-0.30399474433347456</v>
      </c>
    </row>
    <row r="104" spans="1:6" ht="15" customHeight="1" x14ac:dyDescent="0.2">
      <c r="A104" s="147">
        <v>2</v>
      </c>
      <c r="B104" s="169" t="s">
        <v>234</v>
      </c>
      <c r="C104" s="157">
        <v>3391623</v>
      </c>
      <c r="D104" s="157">
        <v>3156827</v>
      </c>
      <c r="E104" s="157">
        <f t="shared" si="4"/>
        <v>-234796</v>
      </c>
      <c r="F104" s="161">
        <f t="shared" si="5"/>
        <v>-6.9228213159304552E-2</v>
      </c>
    </row>
    <row r="105" spans="1:6" ht="15" customHeight="1" x14ac:dyDescent="0.2">
      <c r="A105" s="147">
        <v>3</v>
      </c>
      <c r="B105" s="169" t="s">
        <v>235</v>
      </c>
      <c r="C105" s="157">
        <v>4923487</v>
      </c>
      <c r="D105" s="157">
        <v>4169503</v>
      </c>
      <c r="E105" s="157">
        <f t="shared" si="4"/>
        <v>-753984</v>
      </c>
      <c r="F105" s="161">
        <f t="shared" si="5"/>
        <v>-0.1531402438962467</v>
      </c>
    </row>
    <row r="106" spans="1:6" ht="15" customHeight="1" x14ac:dyDescent="0.2">
      <c r="A106" s="147">
        <v>4</v>
      </c>
      <c r="B106" s="169" t="s">
        <v>236</v>
      </c>
      <c r="C106" s="157">
        <v>1945928</v>
      </c>
      <c r="D106" s="157">
        <v>2251991</v>
      </c>
      <c r="E106" s="157">
        <f t="shared" si="4"/>
        <v>306063</v>
      </c>
      <c r="F106" s="161">
        <f t="shared" si="5"/>
        <v>0.15728382550639078</v>
      </c>
    </row>
    <row r="107" spans="1:6" ht="15" customHeight="1" x14ac:dyDescent="0.2">
      <c r="A107" s="147">
        <v>5</v>
      </c>
      <c r="B107" s="169" t="s">
        <v>237</v>
      </c>
      <c r="C107" s="157">
        <v>12630144</v>
      </c>
      <c r="D107" s="157">
        <v>12981176</v>
      </c>
      <c r="E107" s="157">
        <f t="shared" si="4"/>
        <v>351032</v>
      </c>
      <c r="F107" s="161">
        <f t="shared" si="5"/>
        <v>2.7793190639790015E-2</v>
      </c>
    </row>
    <row r="108" spans="1:6" ht="15" customHeight="1" x14ac:dyDescent="0.2">
      <c r="A108" s="147">
        <v>6</v>
      </c>
      <c r="B108" s="169" t="s">
        <v>238</v>
      </c>
      <c r="C108" s="157">
        <v>170333</v>
      </c>
      <c r="D108" s="157">
        <v>183380</v>
      </c>
      <c r="E108" s="157">
        <f t="shared" si="4"/>
        <v>13047</v>
      </c>
      <c r="F108" s="161">
        <f t="shared" si="5"/>
        <v>7.6597018780858672E-2</v>
      </c>
    </row>
    <row r="109" spans="1:6" ht="15" customHeight="1" x14ac:dyDescent="0.2">
      <c r="A109" s="147">
        <v>7</v>
      </c>
      <c r="B109" s="169" t="s">
        <v>239</v>
      </c>
      <c r="C109" s="157">
        <v>5038613</v>
      </c>
      <c r="D109" s="157">
        <v>4190034</v>
      </c>
      <c r="E109" s="157">
        <f t="shared" si="4"/>
        <v>-848579</v>
      </c>
      <c r="F109" s="161">
        <f t="shared" si="5"/>
        <v>-0.16841519680118319</v>
      </c>
    </row>
    <row r="110" spans="1:6" ht="15" customHeight="1" x14ac:dyDescent="0.2">
      <c r="A110" s="147">
        <v>8</v>
      </c>
      <c r="B110" s="169" t="s">
        <v>240</v>
      </c>
      <c r="C110" s="157">
        <v>3479778</v>
      </c>
      <c r="D110" s="157">
        <v>3262440</v>
      </c>
      <c r="E110" s="157">
        <f t="shared" si="4"/>
        <v>-217338</v>
      </c>
      <c r="F110" s="161">
        <f t="shared" si="5"/>
        <v>-6.2457432629322907E-2</v>
      </c>
    </row>
    <row r="111" spans="1:6" ht="15" customHeight="1" x14ac:dyDescent="0.2">
      <c r="A111" s="147">
        <v>9</v>
      </c>
      <c r="B111" s="169" t="s">
        <v>241</v>
      </c>
      <c r="C111" s="157">
        <v>1428342</v>
      </c>
      <c r="D111" s="157">
        <v>1596817</v>
      </c>
      <c r="E111" s="157">
        <f t="shared" si="4"/>
        <v>168475</v>
      </c>
      <c r="F111" s="161">
        <f t="shared" si="5"/>
        <v>0.11795144300174608</v>
      </c>
    </row>
    <row r="112" spans="1:6" ht="15" customHeight="1" x14ac:dyDescent="0.2">
      <c r="A112" s="147">
        <v>10</v>
      </c>
      <c r="B112" s="169" t="s">
        <v>242</v>
      </c>
      <c r="C112" s="157">
        <v>5922668</v>
      </c>
      <c r="D112" s="157">
        <v>5707067</v>
      </c>
      <c r="E112" s="157">
        <f t="shared" si="4"/>
        <v>-215601</v>
      </c>
      <c r="F112" s="161">
        <f t="shared" si="5"/>
        <v>-3.6402682034515528E-2</v>
      </c>
    </row>
    <row r="113" spans="1:6" ht="15" customHeight="1" x14ac:dyDescent="0.2">
      <c r="A113" s="147">
        <v>11</v>
      </c>
      <c r="B113" s="169" t="s">
        <v>243</v>
      </c>
      <c r="C113" s="157">
        <v>4221783</v>
      </c>
      <c r="D113" s="157">
        <v>4343643</v>
      </c>
      <c r="E113" s="157">
        <f t="shared" si="4"/>
        <v>121860</v>
      </c>
      <c r="F113" s="161">
        <f t="shared" si="5"/>
        <v>2.8864581623451513E-2</v>
      </c>
    </row>
    <row r="114" spans="1:6" ht="15" customHeight="1" x14ac:dyDescent="0.2">
      <c r="A114" s="147">
        <v>12</v>
      </c>
      <c r="B114" s="169" t="s">
        <v>244</v>
      </c>
      <c r="C114" s="157">
        <v>1280846</v>
      </c>
      <c r="D114" s="157">
        <v>1313602</v>
      </c>
      <c r="E114" s="157">
        <f t="shared" si="4"/>
        <v>32756</v>
      </c>
      <c r="F114" s="161">
        <f t="shared" si="5"/>
        <v>2.5573722367872483E-2</v>
      </c>
    </row>
    <row r="115" spans="1:6" ht="15" customHeight="1" x14ac:dyDescent="0.2">
      <c r="A115" s="147">
        <v>13</v>
      </c>
      <c r="B115" s="169" t="s">
        <v>245</v>
      </c>
      <c r="C115" s="157">
        <v>3894299</v>
      </c>
      <c r="D115" s="157">
        <v>4524126</v>
      </c>
      <c r="E115" s="157">
        <f t="shared" si="4"/>
        <v>629827</v>
      </c>
      <c r="F115" s="161">
        <f t="shared" si="5"/>
        <v>0.16173051940798588</v>
      </c>
    </row>
    <row r="116" spans="1:6" ht="15" customHeight="1" x14ac:dyDescent="0.2">
      <c r="A116" s="147">
        <v>14</v>
      </c>
      <c r="B116" s="169" t="s">
        <v>246</v>
      </c>
      <c r="C116" s="157">
        <v>1391854</v>
      </c>
      <c r="D116" s="157">
        <v>1317122</v>
      </c>
      <c r="E116" s="157">
        <f t="shared" si="4"/>
        <v>-74732</v>
      </c>
      <c r="F116" s="161">
        <f t="shared" si="5"/>
        <v>-5.3692413141033471E-2</v>
      </c>
    </row>
    <row r="117" spans="1:6" ht="15" customHeight="1" x14ac:dyDescent="0.2">
      <c r="A117" s="147">
        <v>15</v>
      </c>
      <c r="B117" s="169" t="s">
        <v>203</v>
      </c>
      <c r="C117" s="157">
        <v>4848204</v>
      </c>
      <c r="D117" s="157">
        <v>4712064</v>
      </c>
      <c r="E117" s="157">
        <f t="shared" si="4"/>
        <v>-136140</v>
      </c>
      <c r="F117" s="161">
        <f t="shared" si="5"/>
        <v>-2.8080501563053039E-2</v>
      </c>
    </row>
    <row r="118" spans="1:6" ht="15" customHeight="1" x14ac:dyDescent="0.2">
      <c r="A118" s="147">
        <v>16</v>
      </c>
      <c r="B118" s="169" t="s">
        <v>247</v>
      </c>
      <c r="C118" s="157">
        <v>1881142</v>
      </c>
      <c r="D118" s="157">
        <v>1583350</v>
      </c>
      <c r="E118" s="157">
        <f t="shared" si="4"/>
        <v>-297792</v>
      </c>
      <c r="F118" s="161">
        <f t="shared" si="5"/>
        <v>-0.15830383883832269</v>
      </c>
    </row>
    <row r="119" spans="1:6" ht="15" customHeight="1" x14ac:dyDescent="0.2">
      <c r="A119" s="147">
        <v>17</v>
      </c>
      <c r="B119" s="169" t="s">
        <v>248</v>
      </c>
      <c r="C119" s="157">
        <v>11316918</v>
      </c>
      <c r="D119" s="157">
        <v>12729037</v>
      </c>
      <c r="E119" s="157">
        <f t="shared" si="4"/>
        <v>1412119</v>
      </c>
      <c r="F119" s="161">
        <f t="shared" si="5"/>
        <v>0.12477946734261042</v>
      </c>
    </row>
    <row r="120" spans="1:6" ht="15" customHeight="1" x14ac:dyDescent="0.2">
      <c r="A120" s="147">
        <v>18</v>
      </c>
      <c r="B120" s="169" t="s">
        <v>249</v>
      </c>
      <c r="C120" s="157">
        <v>12033949</v>
      </c>
      <c r="D120" s="157">
        <v>14174011</v>
      </c>
      <c r="E120" s="157">
        <f t="shared" si="4"/>
        <v>2140062</v>
      </c>
      <c r="F120" s="161">
        <f t="shared" si="5"/>
        <v>0.17783538886528438</v>
      </c>
    </row>
    <row r="121" spans="1:6" ht="15.75" customHeight="1" x14ac:dyDescent="0.25">
      <c r="A121" s="147"/>
      <c r="B121" s="165" t="s">
        <v>250</v>
      </c>
      <c r="C121" s="158">
        <f>SUM(C103:C120)</f>
        <v>174049422</v>
      </c>
      <c r="D121" s="158">
        <f>SUM(D103:D120)</f>
        <v>147794345</v>
      </c>
      <c r="E121" s="158">
        <f t="shared" si="4"/>
        <v>-26255077</v>
      </c>
      <c r="F121" s="159">
        <f t="shared" si="5"/>
        <v>-0.15084840097888977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3905701</v>
      </c>
      <c r="D124" s="157">
        <v>3488551</v>
      </c>
      <c r="E124" s="157">
        <f t="shared" ref="E124:E130" si="6">D124-C124</f>
        <v>-417150</v>
      </c>
      <c r="F124" s="161">
        <f t="shared" ref="F124:F130" si="7">IF(C124=0,0,E124/C124)</f>
        <v>-0.10680541085966386</v>
      </c>
    </row>
    <row r="125" spans="1:6" ht="15" customHeight="1" x14ac:dyDescent="0.2">
      <c r="A125" s="147">
        <v>2</v>
      </c>
      <c r="B125" s="169" t="s">
        <v>253</v>
      </c>
      <c r="C125" s="157">
        <v>4840127</v>
      </c>
      <c r="D125" s="157">
        <v>5121514</v>
      </c>
      <c r="E125" s="157">
        <f t="shared" si="6"/>
        <v>281387</v>
      </c>
      <c r="F125" s="161">
        <f t="shared" si="7"/>
        <v>5.8136284440470261E-2</v>
      </c>
    </row>
    <row r="126" spans="1:6" ht="15" customHeight="1" x14ac:dyDescent="0.2">
      <c r="A126" s="147">
        <v>3</v>
      </c>
      <c r="B126" s="169" t="s">
        <v>254</v>
      </c>
      <c r="C126" s="157">
        <v>4566498</v>
      </c>
      <c r="D126" s="157">
        <v>4796462</v>
      </c>
      <c r="E126" s="157">
        <f t="shared" si="6"/>
        <v>229964</v>
      </c>
      <c r="F126" s="161">
        <f t="shared" si="7"/>
        <v>5.0358940264509038E-2</v>
      </c>
    </row>
    <row r="127" spans="1:6" ht="15" customHeight="1" x14ac:dyDescent="0.2">
      <c r="A127" s="147">
        <v>4</v>
      </c>
      <c r="B127" s="169" t="s">
        <v>255</v>
      </c>
      <c r="C127" s="157">
        <v>2905119</v>
      </c>
      <c r="D127" s="157">
        <v>3003950</v>
      </c>
      <c r="E127" s="157">
        <f t="shared" si="6"/>
        <v>98831</v>
      </c>
      <c r="F127" s="161">
        <f t="shared" si="7"/>
        <v>3.4019604704660977E-2</v>
      </c>
    </row>
    <row r="128" spans="1:6" ht="15" customHeight="1" x14ac:dyDescent="0.2">
      <c r="A128" s="147">
        <v>5</v>
      </c>
      <c r="B128" s="169" t="s">
        <v>256</v>
      </c>
      <c r="C128" s="157">
        <v>2502103</v>
      </c>
      <c r="D128" s="157">
        <v>1972702</v>
      </c>
      <c r="E128" s="157">
        <f t="shared" si="6"/>
        <v>-529401</v>
      </c>
      <c r="F128" s="161">
        <f t="shared" si="7"/>
        <v>-0.21158241687092819</v>
      </c>
    </row>
    <row r="129" spans="1:6" ht="15" customHeight="1" x14ac:dyDescent="0.2">
      <c r="A129" s="147">
        <v>6</v>
      </c>
      <c r="B129" s="169" t="s">
        <v>257</v>
      </c>
      <c r="C129" s="157">
        <v>936430</v>
      </c>
      <c r="D129" s="157">
        <v>773028</v>
      </c>
      <c r="E129" s="157">
        <f t="shared" si="6"/>
        <v>-163402</v>
      </c>
      <c r="F129" s="161">
        <f t="shared" si="7"/>
        <v>-0.17449462319660838</v>
      </c>
    </row>
    <row r="130" spans="1:6" ht="15.75" customHeight="1" x14ac:dyDescent="0.25">
      <c r="A130" s="147"/>
      <c r="B130" s="165" t="s">
        <v>258</v>
      </c>
      <c r="C130" s="158">
        <f>SUM(C124:C129)</f>
        <v>19655978</v>
      </c>
      <c r="D130" s="158">
        <f>SUM(D124:D129)</f>
        <v>19156207</v>
      </c>
      <c r="E130" s="158">
        <f t="shared" si="6"/>
        <v>-499771</v>
      </c>
      <c r="F130" s="159">
        <f t="shared" si="7"/>
        <v>-2.542590350884601E-2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10804653</v>
      </c>
      <c r="D133" s="157">
        <v>10393211</v>
      </c>
      <c r="E133" s="157">
        <f t="shared" ref="E133:E167" si="8">D133-C133</f>
        <v>-411442</v>
      </c>
      <c r="F133" s="161">
        <f t="shared" ref="F133:F167" si="9">IF(C133=0,0,E133/C133)</f>
        <v>-3.8080075315699631E-2</v>
      </c>
    </row>
    <row r="134" spans="1:6" ht="15" customHeight="1" x14ac:dyDescent="0.2">
      <c r="A134" s="147">
        <v>2</v>
      </c>
      <c r="B134" s="169" t="s">
        <v>261</v>
      </c>
      <c r="C134" s="157">
        <v>2204677</v>
      </c>
      <c r="D134" s="157">
        <v>1911991</v>
      </c>
      <c r="E134" s="157">
        <f t="shared" si="8"/>
        <v>-292686</v>
      </c>
      <c r="F134" s="161">
        <f t="shared" si="9"/>
        <v>-0.13275686188951941</v>
      </c>
    </row>
    <row r="135" spans="1:6" ht="15" customHeight="1" x14ac:dyDescent="0.2">
      <c r="A135" s="147">
        <v>3</v>
      </c>
      <c r="B135" s="169" t="s">
        <v>262</v>
      </c>
      <c r="C135" s="157">
        <v>1058315</v>
      </c>
      <c r="D135" s="157">
        <v>994025</v>
      </c>
      <c r="E135" s="157">
        <f t="shared" si="8"/>
        <v>-64290</v>
      </c>
      <c r="F135" s="161">
        <f t="shared" si="9"/>
        <v>-6.0747509011967134E-2</v>
      </c>
    </row>
    <row r="136" spans="1:6" ht="15" customHeight="1" x14ac:dyDescent="0.2">
      <c r="A136" s="147">
        <v>4</v>
      </c>
      <c r="B136" s="169" t="s">
        <v>263</v>
      </c>
      <c r="C136" s="157">
        <v>3752523</v>
      </c>
      <c r="D136" s="157">
        <v>3514997</v>
      </c>
      <c r="E136" s="157">
        <f t="shared" si="8"/>
        <v>-237526</v>
      </c>
      <c r="F136" s="161">
        <f t="shared" si="9"/>
        <v>-6.3297679987571034E-2</v>
      </c>
    </row>
    <row r="137" spans="1:6" ht="15" customHeight="1" x14ac:dyDescent="0.2">
      <c r="A137" s="147">
        <v>5</v>
      </c>
      <c r="B137" s="169" t="s">
        <v>264</v>
      </c>
      <c r="C137" s="157">
        <v>15950008</v>
      </c>
      <c r="D137" s="157">
        <v>15596373</v>
      </c>
      <c r="E137" s="157">
        <f t="shared" si="8"/>
        <v>-353635</v>
      </c>
      <c r="F137" s="161">
        <f t="shared" si="9"/>
        <v>-2.2171462233749349E-2</v>
      </c>
    </row>
    <row r="138" spans="1:6" ht="15" customHeight="1" x14ac:dyDescent="0.2">
      <c r="A138" s="147">
        <v>6</v>
      </c>
      <c r="B138" s="169" t="s">
        <v>265</v>
      </c>
      <c r="C138" s="157">
        <v>1019469</v>
      </c>
      <c r="D138" s="157">
        <v>967526</v>
      </c>
      <c r="E138" s="157">
        <f t="shared" si="8"/>
        <v>-51943</v>
      </c>
      <c r="F138" s="161">
        <f t="shared" si="9"/>
        <v>-5.0951034312960962E-2</v>
      </c>
    </row>
    <row r="139" spans="1:6" ht="15" customHeight="1" x14ac:dyDescent="0.2">
      <c r="A139" s="147">
        <v>7</v>
      </c>
      <c r="B139" s="169" t="s">
        <v>266</v>
      </c>
      <c r="C139" s="157">
        <v>1474440</v>
      </c>
      <c r="D139" s="157">
        <v>2251210</v>
      </c>
      <c r="E139" s="157">
        <f t="shared" si="8"/>
        <v>776770</v>
      </c>
      <c r="F139" s="161">
        <f t="shared" si="9"/>
        <v>0.52682374325167525</v>
      </c>
    </row>
    <row r="140" spans="1:6" ht="15" customHeight="1" x14ac:dyDescent="0.2">
      <c r="A140" s="147">
        <v>8</v>
      </c>
      <c r="B140" s="169" t="s">
        <v>267</v>
      </c>
      <c r="C140" s="157">
        <v>941782</v>
      </c>
      <c r="D140" s="157">
        <v>1063458</v>
      </c>
      <c r="E140" s="157">
        <f t="shared" si="8"/>
        <v>121676</v>
      </c>
      <c r="F140" s="161">
        <f t="shared" si="9"/>
        <v>0.12919762747642236</v>
      </c>
    </row>
    <row r="141" spans="1:6" ht="15" customHeight="1" x14ac:dyDescent="0.2">
      <c r="A141" s="147">
        <v>9</v>
      </c>
      <c r="B141" s="169" t="s">
        <v>268</v>
      </c>
      <c r="C141" s="157">
        <v>1359926</v>
      </c>
      <c r="D141" s="157">
        <v>1264679</v>
      </c>
      <c r="E141" s="157">
        <f t="shared" si="8"/>
        <v>-95247</v>
      </c>
      <c r="F141" s="161">
        <f t="shared" si="9"/>
        <v>-7.0038369734823802E-2</v>
      </c>
    </row>
    <row r="142" spans="1:6" ht="15" customHeight="1" x14ac:dyDescent="0.2">
      <c r="A142" s="147">
        <v>10</v>
      </c>
      <c r="B142" s="169" t="s">
        <v>269</v>
      </c>
      <c r="C142" s="157">
        <v>13732134</v>
      </c>
      <c r="D142" s="157">
        <v>12203649</v>
      </c>
      <c r="E142" s="157">
        <f t="shared" si="8"/>
        <v>-1528485</v>
      </c>
      <c r="F142" s="161">
        <f t="shared" si="9"/>
        <v>-0.11130717192244119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1300056</v>
      </c>
      <c r="E143" s="157">
        <f t="shared" si="8"/>
        <v>1300056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1390547</v>
      </c>
      <c r="D145" s="157">
        <v>1346787</v>
      </c>
      <c r="E145" s="157">
        <f t="shared" si="8"/>
        <v>-43760</v>
      </c>
      <c r="F145" s="161">
        <f t="shared" si="9"/>
        <v>-3.1469630296566749E-2</v>
      </c>
    </row>
    <row r="146" spans="1:6" ht="15" customHeight="1" x14ac:dyDescent="0.2">
      <c r="A146" s="147">
        <v>14</v>
      </c>
      <c r="B146" s="169" t="s">
        <v>273</v>
      </c>
      <c r="C146" s="157">
        <v>353600</v>
      </c>
      <c r="D146" s="157">
        <v>361228</v>
      </c>
      <c r="E146" s="157">
        <f t="shared" si="8"/>
        <v>7628</v>
      </c>
      <c r="F146" s="161">
        <f t="shared" si="9"/>
        <v>2.157239819004525E-2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199384</v>
      </c>
      <c r="E148" s="157">
        <f t="shared" si="8"/>
        <v>199384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248432</v>
      </c>
      <c r="D149" s="157">
        <v>310500</v>
      </c>
      <c r="E149" s="157">
        <f t="shared" si="8"/>
        <v>62068</v>
      </c>
      <c r="F149" s="161">
        <f t="shared" si="9"/>
        <v>0.24983899014619695</v>
      </c>
    </row>
    <row r="150" spans="1:6" ht="15" customHeight="1" x14ac:dyDescent="0.2">
      <c r="A150" s="147">
        <v>18</v>
      </c>
      <c r="B150" s="169" t="s">
        <v>277</v>
      </c>
      <c r="C150" s="157">
        <v>2072335</v>
      </c>
      <c r="D150" s="157">
        <v>1977968</v>
      </c>
      <c r="E150" s="157">
        <f t="shared" si="8"/>
        <v>-94367</v>
      </c>
      <c r="F150" s="161">
        <f t="shared" si="9"/>
        <v>-4.5536556589547542E-2</v>
      </c>
    </row>
    <row r="151" spans="1:6" ht="15" customHeight="1" x14ac:dyDescent="0.2">
      <c r="A151" s="147">
        <v>19</v>
      </c>
      <c r="B151" s="169" t="s">
        <v>278</v>
      </c>
      <c r="C151" s="157">
        <v>931626</v>
      </c>
      <c r="D151" s="157">
        <v>456774</v>
      </c>
      <c r="E151" s="157">
        <f t="shared" si="8"/>
        <v>-474852</v>
      </c>
      <c r="F151" s="161">
        <f t="shared" si="9"/>
        <v>-0.5097023913029477</v>
      </c>
    </row>
    <row r="152" spans="1:6" ht="15" customHeight="1" x14ac:dyDescent="0.2">
      <c r="A152" s="147">
        <v>20</v>
      </c>
      <c r="B152" s="169" t="s">
        <v>279</v>
      </c>
      <c r="C152" s="157">
        <v>998380</v>
      </c>
      <c r="D152" s="157">
        <v>938610</v>
      </c>
      <c r="E152" s="157">
        <f t="shared" si="8"/>
        <v>-59770</v>
      </c>
      <c r="F152" s="161">
        <f t="shared" si="9"/>
        <v>-5.9866984514914158E-2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3771267</v>
      </c>
      <c r="D154" s="157">
        <v>3500126</v>
      </c>
      <c r="E154" s="157">
        <f t="shared" si="8"/>
        <v>-271141</v>
      </c>
      <c r="F154" s="161">
        <f t="shared" si="9"/>
        <v>-7.1896527082277659E-2</v>
      </c>
    </row>
    <row r="155" spans="1:6" ht="15" customHeight="1" x14ac:dyDescent="0.2">
      <c r="A155" s="147">
        <v>23</v>
      </c>
      <c r="B155" s="169" t="s">
        <v>282</v>
      </c>
      <c r="C155" s="157">
        <v>697455</v>
      </c>
      <c r="D155" s="157">
        <v>648073</v>
      </c>
      <c r="E155" s="157">
        <f t="shared" si="8"/>
        <v>-49382</v>
      </c>
      <c r="F155" s="161">
        <f t="shared" si="9"/>
        <v>-7.0803134252389044E-2</v>
      </c>
    </row>
    <row r="156" spans="1:6" ht="15" customHeight="1" x14ac:dyDescent="0.2">
      <c r="A156" s="147">
        <v>24</v>
      </c>
      <c r="B156" s="169" t="s">
        <v>283</v>
      </c>
      <c r="C156" s="157">
        <v>14166852</v>
      </c>
      <c r="D156" s="157">
        <v>15258278</v>
      </c>
      <c r="E156" s="157">
        <f t="shared" si="8"/>
        <v>1091426</v>
      </c>
      <c r="F156" s="161">
        <f t="shared" si="9"/>
        <v>7.7040827418822469E-2</v>
      </c>
    </row>
    <row r="157" spans="1:6" ht="15" customHeight="1" x14ac:dyDescent="0.2">
      <c r="A157" s="147">
        <v>25</v>
      </c>
      <c r="B157" s="169" t="s">
        <v>284</v>
      </c>
      <c r="C157" s="157">
        <v>1292110</v>
      </c>
      <c r="D157" s="157">
        <v>1116663</v>
      </c>
      <c r="E157" s="157">
        <f t="shared" si="8"/>
        <v>-175447</v>
      </c>
      <c r="F157" s="161">
        <f t="shared" si="9"/>
        <v>-0.13578333114053756</v>
      </c>
    </row>
    <row r="158" spans="1:6" ht="15" customHeight="1" x14ac:dyDescent="0.2">
      <c r="A158" s="147">
        <v>26</v>
      </c>
      <c r="B158" s="169" t="s">
        <v>285</v>
      </c>
      <c r="C158" s="157">
        <v>367698</v>
      </c>
      <c r="D158" s="157">
        <v>360522</v>
      </c>
      <c r="E158" s="157">
        <f t="shared" si="8"/>
        <v>-7176</v>
      </c>
      <c r="F158" s="161">
        <f t="shared" si="9"/>
        <v>-1.9516015860842322E-2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3141834</v>
      </c>
      <c r="D160" s="157">
        <v>3259290</v>
      </c>
      <c r="E160" s="157">
        <f t="shared" si="8"/>
        <v>117456</v>
      </c>
      <c r="F160" s="161">
        <f t="shared" si="9"/>
        <v>3.738453400147812E-2</v>
      </c>
    </row>
    <row r="161" spans="1:6" ht="15" customHeight="1" x14ac:dyDescent="0.2">
      <c r="A161" s="147">
        <v>29</v>
      </c>
      <c r="B161" s="169" t="s">
        <v>288</v>
      </c>
      <c r="C161" s="157">
        <v>1410653</v>
      </c>
      <c r="D161" s="157">
        <v>1289764</v>
      </c>
      <c r="E161" s="157">
        <f t="shared" si="8"/>
        <v>-120889</v>
      </c>
      <c r="F161" s="161">
        <f t="shared" si="9"/>
        <v>-8.5697191300766376E-2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5645047</v>
      </c>
      <c r="D163" s="157">
        <v>5227215</v>
      </c>
      <c r="E163" s="157">
        <f t="shared" si="8"/>
        <v>-417832</v>
      </c>
      <c r="F163" s="161">
        <f t="shared" si="9"/>
        <v>-7.4017452821916269E-2</v>
      </c>
    </row>
    <row r="164" spans="1:6" ht="15" customHeight="1" x14ac:dyDescent="0.2">
      <c r="A164" s="147">
        <v>32</v>
      </c>
      <c r="B164" s="169" t="s">
        <v>291</v>
      </c>
      <c r="C164" s="157">
        <v>5133075</v>
      </c>
      <c r="D164" s="157">
        <v>5069515</v>
      </c>
      <c r="E164" s="157">
        <f t="shared" si="8"/>
        <v>-63560</v>
      </c>
      <c r="F164" s="161">
        <f t="shared" si="9"/>
        <v>-1.2382441324157547E-2</v>
      </c>
    </row>
    <row r="165" spans="1:6" ht="15" customHeight="1" x14ac:dyDescent="0.2">
      <c r="A165" s="147">
        <v>33</v>
      </c>
      <c r="B165" s="169" t="s">
        <v>292</v>
      </c>
      <c r="C165" s="157">
        <v>334647</v>
      </c>
      <c r="D165" s="157">
        <v>324615</v>
      </c>
      <c r="E165" s="157">
        <f t="shared" si="8"/>
        <v>-10032</v>
      </c>
      <c r="F165" s="161">
        <f t="shared" si="9"/>
        <v>-2.9977857264520524E-2</v>
      </c>
    </row>
    <row r="166" spans="1:6" ht="15" customHeight="1" x14ac:dyDescent="0.2">
      <c r="A166" s="147">
        <v>34</v>
      </c>
      <c r="B166" s="169" t="s">
        <v>293</v>
      </c>
      <c r="C166" s="157">
        <v>13688782</v>
      </c>
      <c r="D166" s="157">
        <v>13544964</v>
      </c>
      <c r="E166" s="157">
        <f t="shared" si="8"/>
        <v>-143818</v>
      </c>
      <c r="F166" s="161">
        <f t="shared" si="9"/>
        <v>-1.0506267102507733E-2</v>
      </c>
    </row>
    <row r="167" spans="1:6" ht="15.75" customHeight="1" x14ac:dyDescent="0.25">
      <c r="A167" s="147"/>
      <c r="B167" s="165" t="s">
        <v>294</v>
      </c>
      <c r="C167" s="158">
        <f>SUM(C133:C166)</f>
        <v>107942267</v>
      </c>
      <c r="D167" s="158">
        <f>SUM(D133:D166)</f>
        <v>106651451</v>
      </c>
      <c r="E167" s="158">
        <f t="shared" si="8"/>
        <v>-1290816</v>
      </c>
      <c r="F167" s="159">
        <f t="shared" si="9"/>
        <v>-1.1958392535891432E-2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15185736</v>
      </c>
      <c r="D170" s="157">
        <v>15262839</v>
      </c>
      <c r="E170" s="157">
        <f t="shared" ref="E170:E183" si="10">D170-C170</f>
        <v>77103</v>
      </c>
      <c r="F170" s="161">
        <f t="shared" ref="F170:F183" si="11">IF(C170=0,0,E170/C170)</f>
        <v>5.0773304632715857E-3</v>
      </c>
    </row>
    <row r="171" spans="1:6" ht="15" customHeight="1" x14ac:dyDescent="0.2">
      <c r="A171" s="147">
        <v>2</v>
      </c>
      <c r="B171" s="169" t="s">
        <v>297</v>
      </c>
      <c r="C171" s="157">
        <v>4619857</v>
      </c>
      <c r="D171" s="157">
        <v>4168431</v>
      </c>
      <c r="E171" s="157">
        <f t="shared" si="10"/>
        <v>-451426</v>
      </c>
      <c r="F171" s="161">
        <f t="shared" si="11"/>
        <v>-9.7714279900871392E-2</v>
      </c>
    </row>
    <row r="172" spans="1:6" ht="15" customHeight="1" x14ac:dyDescent="0.2">
      <c r="A172" s="147">
        <v>3</v>
      </c>
      <c r="B172" s="169" t="s">
        <v>298</v>
      </c>
      <c r="C172" s="157">
        <v>4887068</v>
      </c>
      <c r="D172" s="157">
        <v>5431471</v>
      </c>
      <c r="E172" s="157">
        <f t="shared" si="10"/>
        <v>544403</v>
      </c>
      <c r="F172" s="161">
        <f t="shared" si="11"/>
        <v>0.11139664927928157</v>
      </c>
    </row>
    <row r="173" spans="1:6" ht="15" customHeight="1" x14ac:dyDescent="0.2">
      <c r="A173" s="147">
        <v>4</v>
      </c>
      <c r="B173" s="169" t="s">
        <v>299</v>
      </c>
      <c r="C173" s="157">
        <v>2200357</v>
      </c>
      <c r="D173" s="157">
        <v>2162379</v>
      </c>
      <c r="E173" s="157">
        <f t="shared" si="10"/>
        <v>-37978</v>
      </c>
      <c r="F173" s="161">
        <f t="shared" si="11"/>
        <v>-1.7259926457388504E-2</v>
      </c>
    </row>
    <row r="174" spans="1:6" ht="15" customHeight="1" x14ac:dyDescent="0.2">
      <c r="A174" s="147">
        <v>5</v>
      </c>
      <c r="B174" s="169" t="s">
        <v>300</v>
      </c>
      <c r="C174" s="157">
        <v>1493974</v>
      </c>
      <c r="D174" s="157">
        <v>1559551</v>
      </c>
      <c r="E174" s="157">
        <f t="shared" si="10"/>
        <v>65577</v>
      </c>
      <c r="F174" s="161">
        <f t="shared" si="11"/>
        <v>4.3894338187947045E-2</v>
      </c>
    </row>
    <row r="175" spans="1:6" ht="15" customHeight="1" x14ac:dyDescent="0.2">
      <c r="A175" s="147">
        <v>6</v>
      </c>
      <c r="B175" s="169" t="s">
        <v>301</v>
      </c>
      <c r="C175" s="157">
        <v>3493950</v>
      </c>
      <c r="D175" s="157">
        <v>3517004</v>
      </c>
      <c r="E175" s="157">
        <f t="shared" si="10"/>
        <v>23054</v>
      </c>
      <c r="F175" s="161">
        <f t="shared" si="11"/>
        <v>6.5982627112580313E-3</v>
      </c>
    </row>
    <row r="176" spans="1:6" ht="15" customHeight="1" x14ac:dyDescent="0.2">
      <c r="A176" s="147">
        <v>7</v>
      </c>
      <c r="B176" s="169" t="s">
        <v>302</v>
      </c>
      <c r="C176" s="157">
        <v>123572</v>
      </c>
      <c r="D176" s="157">
        <v>124897</v>
      </c>
      <c r="E176" s="157">
        <f t="shared" si="10"/>
        <v>1325</v>
      </c>
      <c r="F176" s="161">
        <f t="shared" si="11"/>
        <v>1.0722493768814942E-2</v>
      </c>
    </row>
    <row r="177" spans="1:6" ht="15" customHeight="1" x14ac:dyDescent="0.2">
      <c r="A177" s="147">
        <v>8</v>
      </c>
      <c r="B177" s="169" t="s">
        <v>303</v>
      </c>
      <c r="C177" s="157">
        <v>1875805</v>
      </c>
      <c r="D177" s="157">
        <v>1673746</v>
      </c>
      <c r="E177" s="157">
        <f t="shared" si="10"/>
        <v>-202059</v>
      </c>
      <c r="F177" s="161">
        <f t="shared" si="11"/>
        <v>-0.10771855283464965</v>
      </c>
    </row>
    <row r="178" spans="1:6" ht="15" customHeight="1" x14ac:dyDescent="0.2">
      <c r="A178" s="147">
        <v>9</v>
      </c>
      <c r="B178" s="169" t="s">
        <v>304</v>
      </c>
      <c r="C178" s="157">
        <v>1149348</v>
      </c>
      <c r="D178" s="157">
        <v>1127278</v>
      </c>
      <c r="E178" s="157">
        <f t="shared" si="10"/>
        <v>-22070</v>
      </c>
      <c r="F178" s="161">
        <f t="shared" si="11"/>
        <v>-1.9202191155333285E-2</v>
      </c>
    </row>
    <row r="179" spans="1:6" ht="15" customHeight="1" x14ac:dyDescent="0.2">
      <c r="A179" s="147">
        <v>10</v>
      </c>
      <c r="B179" s="169" t="s">
        <v>305</v>
      </c>
      <c r="C179" s="157">
        <v>1833240</v>
      </c>
      <c r="D179" s="157">
        <v>1932778</v>
      </c>
      <c r="E179" s="157">
        <f t="shared" si="10"/>
        <v>99538</v>
      </c>
      <c r="F179" s="161">
        <f t="shared" si="11"/>
        <v>5.4296218716589205E-2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470551</v>
      </c>
      <c r="D181" s="157">
        <v>498851</v>
      </c>
      <c r="E181" s="157">
        <f t="shared" si="10"/>
        <v>28300</v>
      </c>
      <c r="F181" s="161">
        <f t="shared" si="11"/>
        <v>6.0142258756224087E-2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37333458</v>
      </c>
      <c r="D183" s="158">
        <f>SUM(D170:D182)</f>
        <v>37459225</v>
      </c>
      <c r="E183" s="158">
        <f t="shared" si="10"/>
        <v>125767</v>
      </c>
      <c r="F183" s="159">
        <f t="shared" si="11"/>
        <v>3.3687476793604278E-3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338981125</v>
      </c>
      <c r="D188" s="158">
        <f>+D186+D183+D167+D130+D121</f>
        <v>311061228</v>
      </c>
      <c r="E188" s="158">
        <f>D188-C188</f>
        <v>-27919897</v>
      </c>
      <c r="F188" s="159">
        <f>IF(C188=0,0,E188/C188)</f>
        <v>-8.236416408140719E-2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FILING&amp;RNORWALK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363267877</v>
      </c>
      <c r="D11" s="183">
        <v>334131914</v>
      </c>
      <c r="E11" s="76">
        <v>324018792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20310592</v>
      </c>
      <c r="D12" s="185">
        <v>16843048</v>
      </c>
      <c r="E12" s="185">
        <v>15796662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383578469</v>
      </c>
      <c r="D13" s="76">
        <f>+D11+D12</f>
        <v>350974962</v>
      </c>
      <c r="E13" s="76">
        <f>+E11+E12</f>
        <v>339815454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361951445</v>
      </c>
      <c r="D14" s="185">
        <v>338981125</v>
      </c>
      <c r="E14" s="185">
        <v>311061228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21627024</v>
      </c>
      <c r="D15" s="76">
        <f>+D13-D14</f>
        <v>11993837</v>
      </c>
      <c r="E15" s="76">
        <f>+E13-E14</f>
        <v>28754226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7929614</v>
      </c>
      <c r="D16" s="185">
        <v>9816666</v>
      </c>
      <c r="E16" s="185">
        <v>8793292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29556638</v>
      </c>
      <c r="D17" s="76">
        <f>D15+D16</f>
        <v>21810503</v>
      </c>
      <c r="E17" s="76">
        <f>E15+E16</f>
        <v>37547518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5.524030010895075E-2</v>
      </c>
      <c r="D20" s="189">
        <f>IF(+D27=0,0,+D24/+D27)</f>
        <v>3.3243113390646638E-2</v>
      </c>
      <c r="E20" s="189">
        <f>IF(+E27=0,0,+E24/+E27)</f>
        <v>8.248280150722323E-2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2.0254023720884456E-2</v>
      </c>
      <c r="D21" s="189">
        <f>IF(D27=0,0,+D26/D27)</f>
        <v>2.7208685673826113E-2</v>
      </c>
      <c r="E21" s="189">
        <f>IF(E27=0,0,+E26/E27)</f>
        <v>2.5223956945704396E-2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7.5494323829835203E-2</v>
      </c>
      <c r="D22" s="189">
        <f>IF(D27=0,0,+D28/D27)</f>
        <v>6.0451799064472747E-2</v>
      </c>
      <c r="E22" s="189">
        <f>IF(E27=0,0,+E28/E27)</f>
        <v>0.10770675845292763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21627024</v>
      </c>
      <c r="D24" s="76">
        <f>+D15</f>
        <v>11993837</v>
      </c>
      <c r="E24" s="76">
        <f>+E15</f>
        <v>28754226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383578469</v>
      </c>
      <c r="D25" s="76">
        <f>+D13</f>
        <v>350974962</v>
      </c>
      <c r="E25" s="76">
        <f>+E13</f>
        <v>339815454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7929614</v>
      </c>
      <c r="D26" s="76">
        <f>+D16</f>
        <v>9816666</v>
      </c>
      <c r="E26" s="76">
        <f>+E16</f>
        <v>8793292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391508083</v>
      </c>
      <c r="D27" s="76">
        <f>+D25+D26</f>
        <v>360791628</v>
      </c>
      <c r="E27" s="76">
        <f>+E25+E26</f>
        <v>348608746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29556638</v>
      </c>
      <c r="D28" s="76">
        <f>+D17</f>
        <v>21810503</v>
      </c>
      <c r="E28" s="76">
        <f>+E17</f>
        <v>37547518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123000420</v>
      </c>
      <c r="D31" s="76">
        <v>207578029</v>
      </c>
      <c r="E31" s="76">
        <v>265968153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166692992</v>
      </c>
      <c r="D32" s="76">
        <v>247213116</v>
      </c>
      <c r="E32" s="76">
        <v>313160208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30996191</v>
      </c>
      <c r="D33" s="76">
        <f>+D32-C32</f>
        <v>80520124</v>
      </c>
      <c r="E33" s="76">
        <f>+E32-D32</f>
        <v>65947092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1.2283999999999999</v>
      </c>
      <c r="D34" s="193">
        <f>IF(C32=0,0,+D33/C32)</f>
        <v>0.48304444616363956</v>
      </c>
      <c r="E34" s="193">
        <f>IF(D32=0,0,+E33/D32)</f>
        <v>0.26676210820464719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0.38950127779691218</v>
      </c>
      <c r="D38" s="195">
        <f>IF((D40+D41)=0,0,+D39/(D40+D41))</f>
        <v>0.36440264382238396</v>
      </c>
      <c r="E38" s="195">
        <f>IF((E40+E41)=0,0,+E39/(E40+E41))</f>
        <v>0.33956504524630149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361951445</v>
      </c>
      <c r="D39" s="76">
        <v>338981125</v>
      </c>
      <c r="E39" s="196">
        <v>311061228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908958362</v>
      </c>
      <c r="D40" s="76">
        <v>913394783</v>
      </c>
      <c r="E40" s="196">
        <v>900265499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20310592</v>
      </c>
      <c r="D41" s="76">
        <v>16843048</v>
      </c>
      <c r="E41" s="196">
        <v>15792359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1.4047821354204526</v>
      </c>
      <c r="D43" s="197">
        <f>IF(D38=0,0,IF((D46-D47)=0,0,((+D44-D45)/(D46-D47)/D38)))</f>
        <v>1.5629140425868648</v>
      </c>
      <c r="E43" s="197">
        <f>IF(E38=0,0,IF((E46-E47)=0,0,((+E44-E45)/(E46-E47)/E38)))</f>
        <v>1.6667234112164386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201449788</v>
      </c>
      <c r="D44" s="76">
        <v>201982906</v>
      </c>
      <c r="E44" s="196">
        <v>194645274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2287281</v>
      </c>
      <c r="D45" s="76">
        <v>2853510</v>
      </c>
      <c r="E45" s="196">
        <v>2737112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399177825</v>
      </c>
      <c r="D46" s="76">
        <v>384784752</v>
      </c>
      <c r="E46" s="196">
        <v>374660379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35187599</v>
      </c>
      <c r="D47" s="76">
        <v>35146642</v>
      </c>
      <c r="E47" s="76">
        <v>35576664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0.67088095440161344</v>
      </c>
      <c r="D49" s="198">
        <f>IF(D38=0,0,IF(D51=0,0,(D50/D51)/D38))</f>
        <v>0.72074072769358688</v>
      </c>
      <c r="E49" s="198">
        <f>IF(E38=0,0,IF(E51=0,0,(E50/E51)/E38))</f>
        <v>0.75537871398532486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97674768</v>
      </c>
      <c r="D50" s="199">
        <v>100509240</v>
      </c>
      <c r="E50" s="199">
        <v>96022685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373790310</v>
      </c>
      <c r="D51" s="199">
        <v>382688495</v>
      </c>
      <c r="E51" s="199">
        <v>374357144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0.68515308935625119</v>
      </c>
      <c r="D53" s="198">
        <f>IF(D38=0,0,IF(D55=0,0,(D54/D55)/D38))</f>
        <v>0.62986815582696765</v>
      </c>
      <c r="E53" s="198">
        <f>IF(E38=0,0,IF(E55=0,0,(E54/E55)/E38))</f>
        <v>0.73958453925011025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35580788</v>
      </c>
      <c r="D54" s="199">
        <v>33024913</v>
      </c>
      <c r="E54" s="199">
        <v>37410847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133327291</v>
      </c>
      <c r="D55" s="199">
        <v>143883340</v>
      </c>
      <c r="E55" s="199">
        <v>148965857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16148519.268291691</v>
      </c>
      <c r="D57" s="88">
        <f>+D60*D38</f>
        <v>13157866.696854968</v>
      </c>
      <c r="E57" s="88">
        <f>+E60*E38</f>
        <v>14043914.166855924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17929000</v>
      </c>
      <c r="D58" s="199">
        <v>18272000</v>
      </c>
      <c r="E58" s="199">
        <v>16801601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23530477</v>
      </c>
      <c r="D59" s="199">
        <v>17836044</v>
      </c>
      <c r="E59" s="199">
        <v>24556938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41459477</v>
      </c>
      <c r="D60" s="76">
        <v>36108044</v>
      </c>
      <c r="E60" s="201">
        <v>41358539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4.4615153472565061E-2</v>
      </c>
      <c r="D62" s="202">
        <f>IF(D63=0,0,+D57/D63)</f>
        <v>3.8815927278709007E-2</v>
      </c>
      <c r="E62" s="202">
        <f>IF(E63=0,0,+E57/E63)</f>
        <v>4.5148391707808481E-2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361951445</v>
      </c>
      <c r="D63" s="199">
        <v>338981125</v>
      </c>
      <c r="E63" s="199">
        <v>311061228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2.2065897186047025</v>
      </c>
      <c r="D67" s="203">
        <f>IF(D69=0,0,D68/D69)</f>
        <v>1.8819330203826345</v>
      </c>
      <c r="E67" s="203">
        <f>IF(E69=0,0,E68/E69)</f>
        <v>1.3577814725268444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130253153</v>
      </c>
      <c r="D68" s="204">
        <v>117477179</v>
      </c>
      <c r="E68" s="204">
        <v>129669077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59029167</v>
      </c>
      <c r="D69" s="204">
        <v>62423677</v>
      </c>
      <c r="E69" s="204">
        <v>95500697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94.62262888988846</v>
      </c>
      <c r="D71" s="203">
        <f>IF((D77/365)=0,0,+D74/(D77/365))</f>
        <v>93.988275223928511</v>
      </c>
      <c r="E71" s="203">
        <f>IF((E77/365)=0,0,+E74/(E77/365))</f>
        <v>103.99350658033131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79838027</v>
      </c>
      <c r="D72" s="183">
        <v>73750817</v>
      </c>
      <c r="E72" s="183">
        <v>74550518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8710885</v>
      </c>
      <c r="D73" s="206">
        <v>8738868</v>
      </c>
      <c r="E73" s="206">
        <v>8764926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88548912</v>
      </c>
      <c r="D74" s="204">
        <f>+D72+D73</f>
        <v>82489685</v>
      </c>
      <c r="E74" s="204">
        <f>+E72+E73</f>
        <v>83315444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361951445</v>
      </c>
      <c r="D75" s="204">
        <f>+D14</f>
        <v>338981125</v>
      </c>
      <c r="E75" s="204">
        <f>+E14</f>
        <v>311061228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20380372</v>
      </c>
      <c r="D76" s="204">
        <v>18635476</v>
      </c>
      <c r="E76" s="204">
        <v>18637806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341571073</v>
      </c>
      <c r="D77" s="204">
        <f>+D75-D76</f>
        <v>320345649</v>
      </c>
      <c r="E77" s="204">
        <f>+E75-E76</f>
        <v>292423422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27.696934981124134</v>
      </c>
      <c r="D79" s="203">
        <f>IF((D84/365)=0,0,+D83/(D84/365))</f>
        <v>23.925191833067466</v>
      </c>
      <c r="E79" s="203">
        <f>IF((E84/365)=0,0,+E83/(E84/365))</f>
        <v>4.927496967521563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30103755</v>
      </c>
      <c r="D80" s="212">
        <v>26795462</v>
      </c>
      <c r="E80" s="212">
        <v>40426872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2368715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4906972</v>
      </c>
      <c r="D82" s="212">
        <v>4893626</v>
      </c>
      <c r="E82" s="212">
        <v>36052621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27565498</v>
      </c>
      <c r="D83" s="212">
        <f>+D80+D81-D82</f>
        <v>21901836</v>
      </c>
      <c r="E83" s="212">
        <f>+E80+E81-E82</f>
        <v>4374251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363267877</v>
      </c>
      <c r="D84" s="204">
        <f>+D11</f>
        <v>334131914</v>
      </c>
      <c r="E84" s="204">
        <f>+E11</f>
        <v>324018792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63.078075569355953</v>
      </c>
      <c r="D86" s="203">
        <f>IF((D90/365)=0,0,+D87/(D90/365))</f>
        <v>71.125180492150207</v>
      </c>
      <c r="E86" s="203">
        <f>IF((E90/365)=0,0,+E87/(E90/365))</f>
        <v>119.20301789300585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59029167</v>
      </c>
      <c r="D87" s="76">
        <f>+D69</f>
        <v>62423677</v>
      </c>
      <c r="E87" s="76">
        <f>+E69</f>
        <v>95500697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361951445</v>
      </c>
      <c r="D88" s="76">
        <f t="shared" si="0"/>
        <v>338981125</v>
      </c>
      <c r="E88" s="76">
        <f t="shared" si="0"/>
        <v>311061228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20380372</v>
      </c>
      <c r="D89" s="201">
        <f t="shared" si="0"/>
        <v>18635476</v>
      </c>
      <c r="E89" s="201">
        <f t="shared" si="0"/>
        <v>18637806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341571073</v>
      </c>
      <c r="D90" s="76">
        <f>+D88-D89</f>
        <v>320345649</v>
      </c>
      <c r="E90" s="76">
        <f>+E88-E89</f>
        <v>292423422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37.974868442132845</v>
      </c>
      <c r="D94" s="214">
        <f>IF(D96=0,0,(D95/D96)*100)</f>
        <v>45.721696188704939</v>
      </c>
      <c r="E94" s="214">
        <f>IF(E96=0,0,(E95/E96)*100)</f>
        <v>51.380149033703383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166692992</v>
      </c>
      <c r="D95" s="76">
        <f>+D32</f>
        <v>247213116</v>
      </c>
      <c r="E95" s="76">
        <f>+E32</f>
        <v>313160208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438956075</v>
      </c>
      <c r="D96" s="76">
        <v>540691043</v>
      </c>
      <c r="E96" s="76">
        <v>609496496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44.676718241842082</v>
      </c>
      <c r="D98" s="214">
        <f>IF(D104=0,0,(D101/D104)*100)</f>
        <v>21.888120141132177</v>
      </c>
      <c r="E98" s="214">
        <f>IF(E104=0,0,(E101/E104)*100)</f>
        <v>26.071473131220017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29556638</v>
      </c>
      <c r="D99" s="76">
        <f>+D28</f>
        <v>21810503</v>
      </c>
      <c r="E99" s="76">
        <f>+E28</f>
        <v>37547518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20380372</v>
      </c>
      <c r="D100" s="201">
        <f>+D76</f>
        <v>18635476</v>
      </c>
      <c r="E100" s="201">
        <f>+E76</f>
        <v>18637806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49937010</v>
      </c>
      <c r="D101" s="76">
        <f>+D99+D100</f>
        <v>40445979</v>
      </c>
      <c r="E101" s="76">
        <f>+E99+E100</f>
        <v>56185324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59029167</v>
      </c>
      <c r="D102" s="204">
        <f>+D69</f>
        <v>62423677</v>
      </c>
      <c r="E102" s="204">
        <f>+E69</f>
        <v>95500697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52744956</v>
      </c>
      <c r="D103" s="216">
        <v>122361397</v>
      </c>
      <c r="E103" s="216">
        <v>120004287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111774123</v>
      </c>
      <c r="D104" s="204">
        <f>+D102+D103</f>
        <v>184785074</v>
      </c>
      <c r="E104" s="204">
        <f>+E102+E103</f>
        <v>215504984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24.036387726338017</v>
      </c>
      <c r="D106" s="214">
        <f>IF(D109=0,0,(D107/D109)*100)</f>
        <v>33.108721704518622</v>
      </c>
      <c r="E106" s="214">
        <f>IF(E109=0,0,(E107/E109)*100)</f>
        <v>27.704091259834211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52744956</v>
      </c>
      <c r="D107" s="204">
        <f>+D103</f>
        <v>122361397</v>
      </c>
      <c r="E107" s="204">
        <f>+E103</f>
        <v>120004287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166692992</v>
      </c>
      <c r="D108" s="204">
        <f>+D32</f>
        <v>247213116</v>
      </c>
      <c r="E108" s="204">
        <f>+E32</f>
        <v>313160208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219437948</v>
      </c>
      <c r="D109" s="204">
        <f>+D107+D108</f>
        <v>369574513</v>
      </c>
      <c r="E109" s="204">
        <f>+E107+E108</f>
        <v>433164495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7.5742808070569305</v>
      </c>
      <c r="D111" s="214">
        <f>IF((+D113+D115)=0,0,((+D112+D113+D114)/(+D113+D115)))</f>
        <v>2.7851370939932094</v>
      </c>
      <c r="E111" s="214">
        <f>IF((+E113+E115)=0,0,((+E112+E113+E114)/(+E113+E115)))</f>
        <v>8.4191536806524443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29556638</v>
      </c>
      <c r="D112" s="76">
        <f>+D17</f>
        <v>21810503</v>
      </c>
      <c r="E112" s="76">
        <f>+E17</f>
        <v>37547518</v>
      </c>
    </row>
    <row r="113" spans="1:8" ht="24" customHeight="1" x14ac:dyDescent="0.2">
      <c r="A113" s="85">
        <v>17</v>
      </c>
      <c r="B113" s="75" t="s">
        <v>88</v>
      </c>
      <c r="C113" s="218">
        <v>2025836</v>
      </c>
      <c r="D113" s="76">
        <v>2529391</v>
      </c>
      <c r="E113" s="76">
        <v>2456725</v>
      </c>
    </row>
    <row r="114" spans="1:8" ht="24" customHeight="1" x14ac:dyDescent="0.2">
      <c r="A114" s="85">
        <v>18</v>
      </c>
      <c r="B114" s="75" t="s">
        <v>374</v>
      </c>
      <c r="C114" s="218">
        <v>20380372</v>
      </c>
      <c r="D114" s="76">
        <v>18635476</v>
      </c>
      <c r="E114" s="76">
        <v>18637806</v>
      </c>
    </row>
    <row r="115" spans="1:8" ht="24" customHeight="1" x14ac:dyDescent="0.2">
      <c r="A115" s="85">
        <v>19</v>
      </c>
      <c r="B115" s="75" t="s">
        <v>104</v>
      </c>
      <c r="C115" s="218">
        <v>4834597</v>
      </c>
      <c r="D115" s="76">
        <v>12900862</v>
      </c>
      <c r="E115" s="76">
        <v>4508589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14.354983363404751</v>
      </c>
      <c r="D119" s="214">
        <f>IF(+D121=0,0,(+D120)/(+D121))</f>
        <v>16.655735061449462</v>
      </c>
      <c r="E119" s="214">
        <f>IF(+E121=0,0,(+E120)/(+E121))</f>
        <v>17.651208355747453</v>
      </c>
    </row>
    <row r="120" spans="1:8" ht="24" customHeight="1" x14ac:dyDescent="0.2">
      <c r="A120" s="85">
        <v>21</v>
      </c>
      <c r="B120" s="75" t="s">
        <v>378</v>
      </c>
      <c r="C120" s="218">
        <v>292559901</v>
      </c>
      <c r="D120" s="218">
        <v>310387551</v>
      </c>
      <c r="E120" s="218">
        <v>328979797</v>
      </c>
    </row>
    <row r="121" spans="1:8" ht="24" customHeight="1" x14ac:dyDescent="0.2">
      <c r="A121" s="85">
        <v>22</v>
      </c>
      <c r="B121" s="75" t="s">
        <v>374</v>
      </c>
      <c r="C121" s="218">
        <v>20380372</v>
      </c>
      <c r="D121" s="218">
        <v>18635476</v>
      </c>
      <c r="E121" s="218">
        <v>18637806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67341</v>
      </c>
      <c r="D124" s="218">
        <v>59611</v>
      </c>
      <c r="E124" s="218">
        <v>59071</v>
      </c>
    </row>
    <row r="125" spans="1:8" ht="24" customHeight="1" x14ac:dyDescent="0.2">
      <c r="A125" s="85">
        <v>2</v>
      </c>
      <c r="B125" s="75" t="s">
        <v>381</v>
      </c>
      <c r="C125" s="218">
        <v>15003</v>
      </c>
      <c r="D125" s="218">
        <v>13045</v>
      </c>
      <c r="E125" s="218">
        <v>13110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4.4885022995400918</v>
      </c>
      <c r="D126" s="219">
        <f>IF(D125=0,0,D124/D125)</f>
        <v>4.5696435415868146</v>
      </c>
      <c r="E126" s="219">
        <f>IF(E125=0,0,E124/E125)</f>
        <v>4.505797101449275</v>
      </c>
    </row>
    <row r="127" spans="1:8" ht="24" customHeight="1" x14ac:dyDescent="0.2">
      <c r="A127" s="85">
        <v>4</v>
      </c>
      <c r="B127" s="75" t="s">
        <v>383</v>
      </c>
      <c r="C127" s="218">
        <v>193</v>
      </c>
      <c r="D127" s="218">
        <v>168</v>
      </c>
      <c r="E127" s="218">
        <v>192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334</v>
      </c>
      <c r="E128" s="218">
        <v>333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320</v>
      </c>
      <c r="D129" s="218">
        <v>366</v>
      </c>
      <c r="E129" s="218">
        <v>366</v>
      </c>
    </row>
    <row r="130" spans="1:7" ht="24" customHeight="1" x14ac:dyDescent="0.2">
      <c r="A130" s="85">
        <v>7</v>
      </c>
      <c r="B130" s="75" t="s">
        <v>386</v>
      </c>
      <c r="C130" s="193">
        <v>0.95589999999999997</v>
      </c>
      <c r="D130" s="193">
        <v>0.97209999999999996</v>
      </c>
      <c r="E130" s="193">
        <v>0.84289999999999998</v>
      </c>
    </row>
    <row r="131" spans="1:7" ht="24" customHeight="1" x14ac:dyDescent="0.2">
      <c r="A131" s="85">
        <v>8</v>
      </c>
      <c r="B131" s="75" t="s">
        <v>387</v>
      </c>
      <c r="C131" s="193">
        <v>0.57650000000000001</v>
      </c>
      <c r="D131" s="193">
        <v>0.4889</v>
      </c>
      <c r="E131" s="193">
        <v>0.48599999999999999</v>
      </c>
    </row>
    <row r="132" spans="1:7" ht="24" customHeight="1" x14ac:dyDescent="0.2">
      <c r="A132" s="85">
        <v>9</v>
      </c>
      <c r="B132" s="75" t="s">
        <v>388</v>
      </c>
      <c r="C132" s="219">
        <v>1698.8</v>
      </c>
      <c r="D132" s="219">
        <v>1685.4</v>
      </c>
      <c r="E132" s="219">
        <v>1651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0.40044763458592836</v>
      </c>
      <c r="D135" s="227">
        <f>IF(D149=0,0,D143/D149)</f>
        <v>0.38278969456299161</v>
      </c>
      <c r="E135" s="227">
        <f>IF(E149=0,0,E143/E149)</f>
        <v>0.37664857242296695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0.41122929897200283</v>
      </c>
      <c r="D136" s="227">
        <f>IF(D149=0,0,D144/D149)</f>
        <v>0.41897381299144121</v>
      </c>
      <c r="E136" s="227">
        <f>IF(E149=0,0,E144/E149)</f>
        <v>0.41582971291894416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0.14668140651309614</v>
      </c>
      <c r="D137" s="227">
        <f>IF(D149=0,0,D145/D149)</f>
        <v>0.1575259052032488</v>
      </c>
      <c r="E137" s="227">
        <f>IF(E149=0,0,E145/E149)</f>
        <v>0.16546880577503947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1.9242927653489149E-3</v>
      </c>
      <c r="D138" s="227">
        <f>IF(D149=0,0,D146/D149)</f>
        <v>1.3525049879773618E-3</v>
      </c>
      <c r="E138" s="227">
        <f>IF(E149=0,0,E146/E149)</f>
        <v>1.6698607262744833E-3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3.8712003179745214E-2</v>
      </c>
      <c r="D139" s="227">
        <f>IF(D149=0,0,D147/D149)</f>
        <v>3.8479135915975557E-2</v>
      </c>
      <c r="E139" s="227">
        <f>IF(E149=0,0,E147/E149)</f>
        <v>3.9517968909747146E-2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1.0053639838785047E-3</v>
      </c>
      <c r="D140" s="227">
        <f>IF(D149=0,0,D148/D149)</f>
        <v>8.7894633836549949E-4</v>
      </c>
      <c r="E140" s="227">
        <f>IF(E149=0,0,E148/E149)</f>
        <v>8.6507924702777046E-4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363990226</v>
      </c>
      <c r="D143" s="229">
        <f>+D46-D147</f>
        <v>349638110</v>
      </c>
      <c r="E143" s="229">
        <f>+E46-E147</f>
        <v>339083715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373790310</v>
      </c>
      <c r="D144" s="229">
        <f>+D51</f>
        <v>382688495</v>
      </c>
      <c r="E144" s="229">
        <f>+E51</f>
        <v>374357144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133327291</v>
      </c>
      <c r="D145" s="229">
        <f>+D55</f>
        <v>143883340</v>
      </c>
      <c r="E145" s="229">
        <f>+E55</f>
        <v>148965857</v>
      </c>
    </row>
    <row r="146" spans="1:7" ht="20.100000000000001" customHeight="1" x14ac:dyDescent="0.2">
      <c r="A146" s="226">
        <v>11</v>
      </c>
      <c r="B146" s="224" t="s">
        <v>400</v>
      </c>
      <c r="C146" s="228">
        <v>1749102</v>
      </c>
      <c r="D146" s="229">
        <v>1235371</v>
      </c>
      <c r="E146" s="229">
        <v>1503318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35187599</v>
      </c>
      <c r="D147" s="229">
        <f>+D47</f>
        <v>35146642</v>
      </c>
      <c r="E147" s="229">
        <f>+E47</f>
        <v>35576664</v>
      </c>
    </row>
    <row r="148" spans="1:7" ht="20.100000000000001" customHeight="1" x14ac:dyDescent="0.2">
      <c r="A148" s="226">
        <v>13</v>
      </c>
      <c r="B148" s="224" t="s">
        <v>402</v>
      </c>
      <c r="C148" s="230">
        <v>913834</v>
      </c>
      <c r="D148" s="229">
        <v>802825</v>
      </c>
      <c r="E148" s="229">
        <v>778801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908958362</v>
      </c>
      <c r="D149" s="229">
        <f>SUM(D143:D148)</f>
        <v>913394783</v>
      </c>
      <c r="E149" s="229">
        <f>SUM(E143:E148)</f>
        <v>900265499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0.59357396851719846</v>
      </c>
      <c r="D152" s="227">
        <f>IF(D166=0,0,D160/D166)</f>
        <v>0.59283043822972858</v>
      </c>
      <c r="E152" s="227">
        <f>IF(E166=0,0,E160/E166)</f>
        <v>0.58418309561517145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0.29110499028693521</v>
      </c>
      <c r="D153" s="227">
        <f>IF(D166=0,0,D161/D166)</f>
        <v>0.29922722607633967</v>
      </c>
      <c r="E153" s="227">
        <f>IF(E166=0,0,E161/E166)</f>
        <v>0.29230038362089306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0.10604319986858325</v>
      </c>
      <c r="D154" s="227">
        <f>IF(D166=0,0,D162/D166)</f>
        <v>9.8318852161278392E-2</v>
      </c>
      <c r="E154" s="227">
        <f>IF(E166=0,0,E162/E166)</f>
        <v>0.11388147425457366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1.9693973673084644E-3</v>
      </c>
      <c r="D155" s="227">
        <f>IF(D166=0,0,D163/D166)</f>
        <v>4.6512307934658319E-4</v>
      </c>
      <c r="E155" s="227">
        <f>IF(E166=0,0,E163/E166)</f>
        <v>7.8372485071263637E-4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6.8168978224600581E-3</v>
      </c>
      <c r="D156" s="227">
        <f>IF(D166=0,0,D164/D166)</f>
        <v>8.4952177718296933E-3</v>
      </c>
      <c r="E156" s="227">
        <f>IF(E166=0,0,E164/E166)</f>
        <v>8.3319778822405332E-3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4.9154613751459264E-4</v>
      </c>
      <c r="D157" s="227">
        <f>IF(D166=0,0,D165/D166)</f>
        <v>6.6314268147711023E-4</v>
      </c>
      <c r="E157" s="227">
        <f>IF(E166=0,0,E165/E166)</f>
        <v>5.1934377640859889E-4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199162507</v>
      </c>
      <c r="D160" s="229">
        <f>+D44-D164</f>
        <v>199129396</v>
      </c>
      <c r="E160" s="229">
        <f>+E44-E164</f>
        <v>191908162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97674768</v>
      </c>
      <c r="D161" s="229">
        <f>+D50</f>
        <v>100509240</v>
      </c>
      <c r="E161" s="229">
        <f>+E50</f>
        <v>96022685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35580788</v>
      </c>
      <c r="D162" s="229">
        <f>+D54</f>
        <v>33024913</v>
      </c>
      <c r="E162" s="229">
        <f>+E54</f>
        <v>37410847</v>
      </c>
    </row>
    <row r="163" spans="1:6" ht="20.100000000000001" customHeight="1" x14ac:dyDescent="0.2">
      <c r="A163" s="226">
        <v>11</v>
      </c>
      <c r="B163" s="224" t="s">
        <v>415</v>
      </c>
      <c r="C163" s="228">
        <v>660794</v>
      </c>
      <c r="D163" s="229">
        <v>156233</v>
      </c>
      <c r="E163" s="229">
        <v>257459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2287281</v>
      </c>
      <c r="D164" s="229">
        <f>+D45</f>
        <v>2853510</v>
      </c>
      <c r="E164" s="229">
        <f>+E45</f>
        <v>2737112</v>
      </c>
    </row>
    <row r="165" spans="1:6" ht="20.100000000000001" customHeight="1" x14ac:dyDescent="0.2">
      <c r="A165" s="226">
        <v>13</v>
      </c>
      <c r="B165" s="224" t="s">
        <v>417</v>
      </c>
      <c r="C165" s="230">
        <v>164929</v>
      </c>
      <c r="D165" s="229">
        <v>222747</v>
      </c>
      <c r="E165" s="229">
        <v>170608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335531067</v>
      </c>
      <c r="D166" s="229">
        <f>SUM(D160:D165)</f>
        <v>335896039</v>
      </c>
      <c r="E166" s="229">
        <f>SUM(E160:E165)</f>
        <v>328506873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5799</v>
      </c>
      <c r="D169" s="218">
        <v>4907</v>
      </c>
      <c r="E169" s="218">
        <v>4782</v>
      </c>
    </row>
    <row r="170" spans="1:6" ht="20.100000000000001" customHeight="1" x14ac:dyDescent="0.2">
      <c r="A170" s="226">
        <v>2</v>
      </c>
      <c r="B170" s="224" t="s">
        <v>420</v>
      </c>
      <c r="C170" s="218">
        <v>6147</v>
      </c>
      <c r="D170" s="218">
        <v>5319</v>
      </c>
      <c r="E170" s="218">
        <v>5620</v>
      </c>
    </row>
    <row r="171" spans="1:6" ht="20.100000000000001" customHeight="1" x14ac:dyDescent="0.2">
      <c r="A171" s="226">
        <v>3</v>
      </c>
      <c r="B171" s="224" t="s">
        <v>421</v>
      </c>
      <c r="C171" s="218">
        <v>3042</v>
      </c>
      <c r="D171" s="218">
        <v>2803</v>
      </c>
      <c r="E171" s="218">
        <v>2698</v>
      </c>
    </row>
    <row r="172" spans="1:6" ht="20.100000000000001" customHeight="1" x14ac:dyDescent="0.2">
      <c r="A172" s="226">
        <v>4</v>
      </c>
      <c r="B172" s="224" t="s">
        <v>422</v>
      </c>
      <c r="C172" s="218">
        <v>3002</v>
      </c>
      <c r="D172" s="218">
        <v>2782</v>
      </c>
      <c r="E172" s="218">
        <v>2675</v>
      </c>
    </row>
    <row r="173" spans="1:6" ht="20.100000000000001" customHeight="1" x14ac:dyDescent="0.2">
      <c r="A173" s="226">
        <v>5</v>
      </c>
      <c r="B173" s="224" t="s">
        <v>423</v>
      </c>
      <c r="C173" s="218">
        <v>40</v>
      </c>
      <c r="D173" s="218">
        <v>21</v>
      </c>
      <c r="E173" s="218">
        <v>23</v>
      </c>
    </row>
    <row r="174" spans="1:6" ht="20.100000000000001" customHeight="1" x14ac:dyDescent="0.2">
      <c r="A174" s="226">
        <v>6</v>
      </c>
      <c r="B174" s="224" t="s">
        <v>424</v>
      </c>
      <c r="C174" s="218">
        <v>15</v>
      </c>
      <c r="D174" s="218">
        <v>16</v>
      </c>
      <c r="E174" s="218">
        <v>10</v>
      </c>
    </row>
    <row r="175" spans="1:6" ht="20.100000000000001" customHeight="1" x14ac:dyDescent="0.2">
      <c r="A175" s="226">
        <v>7</v>
      </c>
      <c r="B175" s="224" t="s">
        <v>425</v>
      </c>
      <c r="C175" s="218">
        <v>267</v>
      </c>
      <c r="D175" s="218">
        <v>193</v>
      </c>
      <c r="E175" s="218">
        <v>231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15003</v>
      </c>
      <c r="D176" s="218">
        <f>+D169+D170+D171+D174</f>
        <v>13045</v>
      </c>
      <c r="E176" s="218">
        <f>+E169+E170+E171+E174</f>
        <v>13110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1.0031000000000001</v>
      </c>
      <c r="D179" s="231">
        <v>1.075</v>
      </c>
      <c r="E179" s="231">
        <v>1.06088</v>
      </c>
    </row>
    <row r="180" spans="1:6" ht="20.100000000000001" customHeight="1" x14ac:dyDescent="0.2">
      <c r="A180" s="226">
        <v>2</v>
      </c>
      <c r="B180" s="224" t="s">
        <v>420</v>
      </c>
      <c r="C180" s="231">
        <v>1.3455999999999999</v>
      </c>
      <c r="D180" s="231">
        <v>1.4406000000000001</v>
      </c>
      <c r="E180" s="231">
        <v>1.4339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0.93919900000000001</v>
      </c>
      <c r="D181" s="231">
        <v>0.95943000000000001</v>
      </c>
      <c r="E181" s="231">
        <v>0.95825000000000005</v>
      </c>
    </row>
    <row r="182" spans="1:6" ht="20.100000000000001" customHeight="1" x14ac:dyDescent="0.2">
      <c r="A182" s="226">
        <v>4</v>
      </c>
      <c r="B182" s="224" t="s">
        <v>422</v>
      </c>
      <c r="C182" s="231">
        <v>0.93799999999999994</v>
      </c>
      <c r="D182" s="231">
        <v>0.95901999999999998</v>
      </c>
      <c r="E182" s="231">
        <v>0.95816000000000001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1.0291999999999999</v>
      </c>
      <c r="D183" s="231">
        <v>1.0138</v>
      </c>
      <c r="E183" s="231">
        <v>0.96879999999999999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0.84589999999999999</v>
      </c>
      <c r="D184" s="231">
        <v>1.5285</v>
      </c>
      <c r="E184" s="231">
        <v>1.3916299999999999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0.96430000000000005</v>
      </c>
      <c r="D185" s="231">
        <v>1.0650999999999999</v>
      </c>
      <c r="E185" s="231">
        <v>1.11775</v>
      </c>
    </row>
    <row r="186" spans="1:6" ht="20.100000000000001" customHeight="1" x14ac:dyDescent="0.2">
      <c r="A186" s="226">
        <v>8</v>
      </c>
      <c r="B186" s="224" t="s">
        <v>429</v>
      </c>
      <c r="C186" s="231">
        <v>1.130314</v>
      </c>
      <c r="D186" s="231">
        <v>1.199794</v>
      </c>
      <c r="E186" s="231">
        <v>1.1999169999999999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9699</v>
      </c>
      <c r="D189" s="218">
        <v>8469</v>
      </c>
      <c r="E189" s="218">
        <v>8767</v>
      </c>
    </row>
    <row r="190" spans="1:6" ht="20.100000000000001" customHeight="1" x14ac:dyDescent="0.2">
      <c r="A190" s="226">
        <v>2</v>
      </c>
      <c r="B190" s="224" t="s">
        <v>433</v>
      </c>
      <c r="C190" s="218">
        <v>39550</v>
      </c>
      <c r="D190" s="218">
        <v>39838</v>
      </c>
      <c r="E190" s="218">
        <v>39091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49249</v>
      </c>
      <c r="D191" s="218">
        <f>+D190+D189</f>
        <v>48307</v>
      </c>
      <c r="E191" s="218">
        <f>+E190+E189</f>
        <v>47858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FILING&amp;RNORWALK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835349</v>
      </c>
      <c r="D14" s="258">
        <v>696051</v>
      </c>
      <c r="E14" s="258">
        <f t="shared" ref="E14:E24" si="0">D14-C14</f>
        <v>-139298</v>
      </c>
      <c r="F14" s="259">
        <f t="shared" ref="F14:F24" si="1">IF(C14=0,0,E14/C14)</f>
        <v>-0.16675425480846928</v>
      </c>
    </row>
    <row r="15" spans="1:7" ht="20.25" customHeight="1" x14ac:dyDescent="0.3">
      <c r="A15" s="256">
        <v>2</v>
      </c>
      <c r="B15" s="257" t="s">
        <v>442</v>
      </c>
      <c r="C15" s="258">
        <v>217812</v>
      </c>
      <c r="D15" s="258">
        <v>159219</v>
      </c>
      <c r="E15" s="258">
        <f t="shared" si="0"/>
        <v>-58593</v>
      </c>
      <c r="F15" s="259">
        <f t="shared" si="1"/>
        <v>-0.26900721723321031</v>
      </c>
    </row>
    <row r="16" spans="1:7" ht="20.25" customHeight="1" x14ac:dyDescent="0.3">
      <c r="A16" s="256">
        <v>3</v>
      </c>
      <c r="B16" s="257" t="s">
        <v>443</v>
      </c>
      <c r="C16" s="258">
        <v>524571</v>
      </c>
      <c r="D16" s="258">
        <v>269958</v>
      </c>
      <c r="E16" s="258">
        <f t="shared" si="0"/>
        <v>-254613</v>
      </c>
      <c r="F16" s="259">
        <f t="shared" si="1"/>
        <v>-0.48537376256026354</v>
      </c>
    </row>
    <row r="17" spans="1:6" ht="20.25" customHeight="1" x14ac:dyDescent="0.3">
      <c r="A17" s="256">
        <v>4</v>
      </c>
      <c r="B17" s="257" t="s">
        <v>444</v>
      </c>
      <c r="C17" s="258">
        <v>100573</v>
      </c>
      <c r="D17" s="258">
        <v>57443</v>
      </c>
      <c r="E17" s="258">
        <f t="shared" si="0"/>
        <v>-43130</v>
      </c>
      <c r="F17" s="259">
        <f t="shared" si="1"/>
        <v>-0.42884273115050758</v>
      </c>
    </row>
    <row r="18" spans="1:6" ht="20.25" customHeight="1" x14ac:dyDescent="0.3">
      <c r="A18" s="256">
        <v>5</v>
      </c>
      <c r="B18" s="257" t="s">
        <v>381</v>
      </c>
      <c r="C18" s="260">
        <v>23</v>
      </c>
      <c r="D18" s="260">
        <v>22</v>
      </c>
      <c r="E18" s="260">
        <f t="shared" si="0"/>
        <v>-1</v>
      </c>
      <c r="F18" s="259">
        <f t="shared" si="1"/>
        <v>-4.3478260869565216E-2</v>
      </c>
    </row>
    <row r="19" spans="1:6" ht="20.25" customHeight="1" x14ac:dyDescent="0.3">
      <c r="A19" s="256">
        <v>6</v>
      </c>
      <c r="B19" s="257" t="s">
        <v>380</v>
      </c>
      <c r="C19" s="260">
        <v>101</v>
      </c>
      <c r="D19" s="260">
        <v>81</v>
      </c>
      <c r="E19" s="260">
        <f t="shared" si="0"/>
        <v>-20</v>
      </c>
      <c r="F19" s="259">
        <f t="shared" si="1"/>
        <v>-0.19801980198019803</v>
      </c>
    </row>
    <row r="20" spans="1:6" ht="20.25" customHeight="1" x14ac:dyDescent="0.3">
      <c r="A20" s="256">
        <v>7</v>
      </c>
      <c r="B20" s="257" t="s">
        <v>445</v>
      </c>
      <c r="C20" s="260">
        <v>195</v>
      </c>
      <c r="D20" s="260">
        <v>115</v>
      </c>
      <c r="E20" s="260">
        <f t="shared" si="0"/>
        <v>-80</v>
      </c>
      <c r="F20" s="259">
        <f t="shared" si="1"/>
        <v>-0.41025641025641024</v>
      </c>
    </row>
    <row r="21" spans="1:6" ht="20.25" customHeight="1" x14ac:dyDescent="0.3">
      <c r="A21" s="256">
        <v>8</v>
      </c>
      <c r="B21" s="257" t="s">
        <v>446</v>
      </c>
      <c r="C21" s="260">
        <v>46</v>
      </c>
      <c r="D21" s="260">
        <v>21</v>
      </c>
      <c r="E21" s="260">
        <f t="shared" si="0"/>
        <v>-25</v>
      </c>
      <c r="F21" s="259">
        <f t="shared" si="1"/>
        <v>-0.54347826086956519</v>
      </c>
    </row>
    <row r="22" spans="1:6" ht="20.25" customHeight="1" x14ac:dyDescent="0.3">
      <c r="A22" s="256">
        <v>9</v>
      </c>
      <c r="B22" s="257" t="s">
        <v>447</v>
      </c>
      <c r="C22" s="260">
        <v>22</v>
      </c>
      <c r="D22" s="260">
        <v>21</v>
      </c>
      <c r="E22" s="260">
        <f t="shared" si="0"/>
        <v>-1</v>
      </c>
      <c r="F22" s="259">
        <f t="shared" si="1"/>
        <v>-4.5454545454545456E-2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1359920</v>
      </c>
      <c r="D23" s="263">
        <f>+D14+D16</f>
        <v>966009</v>
      </c>
      <c r="E23" s="263">
        <f t="shared" si="0"/>
        <v>-393911</v>
      </c>
      <c r="F23" s="264">
        <f t="shared" si="1"/>
        <v>-0.28965747985175599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318385</v>
      </c>
      <c r="D24" s="263">
        <f>+D15+D17</f>
        <v>216662</v>
      </c>
      <c r="E24" s="263">
        <f t="shared" si="0"/>
        <v>-101723</v>
      </c>
      <c r="F24" s="264">
        <f t="shared" si="1"/>
        <v>-0.31949683559212905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4488965</v>
      </c>
      <c r="D40" s="258">
        <v>6312384</v>
      </c>
      <c r="E40" s="258">
        <f t="shared" ref="E40:E50" si="4">D40-C40</f>
        <v>1823419</v>
      </c>
      <c r="F40" s="259">
        <f t="shared" ref="F40:F50" si="5">IF(C40=0,0,E40/C40)</f>
        <v>0.40620031566296461</v>
      </c>
    </row>
    <row r="41" spans="1:6" ht="20.25" customHeight="1" x14ac:dyDescent="0.3">
      <c r="A41" s="256">
        <v>2</v>
      </c>
      <c r="B41" s="257" t="s">
        <v>442</v>
      </c>
      <c r="C41" s="258">
        <v>1163089</v>
      </c>
      <c r="D41" s="258">
        <v>1575029</v>
      </c>
      <c r="E41" s="258">
        <f t="shared" si="4"/>
        <v>411940</v>
      </c>
      <c r="F41" s="259">
        <f t="shared" si="5"/>
        <v>0.35417753929406948</v>
      </c>
    </row>
    <row r="42" spans="1:6" ht="20.25" customHeight="1" x14ac:dyDescent="0.3">
      <c r="A42" s="256">
        <v>3</v>
      </c>
      <c r="B42" s="257" t="s">
        <v>443</v>
      </c>
      <c r="C42" s="258">
        <v>3223188</v>
      </c>
      <c r="D42" s="258">
        <v>3779979</v>
      </c>
      <c r="E42" s="258">
        <f t="shared" si="4"/>
        <v>556791</v>
      </c>
      <c r="F42" s="259">
        <f t="shared" si="5"/>
        <v>0.17274543092118735</v>
      </c>
    </row>
    <row r="43" spans="1:6" ht="20.25" customHeight="1" x14ac:dyDescent="0.3">
      <c r="A43" s="256">
        <v>4</v>
      </c>
      <c r="B43" s="257" t="s">
        <v>444</v>
      </c>
      <c r="C43" s="258">
        <v>667344</v>
      </c>
      <c r="D43" s="258">
        <v>800665</v>
      </c>
      <c r="E43" s="258">
        <f t="shared" si="4"/>
        <v>133321</v>
      </c>
      <c r="F43" s="259">
        <f t="shared" si="5"/>
        <v>0.19977852501858112</v>
      </c>
    </row>
    <row r="44" spans="1:6" ht="20.25" customHeight="1" x14ac:dyDescent="0.3">
      <c r="A44" s="256">
        <v>5</v>
      </c>
      <c r="B44" s="257" t="s">
        <v>381</v>
      </c>
      <c r="C44" s="260">
        <v>105</v>
      </c>
      <c r="D44" s="260">
        <v>130</v>
      </c>
      <c r="E44" s="260">
        <f t="shared" si="4"/>
        <v>25</v>
      </c>
      <c r="F44" s="259">
        <f t="shared" si="5"/>
        <v>0.23809523809523808</v>
      </c>
    </row>
    <row r="45" spans="1:6" ht="20.25" customHeight="1" x14ac:dyDescent="0.3">
      <c r="A45" s="256">
        <v>6</v>
      </c>
      <c r="B45" s="257" t="s">
        <v>380</v>
      </c>
      <c r="C45" s="260">
        <v>576</v>
      </c>
      <c r="D45" s="260">
        <v>835</v>
      </c>
      <c r="E45" s="260">
        <f t="shared" si="4"/>
        <v>259</v>
      </c>
      <c r="F45" s="259">
        <f t="shared" si="5"/>
        <v>0.44965277777777779</v>
      </c>
    </row>
    <row r="46" spans="1:6" ht="20.25" customHeight="1" x14ac:dyDescent="0.3">
      <c r="A46" s="256">
        <v>7</v>
      </c>
      <c r="B46" s="257" t="s">
        <v>445</v>
      </c>
      <c r="C46" s="260">
        <v>1421</v>
      </c>
      <c r="D46" s="260">
        <v>1876</v>
      </c>
      <c r="E46" s="260">
        <f t="shared" si="4"/>
        <v>455</v>
      </c>
      <c r="F46" s="259">
        <f t="shared" si="5"/>
        <v>0.32019704433497537</v>
      </c>
    </row>
    <row r="47" spans="1:6" ht="20.25" customHeight="1" x14ac:dyDescent="0.3">
      <c r="A47" s="256">
        <v>8</v>
      </c>
      <c r="B47" s="257" t="s">
        <v>446</v>
      </c>
      <c r="C47" s="260">
        <v>125</v>
      </c>
      <c r="D47" s="260">
        <v>155</v>
      </c>
      <c r="E47" s="260">
        <f t="shared" si="4"/>
        <v>30</v>
      </c>
      <c r="F47" s="259">
        <f t="shared" si="5"/>
        <v>0.24</v>
      </c>
    </row>
    <row r="48" spans="1:6" ht="20.25" customHeight="1" x14ac:dyDescent="0.3">
      <c r="A48" s="256">
        <v>9</v>
      </c>
      <c r="B48" s="257" t="s">
        <v>447</v>
      </c>
      <c r="C48" s="260">
        <v>94</v>
      </c>
      <c r="D48" s="260">
        <v>107</v>
      </c>
      <c r="E48" s="260">
        <f t="shared" si="4"/>
        <v>13</v>
      </c>
      <c r="F48" s="259">
        <f t="shared" si="5"/>
        <v>0.13829787234042554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7712153</v>
      </c>
      <c r="D49" s="263">
        <f>+D40+D42</f>
        <v>10092363</v>
      </c>
      <c r="E49" s="263">
        <f t="shared" si="4"/>
        <v>2380210</v>
      </c>
      <c r="F49" s="264">
        <f t="shared" si="5"/>
        <v>0.3086310657996541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1830433</v>
      </c>
      <c r="D50" s="263">
        <f>+D41+D43</f>
        <v>2375694</v>
      </c>
      <c r="E50" s="263">
        <f t="shared" si="4"/>
        <v>545261</v>
      </c>
      <c r="F50" s="264">
        <f t="shared" si="5"/>
        <v>0.29788634711021927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10023</v>
      </c>
      <c r="E55" s="258">
        <f t="shared" si="6"/>
        <v>10023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2336</v>
      </c>
      <c r="E56" s="258">
        <f t="shared" si="6"/>
        <v>2336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8</v>
      </c>
      <c r="E59" s="260">
        <f t="shared" si="6"/>
        <v>8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2</v>
      </c>
      <c r="E60" s="260">
        <f t="shared" si="6"/>
        <v>2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10023</v>
      </c>
      <c r="E62" s="263">
        <f t="shared" si="6"/>
        <v>10023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2336</v>
      </c>
      <c r="E63" s="263">
        <f t="shared" si="6"/>
        <v>2336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1678232</v>
      </c>
      <c r="D66" s="258">
        <v>1621471</v>
      </c>
      <c r="E66" s="258">
        <f t="shared" ref="E66:E76" si="8">D66-C66</f>
        <v>-56761</v>
      </c>
      <c r="F66" s="259">
        <f t="shared" ref="F66:F76" si="9">IF(C66=0,0,E66/C66)</f>
        <v>-3.3821903050352993E-2</v>
      </c>
    </row>
    <row r="67" spans="1:6" ht="20.25" customHeight="1" x14ac:dyDescent="0.3">
      <c r="A67" s="256">
        <v>2</v>
      </c>
      <c r="B67" s="257" t="s">
        <v>442</v>
      </c>
      <c r="C67" s="258">
        <v>396694</v>
      </c>
      <c r="D67" s="258">
        <v>359815</v>
      </c>
      <c r="E67" s="258">
        <f t="shared" si="8"/>
        <v>-36879</v>
      </c>
      <c r="F67" s="259">
        <f t="shared" si="9"/>
        <v>-9.2965862856509041E-2</v>
      </c>
    </row>
    <row r="68" spans="1:6" ht="20.25" customHeight="1" x14ac:dyDescent="0.3">
      <c r="A68" s="256">
        <v>3</v>
      </c>
      <c r="B68" s="257" t="s">
        <v>443</v>
      </c>
      <c r="C68" s="258">
        <v>1045204</v>
      </c>
      <c r="D68" s="258">
        <v>504875</v>
      </c>
      <c r="E68" s="258">
        <f t="shared" si="8"/>
        <v>-540329</v>
      </c>
      <c r="F68" s="259">
        <f t="shared" si="9"/>
        <v>-0.51696032544842918</v>
      </c>
    </row>
    <row r="69" spans="1:6" ht="20.25" customHeight="1" x14ac:dyDescent="0.3">
      <c r="A69" s="256">
        <v>4</v>
      </c>
      <c r="B69" s="257" t="s">
        <v>444</v>
      </c>
      <c r="C69" s="258">
        <v>196779</v>
      </c>
      <c r="D69" s="258">
        <v>96782</v>
      </c>
      <c r="E69" s="258">
        <f t="shared" si="8"/>
        <v>-99997</v>
      </c>
      <c r="F69" s="259">
        <f t="shared" si="9"/>
        <v>-0.50816906275568019</v>
      </c>
    </row>
    <row r="70" spans="1:6" ht="20.25" customHeight="1" x14ac:dyDescent="0.3">
      <c r="A70" s="256">
        <v>5</v>
      </c>
      <c r="B70" s="257" t="s">
        <v>381</v>
      </c>
      <c r="C70" s="260">
        <v>37</v>
      </c>
      <c r="D70" s="260">
        <v>20</v>
      </c>
      <c r="E70" s="260">
        <f t="shared" si="8"/>
        <v>-17</v>
      </c>
      <c r="F70" s="259">
        <f t="shared" si="9"/>
        <v>-0.45945945945945948</v>
      </c>
    </row>
    <row r="71" spans="1:6" ht="20.25" customHeight="1" x14ac:dyDescent="0.3">
      <c r="A71" s="256">
        <v>6</v>
      </c>
      <c r="B71" s="257" t="s">
        <v>380</v>
      </c>
      <c r="C71" s="260">
        <v>223</v>
      </c>
      <c r="D71" s="260">
        <v>179</v>
      </c>
      <c r="E71" s="260">
        <f t="shared" si="8"/>
        <v>-44</v>
      </c>
      <c r="F71" s="259">
        <f t="shared" si="9"/>
        <v>-0.19730941704035873</v>
      </c>
    </row>
    <row r="72" spans="1:6" ht="20.25" customHeight="1" x14ac:dyDescent="0.3">
      <c r="A72" s="256">
        <v>7</v>
      </c>
      <c r="B72" s="257" t="s">
        <v>445</v>
      </c>
      <c r="C72" s="260">
        <v>463</v>
      </c>
      <c r="D72" s="260">
        <v>261</v>
      </c>
      <c r="E72" s="260">
        <f t="shared" si="8"/>
        <v>-202</v>
      </c>
      <c r="F72" s="259">
        <f t="shared" si="9"/>
        <v>-0.43628509719222464</v>
      </c>
    </row>
    <row r="73" spans="1:6" ht="20.25" customHeight="1" x14ac:dyDescent="0.3">
      <c r="A73" s="256">
        <v>8</v>
      </c>
      <c r="B73" s="257" t="s">
        <v>446</v>
      </c>
      <c r="C73" s="260">
        <v>94</v>
      </c>
      <c r="D73" s="260">
        <v>46</v>
      </c>
      <c r="E73" s="260">
        <f t="shared" si="8"/>
        <v>-48</v>
      </c>
      <c r="F73" s="259">
        <f t="shared" si="9"/>
        <v>-0.51063829787234039</v>
      </c>
    </row>
    <row r="74" spans="1:6" ht="20.25" customHeight="1" x14ac:dyDescent="0.3">
      <c r="A74" s="256">
        <v>9</v>
      </c>
      <c r="B74" s="257" t="s">
        <v>447</v>
      </c>
      <c r="C74" s="260">
        <v>23</v>
      </c>
      <c r="D74" s="260">
        <v>19</v>
      </c>
      <c r="E74" s="260">
        <f t="shared" si="8"/>
        <v>-4</v>
      </c>
      <c r="F74" s="259">
        <f t="shared" si="9"/>
        <v>-0.17391304347826086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2723436</v>
      </c>
      <c r="D75" s="263">
        <f>+D66+D68</f>
        <v>2126346</v>
      </c>
      <c r="E75" s="263">
        <f t="shared" si="8"/>
        <v>-597090</v>
      </c>
      <c r="F75" s="264">
        <f t="shared" si="9"/>
        <v>-0.21924142884209505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593473</v>
      </c>
      <c r="D76" s="263">
        <f>+D67+D69</f>
        <v>456597</v>
      </c>
      <c r="E76" s="263">
        <f t="shared" si="8"/>
        <v>-136876</v>
      </c>
      <c r="F76" s="264">
        <f t="shared" si="9"/>
        <v>-0.23063559757562685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2698</v>
      </c>
      <c r="E81" s="258">
        <f t="shared" si="10"/>
        <v>2698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445</v>
      </c>
      <c r="E82" s="258">
        <f t="shared" si="10"/>
        <v>445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3</v>
      </c>
      <c r="E85" s="260">
        <f t="shared" si="10"/>
        <v>3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2698</v>
      </c>
      <c r="E88" s="263">
        <f t="shared" si="10"/>
        <v>2698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445</v>
      </c>
      <c r="E89" s="263">
        <f t="shared" si="10"/>
        <v>445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19425260</v>
      </c>
      <c r="D92" s="258">
        <v>15645451</v>
      </c>
      <c r="E92" s="258">
        <f t="shared" ref="E92:E102" si="12">D92-C92</f>
        <v>-3779809</v>
      </c>
      <c r="F92" s="259">
        <f t="shared" ref="F92:F102" si="13">IF(C92=0,0,E92/C92)</f>
        <v>-0.19458215745889632</v>
      </c>
    </row>
    <row r="93" spans="1:6" ht="20.25" customHeight="1" x14ac:dyDescent="0.3">
      <c r="A93" s="256">
        <v>2</v>
      </c>
      <c r="B93" s="257" t="s">
        <v>442</v>
      </c>
      <c r="C93" s="258">
        <v>5269035</v>
      </c>
      <c r="D93" s="258">
        <v>3938791</v>
      </c>
      <c r="E93" s="258">
        <f t="shared" si="12"/>
        <v>-1330244</v>
      </c>
      <c r="F93" s="259">
        <f t="shared" si="13"/>
        <v>-0.25246444557684661</v>
      </c>
    </row>
    <row r="94" spans="1:6" ht="20.25" customHeight="1" x14ac:dyDescent="0.3">
      <c r="A94" s="256">
        <v>3</v>
      </c>
      <c r="B94" s="257" t="s">
        <v>443</v>
      </c>
      <c r="C94" s="258">
        <v>10101925</v>
      </c>
      <c r="D94" s="258">
        <v>7936122</v>
      </c>
      <c r="E94" s="258">
        <f t="shared" si="12"/>
        <v>-2165803</v>
      </c>
      <c r="F94" s="259">
        <f t="shared" si="13"/>
        <v>-0.21439507816579514</v>
      </c>
    </row>
    <row r="95" spans="1:6" ht="20.25" customHeight="1" x14ac:dyDescent="0.3">
      <c r="A95" s="256">
        <v>4</v>
      </c>
      <c r="B95" s="257" t="s">
        <v>444</v>
      </c>
      <c r="C95" s="258">
        <v>2067819</v>
      </c>
      <c r="D95" s="258">
        <v>1696042</v>
      </c>
      <c r="E95" s="258">
        <f t="shared" si="12"/>
        <v>-371777</v>
      </c>
      <c r="F95" s="259">
        <f t="shared" si="13"/>
        <v>-0.17979184831941286</v>
      </c>
    </row>
    <row r="96" spans="1:6" ht="20.25" customHeight="1" x14ac:dyDescent="0.3">
      <c r="A96" s="256">
        <v>5</v>
      </c>
      <c r="B96" s="257" t="s">
        <v>381</v>
      </c>
      <c r="C96" s="260">
        <v>389</v>
      </c>
      <c r="D96" s="260">
        <v>335</v>
      </c>
      <c r="E96" s="260">
        <f t="shared" si="12"/>
        <v>-54</v>
      </c>
      <c r="F96" s="259">
        <f t="shared" si="13"/>
        <v>-0.13881748071979436</v>
      </c>
    </row>
    <row r="97" spans="1:6" ht="20.25" customHeight="1" x14ac:dyDescent="0.3">
      <c r="A97" s="256">
        <v>6</v>
      </c>
      <c r="B97" s="257" t="s">
        <v>380</v>
      </c>
      <c r="C97" s="260">
        <v>2421</v>
      </c>
      <c r="D97" s="260">
        <v>1968</v>
      </c>
      <c r="E97" s="260">
        <f t="shared" si="12"/>
        <v>-453</v>
      </c>
      <c r="F97" s="259">
        <f t="shared" si="13"/>
        <v>-0.18711276332094176</v>
      </c>
    </row>
    <row r="98" spans="1:6" ht="20.25" customHeight="1" x14ac:dyDescent="0.3">
      <c r="A98" s="256">
        <v>7</v>
      </c>
      <c r="B98" s="257" t="s">
        <v>445</v>
      </c>
      <c r="C98" s="260">
        <v>4482</v>
      </c>
      <c r="D98" s="260">
        <v>3368</v>
      </c>
      <c r="E98" s="260">
        <f t="shared" si="12"/>
        <v>-1114</v>
      </c>
      <c r="F98" s="259">
        <f t="shared" si="13"/>
        <v>-0.24854975457385095</v>
      </c>
    </row>
    <row r="99" spans="1:6" ht="20.25" customHeight="1" x14ac:dyDescent="0.3">
      <c r="A99" s="256">
        <v>8</v>
      </c>
      <c r="B99" s="257" t="s">
        <v>446</v>
      </c>
      <c r="C99" s="260">
        <v>483</v>
      </c>
      <c r="D99" s="260">
        <v>445</v>
      </c>
      <c r="E99" s="260">
        <f t="shared" si="12"/>
        <v>-38</v>
      </c>
      <c r="F99" s="259">
        <f t="shared" si="13"/>
        <v>-7.8674948240165632E-2</v>
      </c>
    </row>
    <row r="100" spans="1:6" ht="20.25" customHeight="1" x14ac:dyDescent="0.3">
      <c r="A100" s="256">
        <v>9</v>
      </c>
      <c r="B100" s="257" t="s">
        <v>447</v>
      </c>
      <c r="C100" s="260">
        <v>336</v>
      </c>
      <c r="D100" s="260">
        <v>301</v>
      </c>
      <c r="E100" s="260">
        <f t="shared" si="12"/>
        <v>-35</v>
      </c>
      <c r="F100" s="259">
        <f t="shared" si="13"/>
        <v>-0.10416666666666667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29527185</v>
      </c>
      <c r="D101" s="263">
        <f>+D92+D94</f>
        <v>23581573</v>
      </c>
      <c r="E101" s="263">
        <f t="shared" si="12"/>
        <v>-5945612</v>
      </c>
      <c r="F101" s="264">
        <f t="shared" si="13"/>
        <v>-0.20136061056954802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7336854</v>
      </c>
      <c r="D102" s="263">
        <f>+D93+D95</f>
        <v>5634833</v>
      </c>
      <c r="E102" s="263">
        <f t="shared" si="12"/>
        <v>-1702021</v>
      </c>
      <c r="F102" s="264">
        <f t="shared" si="13"/>
        <v>-0.23198240008592239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335454</v>
      </c>
      <c r="D105" s="258">
        <v>1809636</v>
      </c>
      <c r="E105" s="258">
        <f t="shared" ref="E105:E115" si="14">D105-C105</f>
        <v>1474182</v>
      </c>
      <c r="F105" s="259">
        <f t="shared" ref="F105:F115" si="15">IF(C105=0,0,E105/C105)</f>
        <v>4.3945876334758269</v>
      </c>
    </row>
    <row r="106" spans="1:6" ht="20.25" customHeight="1" x14ac:dyDescent="0.3">
      <c r="A106" s="256">
        <v>2</v>
      </c>
      <c r="B106" s="257" t="s">
        <v>442</v>
      </c>
      <c r="C106" s="258">
        <v>101361</v>
      </c>
      <c r="D106" s="258">
        <v>437554</v>
      </c>
      <c r="E106" s="258">
        <f t="shared" si="14"/>
        <v>336193</v>
      </c>
      <c r="F106" s="259">
        <f t="shared" si="15"/>
        <v>3.3167885084006667</v>
      </c>
    </row>
    <row r="107" spans="1:6" ht="20.25" customHeight="1" x14ac:dyDescent="0.3">
      <c r="A107" s="256">
        <v>3</v>
      </c>
      <c r="B107" s="257" t="s">
        <v>443</v>
      </c>
      <c r="C107" s="258">
        <v>644487</v>
      </c>
      <c r="D107" s="258">
        <v>996356</v>
      </c>
      <c r="E107" s="258">
        <f t="shared" si="14"/>
        <v>351869</v>
      </c>
      <c r="F107" s="259">
        <f t="shared" si="15"/>
        <v>0.54596756800369906</v>
      </c>
    </row>
    <row r="108" spans="1:6" ht="20.25" customHeight="1" x14ac:dyDescent="0.3">
      <c r="A108" s="256">
        <v>4</v>
      </c>
      <c r="B108" s="257" t="s">
        <v>444</v>
      </c>
      <c r="C108" s="258">
        <v>132721</v>
      </c>
      <c r="D108" s="258">
        <v>209086</v>
      </c>
      <c r="E108" s="258">
        <f t="shared" si="14"/>
        <v>76365</v>
      </c>
      <c r="F108" s="259">
        <f t="shared" si="15"/>
        <v>0.5753799323392681</v>
      </c>
    </row>
    <row r="109" spans="1:6" ht="20.25" customHeight="1" x14ac:dyDescent="0.3">
      <c r="A109" s="256">
        <v>5</v>
      </c>
      <c r="B109" s="257" t="s">
        <v>381</v>
      </c>
      <c r="C109" s="260">
        <v>16</v>
      </c>
      <c r="D109" s="260">
        <v>51</v>
      </c>
      <c r="E109" s="260">
        <f t="shared" si="14"/>
        <v>35</v>
      </c>
      <c r="F109" s="259">
        <f t="shared" si="15"/>
        <v>2.1875</v>
      </c>
    </row>
    <row r="110" spans="1:6" ht="20.25" customHeight="1" x14ac:dyDescent="0.3">
      <c r="A110" s="256">
        <v>6</v>
      </c>
      <c r="B110" s="257" t="s">
        <v>380</v>
      </c>
      <c r="C110" s="260">
        <v>37</v>
      </c>
      <c r="D110" s="260">
        <v>242</v>
      </c>
      <c r="E110" s="260">
        <f t="shared" si="14"/>
        <v>205</v>
      </c>
      <c r="F110" s="259">
        <f t="shared" si="15"/>
        <v>5.5405405405405403</v>
      </c>
    </row>
    <row r="111" spans="1:6" ht="20.25" customHeight="1" x14ac:dyDescent="0.3">
      <c r="A111" s="256">
        <v>7</v>
      </c>
      <c r="B111" s="257" t="s">
        <v>445</v>
      </c>
      <c r="C111" s="260">
        <v>186</v>
      </c>
      <c r="D111" s="260">
        <v>409</v>
      </c>
      <c r="E111" s="260">
        <f t="shared" si="14"/>
        <v>223</v>
      </c>
      <c r="F111" s="259">
        <f t="shared" si="15"/>
        <v>1.1989247311827957</v>
      </c>
    </row>
    <row r="112" spans="1:6" ht="20.25" customHeight="1" x14ac:dyDescent="0.3">
      <c r="A112" s="256">
        <v>8</v>
      </c>
      <c r="B112" s="257" t="s">
        <v>446</v>
      </c>
      <c r="C112" s="260">
        <v>71</v>
      </c>
      <c r="D112" s="260">
        <v>91</v>
      </c>
      <c r="E112" s="260">
        <f t="shared" si="14"/>
        <v>20</v>
      </c>
      <c r="F112" s="259">
        <f t="shared" si="15"/>
        <v>0.28169014084507044</v>
      </c>
    </row>
    <row r="113" spans="1:6" ht="20.25" customHeight="1" x14ac:dyDescent="0.3">
      <c r="A113" s="256">
        <v>9</v>
      </c>
      <c r="B113" s="257" t="s">
        <v>447</v>
      </c>
      <c r="C113" s="260">
        <v>15</v>
      </c>
      <c r="D113" s="260">
        <v>49</v>
      </c>
      <c r="E113" s="260">
        <f t="shared" si="14"/>
        <v>34</v>
      </c>
      <c r="F113" s="259">
        <f t="shared" si="15"/>
        <v>2.2666666666666666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979941</v>
      </c>
      <c r="D114" s="263">
        <f>+D105+D107</f>
        <v>2805992</v>
      </c>
      <c r="E114" s="263">
        <f t="shared" si="14"/>
        <v>1826051</v>
      </c>
      <c r="F114" s="264">
        <f t="shared" si="15"/>
        <v>1.863429533002497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234082</v>
      </c>
      <c r="D115" s="263">
        <f>+D106+D108</f>
        <v>646640</v>
      </c>
      <c r="E115" s="263">
        <f t="shared" si="14"/>
        <v>412558</v>
      </c>
      <c r="F115" s="264">
        <f t="shared" si="15"/>
        <v>1.7624507651164976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2916238</v>
      </c>
      <c r="D118" s="258">
        <v>6610327</v>
      </c>
      <c r="E118" s="258">
        <f t="shared" ref="E118:E128" si="16">D118-C118</f>
        <v>3694089</v>
      </c>
      <c r="F118" s="259">
        <f t="shared" ref="F118:F128" si="17">IF(C118=0,0,E118/C118)</f>
        <v>1.2667309732607559</v>
      </c>
    </row>
    <row r="119" spans="1:6" ht="20.25" customHeight="1" x14ac:dyDescent="0.3">
      <c r="A119" s="256">
        <v>2</v>
      </c>
      <c r="B119" s="257" t="s">
        <v>442</v>
      </c>
      <c r="C119" s="258">
        <v>722974</v>
      </c>
      <c r="D119" s="258">
        <v>1640555</v>
      </c>
      <c r="E119" s="258">
        <f t="shared" si="16"/>
        <v>917581</v>
      </c>
      <c r="F119" s="259">
        <f t="shared" si="17"/>
        <v>1.2691756550028079</v>
      </c>
    </row>
    <row r="120" spans="1:6" ht="20.25" customHeight="1" x14ac:dyDescent="0.3">
      <c r="A120" s="256">
        <v>3</v>
      </c>
      <c r="B120" s="257" t="s">
        <v>443</v>
      </c>
      <c r="C120" s="258">
        <v>1896209</v>
      </c>
      <c r="D120" s="258">
        <v>4246664</v>
      </c>
      <c r="E120" s="258">
        <f t="shared" si="16"/>
        <v>2350455</v>
      </c>
      <c r="F120" s="259">
        <f t="shared" si="17"/>
        <v>1.2395548170059314</v>
      </c>
    </row>
    <row r="121" spans="1:6" ht="20.25" customHeight="1" x14ac:dyDescent="0.3">
      <c r="A121" s="256">
        <v>4</v>
      </c>
      <c r="B121" s="257" t="s">
        <v>444</v>
      </c>
      <c r="C121" s="258">
        <v>401569</v>
      </c>
      <c r="D121" s="258">
        <v>907701</v>
      </c>
      <c r="E121" s="258">
        <f t="shared" si="16"/>
        <v>506132</v>
      </c>
      <c r="F121" s="259">
        <f t="shared" si="17"/>
        <v>1.2603861353839565</v>
      </c>
    </row>
    <row r="122" spans="1:6" ht="20.25" customHeight="1" x14ac:dyDescent="0.3">
      <c r="A122" s="256">
        <v>5</v>
      </c>
      <c r="B122" s="257" t="s">
        <v>381</v>
      </c>
      <c r="C122" s="260">
        <v>63</v>
      </c>
      <c r="D122" s="260">
        <v>130</v>
      </c>
      <c r="E122" s="260">
        <f t="shared" si="16"/>
        <v>67</v>
      </c>
      <c r="F122" s="259">
        <f t="shared" si="17"/>
        <v>1.0634920634920635</v>
      </c>
    </row>
    <row r="123" spans="1:6" ht="20.25" customHeight="1" x14ac:dyDescent="0.3">
      <c r="A123" s="256">
        <v>6</v>
      </c>
      <c r="B123" s="257" t="s">
        <v>380</v>
      </c>
      <c r="C123" s="260">
        <v>346</v>
      </c>
      <c r="D123" s="260">
        <v>758</v>
      </c>
      <c r="E123" s="260">
        <f t="shared" si="16"/>
        <v>412</v>
      </c>
      <c r="F123" s="259">
        <f t="shared" si="17"/>
        <v>1.1907514450867052</v>
      </c>
    </row>
    <row r="124" spans="1:6" ht="20.25" customHeight="1" x14ac:dyDescent="0.3">
      <c r="A124" s="256">
        <v>7</v>
      </c>
      <c r="B124" s="257" t="s">
        <v>445</v>
      </c>
      <c r="C124" s="260">
        <v>793</v>
      </c>
      <c r="D124" s="260">
        <v>1782</v>
      </c>
      <c r="E124" s="260">
        <f t="shared" si="16"/>
        <v>989</v>
      </c>
      <c r="F124" s="259">
        <f t="shared" si="17"/>
        <v>1.2471626733921817</v>
      </c>
    </row>
    <row r="125" spans="1:6" ht="20.25" customHeight="1" x14ac:dyDescent="0.3">
      <c r="A125" s="256">
        <v>8</v>
      </c>
      <c r="B125" s="257" t="s">
        <v>446</v>
      </c>
      <c r="C125" s="260">
        <v>66</v>
      </c>
      <c r="D125" s="260">
        <v>180</v>
      </c>
      <c r="E125" s="260">
        <f t="shared" si="16"/>
        <v>114</v>
      </c>
      <c r="F125" s="259">
        <f t="shared" si="17"/>
        <v>1.7272727272727273</v>
      </c>
    </row>
    <row r="126" spans="1:6" ht="20.25" customHeight="1" x14ac:dyDescent="0.3">
      <c r="A126" s="256">
        <v>9</v>
      </c>
      <c r="B126" s="257" t="s">
        <v>447</v>
      </c>
      <c r="C126" s="260">
        <v>52</v>
      </c>
      <c r="D126" s="260">
        <v>119</v>
      </c>
      <c r="E126" s="260">
        <f t="shared" si="16"/>
        <v>67</v>
      </c>
      <c r="F126" s="259">
        <f t="shared" si="17"/>
        <v>1.2884615384615385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4812447</v>
      </c>
      <c r="D127" s="263">
        <f>+D118+D120</f>
        <v>10856991</v>
      </c>
      <c r="E127" s="263">
        <f t="shared" si="16"/>
        <v>6044544</v>
      </c>
      <c r="F127" s="264">
        <f t="shared" si="17"/>
        <v>1.2560229754218593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1124543</v>
      </c>
      <c r="D128" s="263">
        <f>+D119+D121</f>
        <v>2548256</v>
      </c>
      <c r="E128" s="263">
        <f t="shared" si="16"/>
        <v>1423713</v>
      </c>
      <c r="F128" s="264">
        <f t="shared" si="17"/>
        <v>1.2660369590135727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56122</v>
      </c>
      <c r="D131" s="258">
        <v>624637</v>
      </c>
      <c r="E131" s="258">
        <f t="shared" ref="E131:E141" si="18">D131-C131</f>
        <v>568515</v>
      </c>
      <c r="F131" s="259">
        <f t="shared" ref="F131:F141" si="19">IF(C131=0,0,E131/C131)</f>
        <v>10.129984676241046</v>
      </c>
    </row>
    <row r="132" spans="1:6" ht="20.25" customHeight="1" x14ac:dyDescent="0.3">
      <c r="A132" s="256">
        <v>2</v>
      </c>
      <c r="B132" s="257" t="s">
        <v>442</v>
      </c>
      <c r="C132" s="258">
        <v>6931</v>
      </c>
      <c r="D132" s="258">
        <v>141944</v>
      </c>
      <c r="E132" s="258">
        <f t="shared" si="18"/>
        <v>135013</v>
      </c>
      <c r="F132" s="259">
        <f t="shared" si="19"/>
        <v>19.479584475544655</v>
      </c>
    </row>
    <row r="133" spans="1:6" ht="20.25" customHeight="1" x14ac:dyDescent="0.3">
      <c r="A133" s="256">
        <v>3</v>
      </c>
      <c r="B133" s="257" t="s">
        <v>443</v>
      </c>
      <c r="C133" s="258">
        <v>134892</v>
      </c>
      <c r="D133" s="258">
        <v>79232</v>
      </c>
      <c r="E133" s="258">
        <f t="shared" si="18"/>
        <v>-55660</v>
      </c>
      <c r="F133" s="259">
        <f t="shared" si="19"/>
        <v>-0.41262639741422769</v>
      </c>
    </row>
    <row r="134" spans="1:6" ht="20.25" customHeight="1" x14ac:dyDescent="0.3">
      <c r="A134" s="256">
        <v>4</v>
      </c>
      <c r="B134" s="257" t="s">
        <v>444</v>
      </c>
      <c r="C134" s="258">
        <v>24227</v>
      </c>
      <c r="D134" s="258">
        <v>17946</v>
      </c>
      <c r="E134" s="258">
        <f t="shared" si="18"/>
        <v>-6281</v>
      </c>
      <c r="F134" s="259">
        <f t="shared" si="19"/>
        <v>-0.25925620175836878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12</v>
      </c>
      <c r="E135" s="260">
        <f t="shared" si="18"/>
        <v>11</v>
      </c>
      <c r="F135" s="259">
        <f t="shared" si="19"/>
        <v>11</v>
      </c>
    </row>
    <row r="136" spans="1:6" ht="20.25" customHeight="1" x14ac:dyDescent="0.3">
      <c r="A136" s="256">
        <v>6</v>
      </c>
      <c r="B136" s="257" t="s">
        <v>380</v>
      </c>
      <c r="C136" s="260">
        <v>9</v>
      </c>
      <c r="D136" s="260">
        <v>82</v>
      </c>
      <c r="E136" s="260">
        <f t="shared" si="18"/>
        <v>73</v>
      </c>
      <c r="F136" s="259">
        <f t="shared" si="19"/>
        <v>8.1111111111111107</v>
      </c>
    </row>
    <row r="137" spans="1:6" ht="20.25" customHeight="1" x14ac:dyDescent="0.3">
      <c r="A137" s="256">
        <v>7</v>
      </c>
      <c r="B137" s="257" t="s">
        <v>445</v>
      </c>
      <c r="C137" s="260">
        <v>33</v>
      </c>
      <c r="D137" s="260">
        <v>31</v>
      </c>
      <c r="E137" s="260">
        <f t="shared" si="18"/>
        <v>-2</v>
      </c>
      <c r="F137" s="259">
        <f t="shared" si="19"/>
        <v>-6.0606060606060608E-2</v>
      </c>
    </row>
    <row r="138" spans="1:6" ht="20.25" customHeight="1" x14ac:dyDescent="0.3">
      <c r="A138" s="256">
        <v>8</v>
      </c>
      <c r="B138" s="257" t="s">
        <v>446</v>
      </c>
      <c r="C138" s="260">
        <v>15</v>
      </c>
      <c r="D138" s="260">
        <v>13</v>
      </c>
      <c r="E138" s="260">
        <f t="shared" si="18"/>
        <v>-2</v>
      </c>
      <c r="F138" s="259">
        <f t="shared" si="19"/>
        <v>-0.13333333333333333</v>
      </c>
    </row>
    <row r="139" spans="1:6" ht="20.25" customHeight="1" x14ac:dyDescent="0.3">
      <c r="A139" s="256">
        <v>9</v>
      </c>
      <c r="B139" s="257" t="s">
        <v>447</v>
      </c>
      <c r="C139" s="260">
        <v>11</v>
      </c>
      <c r="D139" s="260">
        <v>11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191014</v>
      </c>
      <c r="D140" s="263">
        <f>+D131+D133</f>
        <v>703869</v>
      </c>
      <c r="E140" s="263">
        <f t="shared" si="18"/>
        <v>512855</v>
      </c>
      <c r="F140" s="264">
        <f t="shared" si="19"/>
        <v>2.6849079125090309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31158</v>
      </c>
      <c r="D141" s="263">
        <f>+D132+D134</f>
        <v>159890</v>
      </c>
      <c r="E141" s="263">
        <f t="shared" si="18"/>
        <v>128732</v>
      </c>
      <c r="F141" s="264">
        <f t="shared" si="19"/>
        <v>4.1315873932858338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610479</v>
      </c>
      <c r="D183" s="258">
        <v>236065</v>
      </c>
      <c r="E183" s="258">
        <f t="shared" ref="E183:E193" si="26">D183-C183</f>
        <v>-374414</v>
      </c>
      <c r="F183" s="259">
        <f t="shared" ref="F183:F193" si="27">IF(C183=0,0,E183/C183)</f>
        <v>-0.6133118420125836</v>
      </c>
    </row>
    <row r="184" spans="1:6" ht="20.25" customHeight="1" x14ac:dyDescent="0.3">
      <c r="A184" s="256">
        <v>2</v>
      </c>
      <c r="B184" s="257" t="s">
        <v>442</v>
      </c>
      <c r="C184" s="258">
        <v>131934</v>
      </c>
      <c r="D184" s="258">
        <v>46137</v>
      </c>
      <c r="E184" s="258">
        <f t="shared" si="26"/>
        <v>-85797</v>
      </c>
      <c r="F184" s="259">
        <f t="shared" si="27"/>
        <v>-0.65030242393924231</v>
      </c>
    </row>
    <row r="185" spans="1:6" ht="20.25" customHeight="1" x14ac:dyDescent="0.3">
      <c r="A185" s="256">
        <v>3</v>
      </c>
      <c r="B185" s="257" t="s">
        <v>443</v>
      </c>
      <c r="C185" s="258">
        <v>93597</v>
      </c>
      <c r="D185" s="258">
        <v>0</v>
      </c>
      <c r="E185" s="258">
        <f t="shared" si="26"/>
        <v>-93597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36485</v>
      </c>
      <c r="D186" s="258">
        <v>0</v>
      </c>
      <c r="E186" s="258">
        <f t="shared" si="26"/>
        <v>-36485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9</v>
      </c>
      <c r="D187" s="260">
        <v>4</v>
      </c>
      <c r="E187" s="260">
        <f t="shared" si="26"/>
        <v>-5</v>
      </c>
      <c r="F187" s="259">
        <f t="shared" si="27"/>
        <v>-0.55555555555555558</v>
      </c>
    </row>
    <row r="188" spans="1:6" ht="20.25" customHeight="1" x14ac:dyDescent="0.3">
      <c r="A188" s="256">
        <v>6</v>
      </c>
      <c r="B188" s="257" t="s">
        <v>380</v>
      </c>
      <c r="C188" s="260">
        <v>79</v>
      </c>
      <c r="D188" s="260">
        <v>29</v>
      </c>
      <c r="E188" s="260">
        <f t="shared" si="26"/>
        <v>-50</v>
      </c>
      <c r="F188" s="259">
        <f t="shared" si="27"/>
        <v>-0.63291139240506333</v>
      </c>
    </row>
    <row r="189" spans="1:6" ht="20.25" customHeight="1" x14ac:dyDescent="0.3">
      <c r="A189" s="256">
        <v>7</v>
      </c>
      <c r="B189" s="257" t="s">
        <v>445</v>
      </c>
      <c r="C189" s="260">
        <v>15</v>
      </c>
      <c r="D189" s="260">
        <v>0</v>
      </c>
      <c r="E189" s="260">
        <f t="shared" si="26"/>
        <v>-15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4</v>
      </c>
      <c r="D190" s="260">
        <v>0</v>
      </c>
      <c r="E190" s="260">
        <f t="shared" si="26"/>
        <v>-4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9</v>
      </c>
      <c r="D191" s="260">
        <v>4</v>
      </c>
      <c r="E191" s="260">
        <f t="shared" si="26"/>
        <v>-5</v>
      </c>
      <c r="F191" s="259">
        <f t="shared" si="27"/>
        <v>-0.55555555555555558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704076</v>
      </c>
      <c r="D192" s="263">
        <f>+D183+D185</f>
        <v>236065</v>
      </c>
      <c r="E192" s="263">
        <f t="shared" si="26"/>
        <v>-468011</v>
      </c>
      <c r="F192" s="264">
        <f t="shared" si="27"/>
        <v>-0.66471659309506359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168419</v>
      </c>
      <c r="D193" s="263">
        <f>+D184+D186</f>
        <v>46137</v>
      </c>
      <c r="E193" s="263">
        <f t="shared" si="26"/>
        <v>-122282</v>
      </c>
      <c r="F193" s="264">
        <f t="shared" si="27"/>
        <v>-0.72605822383460294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30346099</v>
      </c>
      <c r="D198" s="263">
        <f t="shared" si="28"/>
        <v>33556022</v>
      </c>
      <c r="E198" s="263">
        <f t="shared" ref="E198:E208" si="29">D198-C198</f>
        <v>3209923</v>
      </c>
      <c r="F198" s="273">
        <f t="shared" ref="F198:F208" si="30">IF(C198=0,0,E198/C198)</f>
        <v>0.10577712146790268</v>
      </c>
    </row>
    <row r="199" spans="1:9" ht="20.25" customHeight="1" x14ac:dyDescent="0.3">
      <c r="A199" s="271"/>
      <c r="B199" s="272" t="s">
        <v>466</v>
      </c>
      <c r="C199" s="263">
        <f t="shared" si="28"/>
        <v>8009830</v>
      </c>
      <c r="D199" s="263">
        <f t="shared" si="28"/>
        <v>8299044</v>
      </c>
      <c r="E199" s="263">
        <f t="shared" si="29"/>
        <v>289214</v>
      </c>
      <c r="F199" s="273">
        <f t="shared" si="30"/>
        <v>3.6107383053073538E-2</v>
      </c>
    </row>
    <row r="200" spans="1:9" ht="20.25" customHeight="1" x14ac:dyDescent="0.3">
      <c r="A200" s="271"/>
      <c r="B200" s="272" t="s">
        <v>467</v>
      </c>
      <c r="C200" s="263">
        <f t="shared" si="28"/>
        <v>17664073</v>
      </c>
      <c r="D200" s="263">
        <f t="shared" si="28"/>
        <v>17825907</v>
      </c>
      <c r="E200" s="263">
        <f t="shared" si="29"/>
        <v>161834</v>
      </c>
      <c r="F200" s="273">
        <f t="shared" si="30"/>
        <v>9.1617601444468674E-3</v>
      </c>
    </row>
    <row r="201" spans="1:9" ht="20.25" customHeight="1" x14ac:dyDescent="0.3">
      <c r="A201" s="271"/>
      <c r="B201" s="272" t="s">
        <v>468</v>
      </c>
      <c r="C201" s="263">
        <f t="shared" si="28"/>
        <v>3627517</v>
      </c>
      <c r="D201" s="263">
        <f t="shared" si="28"/>
        <v>3788446</v>
      </c>
      <c r="E201" s="263">
        <f t="shared" si="29"/>
        <v>160929</v>
      </c>
      <c r="F201" s="273">
        <f t="shared" si="30"/>
        <v>4.4363403396868985E-2</v>
      </c>
    </row>
    <row r="202" spans="1:9" ht="20.25" customHeight="1" x14ac:dyDescent="0.3">
      <c r="A202" s="271"/>
      <c r="B202" s="272" t="s">
        <v>138</v>
      </c>
      <c r="C202" s="274">
        <f t="shared" si="28"/>
        <v>643</v>
      </c>
      <c r="D202" s="274">
        <f t="shared" si="28"/>
        <v>704</v>
      </c>
      <c r="E202" s="274">
        <f t="shared" si="29"/>
        <v>61</v>
      </c>
      <c r="F202" s="273">
        <f t="shared" si="30"/>
        <v>9.4867807153965783E-2</v>
      </c>
    </row>
    <row r="203" spans="1:9" ht="20.25" customHeight="1" x14ac:dyDescent="0.3">
      <c r="A203" s="271"/>
      <c r="B203" s="272" t="s">
        <v>140</v>
      </c>
      <c r="C203" s="274">
        <f t="shared" si="28"/>
        <v>3792</v>
      </c>
      <c r="D203" s="274">
        <f t="shared" si="28"/>
        <v>4174</v>
      </c>
      <c r="E203" s="274">
        <f t="shared" si="29"/>
        <v>382</v>
      </c>
      <c r="F203" s="273">
        <f t="shared" si="30"/>
        <v>0.10073839662447258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7588</v>
      </c>
      <c r="D204" s="274">
        <f t="shared" si="28"/>
        <v>7853</v>
      </c>
      <c r="E204" s="274">
        <f t="shared" si="29"/>
        <v>265</v>
      </c>
      <c r="F204" s="273">
        <f t="shared" si="30"/>
        <v>3.4923563521349496E-2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904</v>
      </c>
      <c r="D205" s="274">
        <f t="shared" si="28"/>
        <v>953</v>
      </c>
      <c r="E205" s="274">
        <f t="shared" si="29"/>
        <v>49</v>
      </c>
      <c r="F205" s="273">
        <f t="shared" si="30"/>
        <v>5.4203539823008851E-2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562</v>
      </c>
      <c r="D206" s="274">
        <f t="shared" si="28"/>
        <v>631</v>
      </c>
      <c r="E206" s="274">
        <f t="shared" si="29"/>
        <v>69</v>
      </c>
      <c r="F206" s="273">
        <f t="shared" si="30"/>
        <v>0.12277580071174377</v>
      </c>
    </row>
    <row r="207" spans="1:9" ht="20.25" customHeight="1" x14ac:dyDescent="0.3">
      <c r="A207" s="271"/>
      <c r="B207" s="262" t="s">
        <v>471</v>
      </c>
      <c r="C207" s="263">
        <f>+C198+C200</f>
        <v>48010172</v>
      </c>
      <c r="D207" s="263">
        <f>+D198+D200</f>
        <v>51381929</v>
      </c>
      <c r="E207" s="263">
        <f t="shared" si="29"/>
        <v>3371757</v>
      </c>
      <c r="F207" s="273">
        <f t="shared" si="30"/>
        <v>7.0230054580933385E-2</v>
      </c>
    </row>
    <row r="208" spans="1:9" ht="20.25" customHeight="1" x14ac:dyDescent="0.3">
      <c r="A208" s="271"/>
      <c r="B208" s="262" t="s">
        <v>472</v>
      </c>
      <c r="C208" s="263">
        <f>+C199+C201</f>
        <v>11637347</v>
      </c>
      <c r="D208" s="263">
        <f>+D199+D201</f>
        <v>12087490</v>
      </c>
      <c r="E208" s="263">
        <f t="shared" si="29"/>
        <v>450143</v>
      </c>
      <c r="F208" s="273">
        <f t="shared" si="30"/>
        <v>3.868089522465902E-2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FILING&amp;RNORWALK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FILING&amp;RNORWALK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82407195</v>
      </c>
      <c r="D13" s="22">
        <v>144314483</v>
      </c>
      <c r="E13" s="22">
        <f t="shared" ref="E13:E22" si="0">D13-C13</f>
        <v>61907288</v>
      </c>
      <c r="F13" s="306">
        <f t="shared" ref="F13:F22" si="1">IF(C13=0,0,E13/C13)</f>
        <v>0.75123644240044818</v>
      </c>
    </row>
    <row r="14" spans="1:8" ht="24" customHeight="1" x14ac:dyDescent="0.2">
      <c r="A14" s="304">
        <v>2</v>
      </c>
      <c r="B14" s="305" t="s">
        <v>17</v>
      </c>
      <c r="C14" s="22">
        <v>33656759</v>
      </c>
      <c r="D14" s="22">
        <v>14004464</v>
      </c>
      <c r="E14" s="22">
        <f t="shared" si="0"/>
        <v>-19652295</v>
      </c>
      <c r="F14" s="306">
        <f t="shared" si="1"/>
        <v>-0.58390336989963887</v>
      </c>
    </row>
    <row r="15" spans="1:8" ht="35.1" customHeight="1" x14ac:dyDescent="0.2">
      <c r="A15" s="304">
        <v>3</v>
      </c>
      <c r="B15" s="305" t="s">
        <v>18</v>
      </c>
      <c r="C15" s="22">
        <v>28873592</v>
      </c>
      <c r="D15" s="22">
        <v>128633349</v>
      </c>
      <c r="E15" s="22">
        <f t="shared" si="0"/>
        <v>99759757</v>
      </c>
      <c r="F15" s="306">
        <f t="shared" si="1"/>
        <v>3.4550518342158467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9863637</v>
      </c>
      <c r="E16" s="22">
        <f t="shared" si="0"/>
        <v>9863637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2717050</v>
      </c>
      <c r="D19" s="22">
        <v>14459240</v>
      </c>
      <c r="E19" s="22">
        <f t="shared" si="0"/>
        <v>11742190</v>
      </c>
      <c r="F19" s="306">
        <f t="shared" si="1"/>
        <v>4.3216687215914318</v>
      </c>
    </row>
    <row r="20" spans="1:11" ht="24" customHeight="1" x14ac:dyDescent="0.2">
      <c r="A20" s="304">
        <v>8</v>
      </c>
      <c r="B20" s="305" t="s">
        <v>23</v>
      </c>
      <c r="C20" s="22">
        <v>1589839</v>
      </c>
      <c r="D20" s="22">
        <v>30762442</v>
      </c>
      <c r="E20" s="22">
        <f t="shared" si="0"/>
        <v>29172603</v>
      </c>
      <c r="F20" s="306">
        <f t="shared" si="1"/>
        <v>18.349407078326799</v>
      </c>
    </row>
    <row r="21" spans="1:11" ht="24" customHeight="1" x14ac:dyDescent="0.2">
      <c r="A21" s="304">
        <v>9</v>
      </c>
      <c r="B21" s="305" t="s">
        <v>24</v>
      </c>
      <c r="C21" s="22">
        <v>6865383</v>
      </c>
      <c r="D21" s="22">
        <v>16375353</v>
      </c>
      <c r="E21" s="22">
        <f t="shared" si="0"/>
        <v>9509970</v>
      </c>
      <c r="F21" s="306">
        <f t="shared" si="1"/>
        <v>1.3852060402165474</v>
      </c>
    </row>
    <row r="22" spans="1:11" ht="24" customHeight="1" x14ac:dyDescent="0.25">
      <c r="A22" s="307"/>
      <c r="B22" s="308" t="s">
        <v>25</v>
      </c>
      <c r="C22" s="309">
        <f>SUM(C13:C21)</f>
        <v>156109818</v>
      </c>
      <c r="D22" s="309">
        <f>SUM(D13:D21)</f>
        <v>358412968</v>
      </c>
      <c r="E22" s="309">
        <f t="shared" si="0"/>
        <v>202303150</v>
      </c>
      <c r="F22" s="310">
        <f t="shared" si="1"/>
        <v>1.2959027983749234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59708986</v>
      </c>
      <c r="D25" s="22">
        <v>15765862</v>
      </c>
      <c r="E25" s="22">
        <f>D25-C25</f>
        <v>-43943124</v>
      </c>
      <c r="F25" s="306">
        <f>IF(C25=0,0,E25/C25)</f>
        <v>-0.73595495324606586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327</v>
      </c>
      <c r="D28" s="22">
        <v>117033285</v>
      </c>
      <c r="E28" s="22">
        <f>D28-C28</f>
        <v>117032958</v>
      </c>
      <c r="F28" s="306">
        <f>IF(C28=0,0,E28/C28)</f>
        <v>357898.95412844035</v>
      </c>
    </row>
    <row r="29" spans="1:11" ht="35.1" customHeight="1" x14ac:dyDescent="0.25">
      <c r="A29" s="307"/>
      <c r="B29" s="308" t="s">
        <v>32</v>
      </c>
      <c r="C29" s="309">
        <f>SUM(C25:C28)</f>
        <v>59709313</v>
      </c>
      <c r="D29" s="309">
        <f>SUM(D25:D28)</f>
        <v>132799147</v>
      </c>
      <c r="E29" s="309">
        <f>D29-C29</f>
        <v>73089834</v>
      </c>
      <c r="F29" s="310">
        <f>IF(C29=0,0,E29/C29)</f>
        <v>1.2240943720119506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158419428</v>
      </c>
      <c r="D32" s="22">
        <v>433150793</v>
      </c>
      <c r="E32" s="22">
        <f>D32-C32</f>
        <v>274731365</v>
      </c>
      <c r="F32" s="306">
        <f>IF(C32=0,0,E32/C32)</f>
        <v>1.7342024805189928</v>
      </c>
    </row>
    <row r="33" spans="1:8" ht="24" customHeight="1" x14ac:dyDescent="0.2">
      <c r="A33" s="304">
        <v>7</v>
      </c>
      <c r="B33" s="305" t="s">
        <v>35</v>
      </c>
      <c r="C33" s="22">
        <v>59228366</v>
      </c>
      <c r="D33" s="22">
        <v>53835196</v>
      </c>
      <c r="E33" s="22">
        <f>D33-C33</f>
        <v>-5393170</v>
      </c>
      <c r="F33" s="306">
        <f>IF(C33=0,0,E33/C33)</f>
        <v>-9.1057214038286996E-2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440926532</v>
      </c>
      <c r="D36" s="22">
        <v>1318420986</v>
      </c>
      <c r="E36" s="22">
        <f>D36-C36</f>
        <v>877494454</v>
      </c>
      <c r="F36" s="306">
        <f>IF(C36=0,0,E36/C36)</f>
        <v>1.9901148838101672</v>
      </c>
    </row>
    <row r="37" spans="1:8" ht="24" customHeight="1" x14ac:dyDescent="0.2">
      <c r="A37" s="304">
        <v>2</v>
      </c>
      <c r="B37" s="305" t="s">
        <v>39</v>
      </c>
      <c r="C37" s="22">
        <v>312199270</v>
      </c>
      <c r="D37" s="22">
        <v>775229849</v>
      </c>
      <c r="E37" s="22">
        <f>D37-C37</f>
        <v>463030579</v>
      </c>
      <c r="F37" s="22">
        <f>IF(C37=0,0,E37/C37)</f>
        <v>1.4831251174930677</v>
      </c>
    </row>
    <row r="38" spans="1:8" ht="24" customHeight="1" x14ac:dyDescent="0.25">
      <c r="A38" s="307"/>
      <c r="B38" s="308" t="s">
        <v>40</v>
      </c>
      <c r="C38" s="309">
        <f>C36-C37</f>
        <v>128727262</v>
      </c>
      <c r="D38" s="309">
        <f>D36-D37</f>
        <v>543191137</v>
      </c>
      <c r="E38" s="309">
        <f>D38-C38</f>
        <v>414463875</v>
      </c>
      <c r="F38" s="310">
        <f>IF(C38=0,0,E38/C38)</f>
        <v>3.2197055119528604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34252962</v>
      </c>
      <c r="D40" s="22">
        <v>108748595</v>
      </c>
      <c r="E40" s="22">
        <f>D40-C40</f>
        <v>74495633</v>
      </c>
      <c r="F40" s="306">
        <f>IF(C40=0,0,E40/C40)</f>
        <v>2.1748668918034006</v>
      </c>
    </row>
    <row r="41" spans="1:8" ht="24" customHeight="1" x14ac:dyDescent="0.25">
      <c r="A41" s="307"/>
      <c r="B41" s="308" t="s">
        <v>42</v>
      </c>
      <c r="C41" s="309">
        <f>+C38+C40</f>
        <v>162980224</v>
      </c>
      <c r="D41" s="309">
        <f>+D38+D40</f>
        <v>651939732</v>
      </c>
      <c r="E41" s="309">
        <f>D41-C41</f>
        <v>488959508</v>
      </c>
      <c r="F41" s="310">
        <f>IF(C41=0,0,E41/C41)</f>
        <v>3.0001155723040362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596447149</v>
      </c>
      <c r="D43" s="309">
        <f>D22+D29+D31+D32+D33+D41</f>
        <v>1630137836</v>
      </c>
      <c r="E43" s="309">
        <f>D43-C43</f>
        <v>1033690687</v>
      </c>
      <c r="F43" s="310">
        <f>IF(C43=0,0,E43/C43)</f>
        <v>1.7330801039674346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31050734</v>
      </c>
      <c r="D49" s="22">
        <v>78566464</v>
      </c>
      <c r="E49" s="22">
        <f t="shared" ref="E49:E56" si="2">D49-C49</f>
        <v>47515730</v>
      </c>
      <c r="F49" s="306">
        <f t="shared" ref="F49:F56" si="3">IF(C49=0,0,E49/C49)</f>
        <v>1.5302610881919894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26011309</v>
      </c>
      <c r="D50" s="22">
        <v>69089102</v>
      </c>
      <c r="E50" s="22">
        <f t="shared" si="2"/>
        <v>43077793</v>
      </c>
      <c r="F50" s="306">
        <f t="shared" si="3"/>
        <v>1.6561178447420697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5008734</v>
      </c>
      <c r="D51" s="22">
        <v>53635921</v>
      </c>
      <c r="E51" s="22">
        <f t="shared" si="2"/>
        <v>48627187</v>
      </c>
      <c r="F51" s="306">
        <f t="shared" si="3"/>
        <v>9.708478629529937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3265000</v>
      </c>
      <c r="D53" s="22">
        <v>11964141</v>
      </c>
      <c r="E53" s="22">
        <f t="shared" si="2"/>
        <v>8699141</v>
      </c>
      <c r="F53" s="306">
        <f t="shared" si="3"/>
        <v>2.6643617151607963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1925534</v>
      </c>
      <c r="D54" s="22">
        <v>0</v>
      </c>
      <c r="E54" s="22">
        <f t="shared" si="2"/>
        <v>-1925534</v>
      </c>
      <c r="F54" s="306">
        <f t="shared" si="3"/>
        <v>-1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1101735</v>
      </c>
      <c r="D55" s="22">
        <v>0</v>
      </c>
      <c r="E55" s="22">
        <f t="shared" si="2"/>
        <v>-1101735</v>
      </c>
      <c r="F55" s="306">
        <f t="shared" si="3"/>
        <v>-1</v>
      </c>
    </row>
    <row r="56" spans="1:6" ht="24" customHeight="1" x14ac:dyDescent="0.25">
      <c r="A56" s="307"/>
      <c r="B56" s="308" t="s">
        <v>54</v>
      </c>
      <c r="C56" s="309">
        <f>SUM(C49:C55)</f>
        <v>68363046</v>
      </c>
      <c r="D56" s="309">
        <f>SUM(D49:D55)</f>
        <v>213255628</v>
      </c>
      <c r="E56" s="309">
        <f t="shared" si="2"/>
        <v>144892582</v>
      </c>
      <c r="F56" s="310">
        <f t="shared" si="3"/>
        <v>2.119457667231504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119435000</v>
      </c>
      <c r="D59" s="22">
        <v>0</v>
      </c>
      <c r="E59" s="22">
        <f>D59-C59</f>
        <v>-119435000</v>
      </c>
      <c r="F59" s="306">
        <f>IF(C59=0,0,E59/C59)</f>
        <v>-1</v>
      </c>
    </row>
    <row r="60" spans="1:6" ht="24" customHeight="1" x14ac:dyDescent="0.2">
      <c r="A60" s="304">
        <v>2</v>
      </c>
      <c r="B60" s="305" t="s">
        <v>57</v>
      </c>
      <c r="C60" s="22">
        <v>5595298</v>
      </c>
      <c r="D60" s="22">
        <v>363726412</v>
      </c>
      <c r="E60" s="22">
        <f>D60-C60</f>
        <v>358131114</v>
      </c>
      <c r="F60" s="306">
        <f>IF(C60=0,0,E60/C60)</f>
        <v>64.005726594008038</v>
      </c>
    </row>
    <row r="61" spans="1:6" ht="24" customHeight="1" x14ac:dyDescent="0.25">
      <c r="A61" s="307"/>
      <c r="B61" s="308" t="s">
        <v>58</v>
      </c>
      <c r="C61" s="309">
        <f>SUM(C59:C60)</f>
        <v>125030298</v>
      </c>
      <c r="D61" s="309">
        <f>SUM(D59:D60)</f>
        <v>363726412</v>
      </c>
      <c r="E61" s="309">
        <f>D61-C61</f>
        <v>238696114</v>
      </c>
      <c r="F61" s="310">
        <f>IF(C61=0,0,E61/C61)</f>
        <v>1.9091061752088281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13061730</v>
      </c>
      <c r="D63" s="22">
        <v>169569725</v>
      </c>
      <c r="E63" s="22">
        <f>D63-C63</f>
        <v>156507995</v>
      </c>
      <c r="F63" s="306">
        <f>IF(C63=0,0,E63/C63)</f>
        <v>11.982179619391918</v>
      </c>
    </row>
    <row r="64" spans="1:6" ht="24" customHeight="1" x14ac:dyDescent="0.2">
      <c r="A64" s="304">
        <v>4</v>
      </c>
      <c r="B64" s="305" t="s">
        <v>60</v>
      </c>
      <c r="C64" s="22">
        <v>97627328</v>
      </c>
      <c r="D64" s="22">
        <v>86031950</v>
      </c>
      <c r="E64" s="22">
        <f>D64-C64</f>
        <v>-11595378</v>
      </c>
      <c r="F64" s="306">
        <f>IF(C64=0,0,E64/C64)</f>
        <v>-0.11877184634204062</v>
      </c>
    </row>
    <row r="65" spans="1:6" ht="24" customHeight="1" x14ac:dyDescent="0.25">
      <c r="A65" s="307"/>
      <c r="B65" s="308" t="s">
        <v>61</v>
      </c>
      <c r="C65" s="309">
        <f>SUM(C61:C64)</f>
        <v>235719356</v>
      </c>
      <c r="D65" s="309">
        <f>SUM(D61:D64)</f>
        <v>619328087</v>
      </c>
      <c r="E65" s="309">
        <f>D65-C65</f>
        <v>383608731</v>
      </c>
      <c r="F65" s="310">
        <f>IF(C65=0,0,E65/C65)</f>
        <v>1.6273959742194442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239539585</v>
      </c>
      <c r="D70" s="22">
        <v>661351254</v>
      </c>
      <c r="E70" s="22">
        <f>D70-C70</f>
        <v>421811669</v>
      </c>
      <c r="F70" s="306">
        <f>IF(C70=0,0,E70/C70)</f>
        <v>1.7609267754221083</v>
      </c>
    </row>
    <row r="71" spans="1:6" ht="24" customHeight="1" x14ac:dyDescent="0.2">
      <c r="A71" s="304">
        <v>2</v>
      </c>
      <c r="B71" s="305" t="s">
        <v>65</v>
      </c>
      <c r="C71" s="22">
        <v>43370310</v>
      </c>
      <c r="D71" s="22">
        <v>92944545</v>
      </c>
      <c r="E71" s="22">
        <f>D71-C71</f>
        <v>49574235</v>
      </c>
      <c r="F71" s="306">
        <f>IF(C71=0,0,E71/C71)</f>
        <v>1.1430454382272113</v>
      </c>
    </row>
    <row r="72" spans="1:6" ht="24" customHeight="1" x14ac:dyDescent="0.2">
      <c r="A72" s="304">
        <v>3</v>
      </c>
      <c r="B72" s="305" t="s">
        <v>66</v>
      </c>
      <c r="C72" s="22">
        <v>9454852</v>
      </c>
      <c r="D72" s="22">
        <v>43258322</v>
      </c>
      <c r="E72" s="22">
        <f>D72-C72</f>
        <v>33803470</v>
      </c>
      <c r="F72" s="306">
        <f>IF(C72=0,0,E72/C72)</f>
        <v>3.5752510985893804</v>
      </c>
    </row>
    <row r="73" spans="1:6" ht="24" customHeight="1" x14ac:dyDescent="0.25">
      <c r="A73" s="304"/>
      <c r="B73" s="308" t="s">
        <v>67</v>
      </c>
      <c r="C73" s="309">
        <f>SUM(C70:C72)</f>
        <v>292364747</v>
      </c>
      <c r="D73" s="309">
        <f>SUM(D70:D72)</f>
        <v>797554121</v>
      </c>
      <c r="E73" s="309">
        <f>D73-C73</f>
        <v>505189374</v>
      </c>
      <c r="F73" s="310">
        <f>IF(C73=0,0,E73/C73)</f>
        <v>1.7279421653391063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596447149</v>
      </c>
      <c r="D75" s="309">
        <f>D56+D65+D67+D73</f>
        <v>1630137836</v>
      </c>
      <c r="E75" s="309">
        <f>D75-C75</f>
        <v>1033690687</v>
      </c>
      <c r="F75" s="310">
        <f>IF(C75=0,0,E75/C75)</f>
        <v>1.7330801039674346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FILING&amp;RWESTERN CONNECTICUT HEALTH NETWORK,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979538787</v>
      </c>
      <c r="D11" s="76">
        <v>2462700883</v>
      </c>
      <c r="E11" s="76">
        <f t="shared" ref="E11:E20" si="0">D11-C11</f>
        <v>1483162096</v>
      </c>
      <c r="F11" s="77">
        <f t="shared" ref="F11:F20" si="1">IF(C11=0,0,E11/C11)</f>
        <v>1.5141433046693638</v>
      </c>
    </row>
    <row r="12" spans="1:7" ht="23.1" customHeight="1" x14ac:dyDescent="0.2">
      <c r="A12" s="74">
        <v>2</v>
      </c>
      <c r="B12" s="75" t="s">
        <v>72</v>
      </c>
      <c r="C12" s="76">
        <v>577711522</v>
      </c>
      <c r="D12" s="76">
        <v>1433142811</v>
      </c>
      <c r="E12" s="76">
        <f t="shared" si="0"/>
        <v>855431289</v>
      </c>
      <c r="F12" s="77">
        <f t="shared" si="1"/>
        <v>1.4807239537798245</v>
      </c>
    </row>
    <row r="13" spans="1:7" ht="23.1" customHeight="1" x14ac:dyDescent="0.2">
      <c r="A13" s="74">
        <v>3</v>
      </c>
      <c r="B13" s="75" t="s">
        <v>73</v>
      </c>
      <c r="C13" s="76">
        <v>18272000</v>
      </c>
      <c r="D13" s="76">
        <v>27520752</v>
      </c>
      <c r="E13" s="76">
        <f t="shared" si="0"/>
        <v>9248752</v>
      </c>
      <c r="F13" s="77">
        <f t="shared" si="1"/>
        <v>0.50617075306479864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383555265</v>
      </c>
      <c r="D15" s="79">
        <f>D11-D12-D13-D14</f>
        <v>1002037320</v>
      </c>
      <c r="E15" s="79">
        <f t="shared" si="0"/>
        <v>618482055</v>
      </c>
      <c r="F15" s="80">
        <f t="shared" si="1"/>
        <v>1.6124978886680124</v>
      </c>
    </row>
    <row r="16" spans="1:7" ht="23.1" customHeight="1" x14ac:dyDescent="0.2">
      <c r="A16" s="74">
        <v>5</v>
      </c>
      <c r="B16" s="75" t="s">
        <v>76</v>
      </c>
      <c r="C16" s="76">
        <v>18754828</v>
      </c>
      <c r="D16" s="76">
        <v>40667790</v>
      </c>
      <c r="E16" s="76">
        <f t="shared" si="0"/>
        <v>21912962</v>
      </c>
      <c r="F16" s="77">
        <f t="shared" si="1"/>
        <v>1.1683904539140535</v>
      </c>
      <c r="G16" s="65"/>
    </row>
    <row r="17" spans="1:7" ht="31.5" customHeight="1" x14ac:dyDescent="0.25">
      <c r="A17" s="71"/>
      <c r="B17" s="81" t="s">
        <v>77</v>
      </c>
      <c r="C17" s="79">
        <f>C15-C16</f>
        <v>364800437</v>
      </c>
      <c r="D17" s="79">
        <f>D15-D16</f>
        <v>961369530</v>
      </c>
      <c r="E17" s="79">
        <f t="shared" si="0"/>
        <v>596569093</v>
      </c>
      <c r="F17" s="80">
        <f t="shared" si="1"/>
        <v>1.6353299845416578</v>
      </c>
    </row>
    <row r="18" spans="1:7" ht="23.1" customHeight="1" x14ac:dyDescent="0.2">
      <c r="A18" s="74">
        <v>6</v>
      </c>
      <c r="B18" s="75" t="s">
        <v>78</v>
      </c>
      <c r="C18" s="76">
        <v>15543696</v>
      </c>
      <c r="D18" s="76">
        <v>25099816</v>
      </c>
      <c r="E18" s="76">
        <f t="shared" si="0"/>
        <v>9556120</v>
      </c>
      <c r="F18" s="77">
        <f t="shared" si="1"/>
        <v>0.6147907164422155</v>
      </c>
      <c r="G18" s="65"/>
    </row>
    <row r="19" spans="1:7" ht="33" customHeight="1" x14ac:dyDescent="0.2">
      <c r="A19" s="74">
        <v>7</v>
      </c>
      <c r="B19" s="82" t="s">
        <v>79</v>
      </c>
      <c r="C19" s="76">
        <v>3450936</v>
      </c>
      <c r="D19" s="76">
        <v>7155684</v>
      </c>
      <c r="E19" s="76">
        <f t="shared" si="0"/>
        <v>3704748</v>
      </c>
      <c r="F19" s="77">
        <f t="shared" si="1"/>
        <v>1.0735487415588119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383795069</v>
      </c>
      <c r="D20" s="79">
        <f>SUM(D17:D19)</f>
        <v>993625030</v>
      </c>
      <c r="E20" s="79">
        <f t="shared" si="0"/>
        <v>609829961</v>
      </c>
      <c r="F20" s="80">
        <f t="shared" si="1"/>
        <v>1.5889468371465711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164801605</v>
      </c>
      <c r="D23" s="76">
        <v>469826938</v>
      </c>
      <c r="E23" s="76">
        <f t="shared" ref="E23:E32" si="2">D23-C23</f>
        <v>305025333</v>
      </c>
      <c r="F23" s="77">
        <f t="shared" ref="F23:F32" si="3">IF(C23=0,0,E23/C23)</f>
        <v>1.8508638492932152</v>
      </c>
    </row>
    <row r="24" spans="1:7" ht="23.1" customHeight="1" x14ac:dyDescent="0.2">
      <c r="A24" s="74">
        <v>2</v>
      </c>
      <c r="B24" s="75" t="s">
        <v>83</v>
      </c>
      <c r="C24" s="76">
        <v>56875510</v>
      </c>
      <c r="D24" s="76">
        <v>104721012</v>
      </c>
      <c r="E24" s="76">
        <f t="shared" si="2"/>
        <v>47845502</v>
      </c>
      <c r="F24" s="77">
        <f t="shared" si="3"/>
        <v>0.84123205224885012</v>
      </c>
    </row>
    <row r="25" spans="1:7" ht="23.1" customHeight="1" x14ac:dyDescent="0.2">
      <c r="A25" s="74">
        <v>3</v>
      </c>
      <c r="B25" s="75" t="s">
        <v>84</v>
      </c>
      <c r="C25" s="76">
        <v>8321347</v>
      </c>
      <c r="D25" s="76">
        <v>16270068</v>
      </c>
      <c r="E25" s="76">
        <f t="shared" si="2"/>
        <v>7948721</v>
      </c>
      <c r="F25" s="77">
        <f t="shared" si="3"/>
        <v>0.95522047091654749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39003388</v>
      </c>
      <c r="D26" s="76">
        <v>218534365</v>
      </c>
      <c r="E26" s="76">
        <f t="shared" si="2"/>
        <v>179530977</v>
      </c>
      <c r="F26" s="77">
        <f t="shared" si="3"/>
        <v>4.602958517347262</v>
      </c>
    </row>
    <row r="27" spans="1:7" ht="23.1" customHeight="1" x14ac:dyDescent="0.2">
      <c r="A27" s="74">
        <v>5</v>
      </c>
      <c r="B27" s="75" t="s">
        <v>86</v>
      </c>
      <c r="C27" s="76">
        <v>19123385</v>
      </c>
      <c r="D27" s="76">
        <v>53445138</v>
      </c>
      <c r="E27" s="76">
        <f t="shared" si="2"/>
        <v>34321753</v>
      </c>
      <c r="F27" s="77">
        <f t="shared" si="3"/>
        <v>1.7947530209740588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2695815</v>
      </c>
      <c r="D29" s="76">
        <v>6326466</v>
      </c>
      <c r="E29" s="76">
        <f t="shared" si="2"/>
        <v>3630651</v>
      </c>
      <c r="F29" s="77">
        <f t="shared" si="3"/>
        <v>1.3467730537889284</v>
      </c>
    </row>
    <row r="30" spans="1:7" ht="23.1" customHeight="1" x14ac:dyDescent="0.2">
      <c r="A30" s="74">
        <v>8</v>
      </c>
      <c r="B30" s="75" t="s">
        <v>89</v>
      </c>
      <c r="C30" s="76">
        <v>7265774</v>
      </c>
      <c r="D30" s="76">
        <v>20861003</v>
      </c>
      <c r="E30" s="76">
        <f t="shared" si="2"/>
        <v>13595229</v>
      </c>
      <c r="F30" s="77">
        <f t="shared" si="3"/>
        <v>1.8711329309169265</v>
      </c>
    </row>
    <row r="31" spans="1:7" ht="23.1" customHeight="1" x14ac:dyDescent="0.2">
      <c r="A31" s="74">
        <v>9</v>
      </c>
      <c r="B31" s="75" t="s">
        <v>90</v>
      </c>
      <c r="C31" s="76">
        <v>71673327</v>
      </c>
      <c r="D31" s="76">
        <v>71190612</v>
      </c>
      <c r="E31" s="76">
        <f t="shared" si="2"/>
        <v>-482715</v>
      </c>
      <c r="F31" s="77">
        <f t="shared" si="3"/>
        <v>-6.7349322293912767E-3</v>
      </c>
    </row>
    <row r="32" spans="1:7" ht="23.1" customHeight="1" x14ac:dyDescent="0.25">
      <c r="A32" s="71"/>
      <c r="B32" s="78" t="s">
        <v>91</v>
      </c>
      <c r="C32" s="79">
        <f>SUM(C23:C31)</f>
        <v>369760151</v>
      </c>
      <c r="D32" s="79">
        <f>SUM(D23:D31)</f>
        <v>961175602</v>
      </c>
      <c r="E32" s="79">
        <f t="shared" si="2"/>
        <v>591415451</v>
      </c>
      <c r="F32" s="80">
        <f t="shared" si="3"/>
        <v>1.5994569706890887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14034918</v>
      </c>
      <c r="D34" s="79">
        <f>+D20-D32</f>
        <v>32449428</v>
      </c>
      <c r="E34" s="79">
        <f>D34-C34</f>
        <v>18414510</v>
      </c>
      <c r="F34" s="80">
        <f>IF(C34=0,0,E34/C34)</f>
        <v>1.312049703461039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2307725</v>
      </c>
      <c r="D37" s="76">
        <v>5772965</v>
      </c>
      <c r="E37" s="76">
        <f>D37-C37</f>
        <v>3465240</v>
      </c>
      <c r="F37" s="77">
        <f>IF(C37=0,0,E37/C37)</f>
        <v>1.501582727578026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5517373</v>
      </c>
      <c r="E38" s="76">
        <f>D38-C38</f>
        <v>5517373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-246698</v>
      </c>
      <c r="D39" s="76">
        <v>306593216</v>
      </c>
      <c r="E39" s="76">
        <f>D39-C39</f>
        <v>306839914</v>
      </c>
      <c r="F39" s="77">
        <f>IF(C39=0,0,E39/C39)</f>
        <v>-1243.7876026558788</v>
      </c>
    </row>
    <row r="40" spans="1:6" ht="23.1" customHeight="1" x14ac:dyDescent="0.25">
      <c r="A40" s="83"/>
      <c r="B40" s="78" t="s">
        <v>97</v>
      </c>
      <c r="C40" s="79">
        <f>SUM(C37:C39)</f>
        <v>2061027</v>
      </c>
      <c r="D40" s="79">
        <f>SUM(D37:D39)</f>
        <v>317883554</v>
      </c>
      <c r="E40" s="79">
        <f>D40-C40</f>
        <v>315822527</v>
      </c>
      <c r="F40" s="80">
        <f>IF(C40=0,0,E40/C40)</f>
        <v>153.23551171333514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16095945</v>
      </c>
      <c r="D42" s="79">
        <f>D34+D40</f>
        <v>350332982</v>
      </c>
      <c r="E42" s="79">
        <f>D42-C42</f>
        <v>334237037</v>
      </c>
      <c r="F42" s="80">
        <f>IF(C42=0,0,E42/C42)</f>
        <v>20.765294426639752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10016229</v>
      </c>
      <c r="D45" s="76">
        <v>0</v>
      </c>
      <c r="E45" s="76">
        <f>D45-C45</f>
        <v>-10016229</v>
      </c>
      <c r="F45" s="77">
        <f>IF(C45=0,0,E45/C45)</f>
        <v>-1</v>
      </c>
    </row>
    <row r="46" spans="1:6" ht="23.1" customHeight="1" x14ac:dyDescent="0.2">
      <c r="A46" s="85"/>
      <c r="B46" s="75" t="s">
        <v>101</v>
      </c>
      <c r="C46" s="76">
        <v>-1345837</v>
      </c>
      <c r="D46" s="76">
        <v>-1116608</v>
      </c>
      <c r="E46" s="76">
        <f>D46-C46</f>
        <v>229229</v>
      </c>
      <c r="F46" s="77">
        <f>IF(C46=0,0,E46/C46)</f>
        <v>-0.17032448951841864</v>
      </c>
    </row>
    <row r="47" spans="1:6" ht="23.1" customHeight="1" x14ac:dyDescent="0.25">
      <c r="A47" s="83"/>
      <c r="B47" s="78" t="s">
        <v>102</v>
      </c>
      <c r="C47" s="79">
        <f>SUM(C45:C46)</f>
        <v>8670392</v>
      </c>
      <c r="D47" s="79">
        <f>SUM(D45:D46)</f>
        <v>-1116608</v>
      </c>
      <c r="E47" s="79">
        <f>D47-C47</f>
        <v>-9787000</v>
      </c>
      <c r="F47" s="80">
        <f>IF(C47=0,0,E47/C47)</f>
        <v>-1.1287840272965743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24766337</v>
      </c>
      <c r="D49" s="79">
        <f>D42+D47</f>
        <v>349216374</v>
      </c>
      <c r="E49" s="79">
        <f>D49-C49</f>
        <v>324450037</v>
      </c>
      <c r="F49" s="80">
        <f>IF(C49=0,0,E49/C49)</f>
        <v>13.100445051684471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FILING&amp;R&amp;8WESTERN CONNECTICUT HEALTH NETWORK,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2015-07-07T13:43:16Z</cp:lastPrinted>
  <dcterms:created xsi:type="dcterms:W3CDTF">2015-07-07T13:35:59Z</dcterms:created>
  <dcterms:modified xsi:type="dcterms:W3CDTF">2015-07-07T13:43:21Z</dcterms:modified>
</cp:coreProperties>
</file>