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4355" windowHeight="10560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  <sheet name="Sheet1" sheetId="23" r:id="rId20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Report485!$A$11:$F$28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45621"/>
</workbook>
</file>

<file path=xl/calcChain.xml><?xml version="1.0" encoding="utf-8"?>
<calcChain xmlns="http://schemas.openxmlformats.org/spreadsheetml/2006/main">
  <c r="E97" i="22" l="1"/>
  <c r="D97" i="22"/>
  <c r="C97" i="22"/>
  <c r="E96" i="22"/>
  <c r="E98" i="22" s="1"/>
  <c r="D96" i="22"/>
  <c r="C96" i="22"/>
  <c r="C98" i="22"/>
  <c r="E92" i="22"/>
  <c r="E93" i="22" s="1"/>
  <c r="D92" i="22"/>
  <c r="D93" i="22" s="1"/>
  <c r="C92" i="22"/>
  <c r="E91" i="22"/>
  <c r="D91" i="22"/>
  <c r="C91" i="22"/>
  <c r="C93" i="22"/>
  <c r="E87" i="22"/>
  <c r="D87" i="22"/>
  <c r="D88" i="22" s="1"/>
  <c r="C87" i="22"/>
  <c r="E86" i="22"/>
  <c r="D86" i="22"/>
  <c r="C86" i="22"/>
  <c r="C88" i="22"/>
  <c r="E83" i="22"/>
  <c r="D83" i="22"/>
  <c r="D102" i="22" s="1"/>
  <c r="C83" i="22"/>
  <c r="C101" i="22"/>
  <c r="E76" i="22"/>
  <c r="D76" i="22"/>
  <c r="D77" i="22" s="1"/>
  <c r="C76" i="22"/>
  <c r="E75" i="22"/>
  <c r="E77" i="22"/>
  <c r="D75" i="22"/>
  <c r="C75" i="22"/>
  <c r="C77" i="22"/>
  <c r="C108" i="22" s="1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E28" i="22"/>
  <c r="D28" i="22"/>
  <c r="C28" i="22"/>
  <c r="E27" i="22"/>
  <c r="D27" i="22"/>
  <c r="C27" i="22"/>
  <c r="D23" i="22"/>
  <c r="E21" i="22"/>
  <c r="D21" i="22"/>
  <c r="C21" i="22"/>
  <c r="E12" i="22"/>
  <c r="E33" i="22"/>
  <c r="D12" i="22"/>
  <c r="D34" i="22"/>
  <c r="C12" i="22"/>
  <c r="C33" i="22"/>
  <c r="D21" i="21"/>
  <c r="E21" i="21" s="1"/>
  <c r="F21" i="21" s="1"/>
  <c r="C21" i="21"/>
  <c r="D19" i="21"/>
  <c r="E19" i="21" s="1"/>
  <c r="F19" i="21" s="1"/>
  <c r="C19" i="21"/>
  <c r="E17" i="21"/>
  <c r="F17" i="21" s="1"/>
  <c r="F15" i="21"/>
  <c r="E15" i="21"/>
  <c r="D45" i="20"/>
  <c r="E45" i="20" s="1"/>
  <c r="F45" i="20"/>
  <c r="C45" i="20"/>
  <c r="D44" i="20"/>
  <c r="E44" i="20"/>
  <c r="F44" i="20"/>
  <c r="C44" i="20"/>
  <c r="D43" i="20"/>
  <c r="D46" i="20" s="1"/>
  <c r="C43" i="20"/>
  <c r="D36" i="20"/>
  <c r="D40" i="20"/>
  <c r="C36" i="20"/>
  <c r="C40" i="20"/>
  <c r="C41" i="20" s="1"/>
  <c r="E35" i="20"/>
  <c r="F35" i="20" s="1"/>
  <c r="E34" i="20"/>
  <c r="F34" i="20" s="1"/>
  <c r="E33" i="20"/>
  <c r="F33" i="20" s="1"/>
  <c r="E36" i="20"/>
  <c r="E30" i="20"/>
  <c r="F30" i="20" s="1"/>
  <c r="E29" i="20"/>
  <c r="F29" i="20" s="1"/>
  <c r="F28" i="20"/>
  <c r="E28" i="20"/>
  <c r="E27" i="20"/>
  <c r="F27" i="20" s="1"/>
  <c r="D25" i="20"/>
  <c r="D39" i="20"/>
  <c r="C25" i="20"/>
  <c r="C39" i="20"/>
  <c r="F24" i="20"/>
  <c r="E24" i="20"/>
  <c r="E23" i="20"/>
  <c r="F23" i="20" s="1"/>
  <c r="E22" i="20"/>
  <c r="D19" i="20"/>
  <c r="D20" i="20"/>
  <c r="C19" i="20"/>
  <c r="F18" i="20"/>
  <c r="E18" i="20"/>
  <c r="D16" i="20"/>
  <c r="E16" i="20"/>
  <c r="C16" i="20"/>
  <c r="F15" i="20"/>
  <c r="E15" i="20"/>
  <c r="F13" i="20"/>
  <c r="E13" i="20"/>
  <c r="E12" i="20"/>
  <c r="F12" i="20" s="1"/>
  <c r="C115" i="19"/>
  <c r="C105" i="19"/>
  <c r="C137" i="19" s="1"/>
  <c r="C139" i="19" s="1"/>
  <c r="C143" i="19" s="1"/>
  <c r="C96" i="19"/>
  <c r="C95" i="19"/>
  <c r="C89" i="19"/>
  <c r="C88" i="19"/>
  <c r="C83" i="19"/>
  <c r="C77" i="19"/>
  <c r="C78" i="19" s="1"/>
  <c r="C64" i="19"/>
  <c r="C63" i="19"/>
  <c r="C65" i="19" s="1"/>
  <c r="C114" i="19" s="1"/>
  <c r="C116" i="19" s="1"/>
  <c r="C119" i="19"/>
  <c r="C123" i="19"/>
  <c r="C59" i="19"/>
  <c r="C60" i="19" s="1"/>
  <c r="C48" i="19"/>
  <c r="C49" i="19" s="1"/>
  <c r="C36" i="19"/>
  <c r="C32" i="19"/>
  <c r="C33" i="19" s="1"/>
  <c r="C21" i="19"/>
  <c r="E328" i="18"/>
  <c r="E325" i="18"/>
  <c r="D324" i="18"/>
  <c r="D326" i="18"/>
  <c r="C324" i="18"/>
  <c r="C326" i="18"/>
  <c r="E318" i="18"/>
  <c r="E315" i="18"/>
  <c r="D314" i="18"/>
  <c r="D316" i="18" s="1"/>
  <c r="D320" i="18" s="1"/>
  <c r="C314" i="18"/>
  <c r="C316" i="18"/>
  <c r="E308" i="18"/>
  <c r="E305" i="18"/>
  <c r="D301" i="18"/>
  <c r="C301" i="18"/>
  <c r="D293" i="18"/>
  <c r="C293" i="18"/>
  <c r="D292" i="18"/>
  <c r="E292" i="18" s="1"/>
  <c r="C292" i="18"/>
  <c r="D291" i="18"/>
  <c r="C291" i="18"/>
  <c r="E291" i="18" s="1"/>
  <c r="D290" i="18"/>
  <c r="E290" i="18" s="1"/>
  <c r="C290" i="18"/>
  <c r="D288" i="18"/>
  <c r="C288" i="18"/>
  <c r="D287" i="18"/>
  <c r="C287" i="18"/>
  <c r="E287" i="18" s="1"/>
  <c r="D282" i="18"/>
  <c r="E282" i="18" s="1"/>
  <c r="C282" i="18"/>
  <c r="D281" i="18"/>
  <c r="E281" i="18" s="1"/>
  <c r="C281" i="18"/>
  <c r="D280" i="18"/>
  <c r="E280" i="18" s="1"/>
  <c r="C280" i="18"/>
  <c r="D279" i="18"/>
  <c r="C279" i="18"/>
  <c r="D278" i="18"/>
  <c r="C278" i="18"/>
  <c r="E278" i="18"/>
  <c r="D277" i="18"/>
  <c r="E277" i="18" s="1"/>
  <c r="C277" i="18"/>
  <c r="D276" i="18"/>
  <c r="E276" i="18" s="1"/>
  <c r="C276" i="18"/>
  <c r="E270" i="18"/>
  <c r="D265" i="18"/>
  <c r="D302" i="18"/>
  <c r="E302" i="18" s="1"/>
  <c r="C265" i="18"/>
  <c r="C302" i="18" s="1"/>
  <c r="D262" i="18"/>
  <c r="C262" i="18"/>
  <c r="D251" i="18"/>
  <c r="C251" i="18"/>
  <c r="E251" i="18"/>
  <c r="D233" i="18"/>
  <c r="C233" i="18"/>
  <c r="D232" i="18"/>
  <c r="E232" i="18"/>
  <c r="C232" i="18"/>
  <c r="D231" i="18"/>
  <c r="C231" i="18"/>
  <c r="E231" i="18"/>
  <c r="D230" i="18"/>
  <c r="E230" i="18"/>
  <c r="C230" i="18"/>
  <c r="D228" i="18"/>
  <c r="E228" i="18" s="1"/>
  <c r="C228" i="18"/>
  <c r="D227" i="18"/>
  <c r="E227" i="18" s="1"/>
  <c r="C227" i="18"/>
  <c r="D221" i="18"/>
  <c r="D245" i="18" s="1"/>
  <c r="C221" i="18"/>
  <c r="C245" i="18" s="1"/>
  <c r="D220" i="18"/>
  <c r="D244" i="18"/>
  <c r="C220" i="18"/>
  <c r="C244" i="18"/>
  <c r="D219" i="18"/>
  <c r="D243" i="18" s="1"/>
  <c r="C219" i="18"/>
  <c r="C243" i="18" s="1"/>
  <c r="D218" i="18"/>
  <c r="D242" i="18"/>
  <c r="E242" i="18" s="1"/>
  <c r="C218" i="18"/>
  <c r="C242" i="18"/>
  <c r="D217" i="18"/>
  <c r="D216" i="18"/>
  <c r="D240" i="18"/>
  <c r="C216" i="18"/>
  <c r="C240" i="18"/>
  <c r="C252" i="18" s="1"/>
  <c r="D215" i="18"/>
  <c r="D239" i="18" s="1"/>
  <c r="C215" i="18"/>
  <c r="C239" i="18"/>
  <c r="E209" i="18"/>
  <c r="E208" i="18"/>
  <c r="E207" i="18"/>
  <c r="E206" i="18"/>
  <c r="D205" i="18"/>
  <c r="C205" i="18"/>
  <c r="E204" i="18"/>
  <c r="E203" i="18"/>
  <c r="E197" i="18"/>
  <c r="E196" i="18"/>
  <c r="D195" i="18"/>
  <c r="C195" i="18"/>
  <c r="C260" i="18" s="1"/>
  <c r="E194" i="18"/>
  <c r="E193" i="18"/>
  <c r="E192" i="18"/>
  <c r="E191" i="18"/>
  <c r="E190" i="18"/>
  <c r="D189" i="18"/>
  <c r="D188" i="18"/>
  <c r="D261" i="18" s="1"/>
  <c r="C188" i="18"/>
  <c r="E186" i="18"/>
  <c r="E185" i="18"/>
  <c r="D179" i="18"/>
  <c r="E179" i="18"/>
  <c r="C179" i="18"/>
  <c r="D178" i="18"/>
  <c r="E178" i="18" s="1"/>
  <c r="C178" i="18"/>
  <c r="D177" i="18"/>
  <c r="C177" i="18"/>
  <c r="E177" i="18" s="1"/>
  <c r="D176" i="18"/>
  <c r="C176" i="18"/>
  <c r="D174" i="18"/>
  <c r="E174" i="18" s="1"/>
  <c r="C174" i="18"/>
  <c r="D173" i="18"/>
  <c r="C173" i="18"/>
  <c r="E173" i="18" s="1"/>
  <c r="D167" i="18"/>
  <c r="E167" i="18" s="1"/>
  <c r="C167" i="18"/>
  <c r="D166" i="18"/>
  <c r="E166" i="18" s="1"/>
  <c r="C166" i="18"/>
  <c r="D165" i="18"/>
  <c r="E165" i="18" s="1"/>
  <c r="C165" i="18"/>
  <c r="D164" i="18"/>
  <c r="C164" i="18"/>
  <c r="D162" i="18"/>
  <c r="C162" i="18"/>
  <c r="E162" i="18" s="1"/>
  <c r="D161" i="18"/>
  <c r="C161" i="18"/>
  <c r="E161" i="18"/>
  <c r="E155" i="18"/>
  <c r="E154" i="18"/>
  <c r="E153" i="18"/>
  <c r="E152" i="18"/>
  <c r="D151" i="18"/>
  <c r="D156" i="18" s="1"/>
  <c r="C151" i="18"/>
  <c r="C156" i="18" s="1"/>
  <c r="C157" i="18" s="1"/>
  <c r="E150" i="18"/>
  <c r="E149" i="18"/>
  <c r="E143" i="18"/>
  <c r="E142" i="18"/>
  <c r="E141" i="18"/>
  <c r="E140" i="18"/>
  <c r="D139" i="18"/>
  <c r="C139" i="18"/>
  <c r="C163" i="18"/>
  <c r="E138" i="18"/>
  <c r="E137" i="18"/>
  <c r="D75" i="18"/>
  <c r="C75" i="18"/>
  <c r="D74" i="18"/>
  <c r="C74" i="18"/>
  <c r="E74" i="18"/>
  <c r="D73" i="18"/>
  <c r="C73" i="18"/>
  <c r="E73" i="18" s="1"/>
  <c r="D72" i="18"/>
  <c r="C72" i="18"/>
  <c r="D70" i="18"/>
  <c r="D76" i="18"/>
  <c r="C70" i="18"/>
  <c r="D69" i="18"/>
  <c r="C69" i="18"/>
  <c r="D65" i="18"/>
  <c r="E64" i="18"/>
  <c r="E63" i="18"/>
  <c r="E62" i="18"/>
  <c r="E61" i="18"/>
  <c r="D60" i="18"/>
  <c r="D71" i="18" s="1"/>
  <c r="D289" i="18"/>
  <c r="C60" i="18"/>
  <c r="E59" i="18"/>
  <c r="E58" i="18"/>
  <c r="D54" i="18"/>
  <c r="C54" i="18"/>
  <c r="C55" i="18"/>
  <c r="E53" i="18"/>
  <c r="E52" i="18"/>
  <c r="E51" i="18"/>
  <c r="E50" i="18"/>
  <c r="E49" i="18"/>
  <c r="E48" i="18"/>
  <c r="E47" i="18"/>
  <c r="D42" i="18"/>
  <c r="E42" i="18" s="1"/>
  <c r="C42" i="18"/>
  <c r="D41" i="18"/>
  <c r="E41" i="18" s="1"/>
  <c r="C41" i="18"/>
  <c r="D40" i="18"/>
  <c r="C40" i="18"/>
  <c r="E40" i="18"/>
  <c r="D39" i="18"/>
  <c r="C39" i="18"/>
  <c r="D38" i="18"/>
  <c r="C38" i="18"/>
  <c r="E38" i="18"/>
  <c r="D37" i="18"/>
  <c r="D43" i="18" s="1"/>
  <c r="C37" i="18"/>
  <c r="C43" i="18" s="1"/>
  <c r="C44" i="18" s="1"/>
  <c r="D36" i="18"/>
  <c r="C36" i="18"/>
  <c r="D32" i="18"/>
  <c r="C32" i="18"/>
  <c r="C33" i="18"/>
  <c r="E31" i="18"/>
  <c r="E30" i="18"/>
  <c r="E29" i="18"/>
  <c r="E28" i="18"/>
  <c r="E27" i="18"/>
  <c r="E26" i="18"/>
  <c r="E25" i="18"/>
  <c r="C22" i="18"/>
  <c r="D21" i="18"/>
  <c r="C21" i="18"/>
  <c r="E20" i="18"/>
  <c r="E19" i="18"/>
  <c r="E18" i="18"/>
  <c r="E17" i="18"/>
  <c r="E16" i="18"/>
  <c r="E15" i="18"/>
  <c r="E14" i="18"/>
  <c r="E335" i="17"/>
  <c r="F335" i="17" s="1"/>
  <c r="F334" i="17"/>
  <c r="E334" i="17"/>
  <c r="F333" i="17"/>
  <c r="E333" i="17"/>
  <c r="F332" i="17"/>
  <c r="E332" i="17"/>
  <c r="E331" i="17"/>
  <c r="F331" i="17" s="1"/>
  <c r="F330" i="17"/>
  <c r="E330" i="17"/>
  <c r="F329" i="17"/>
  <c r="E329" i="17"/>
  <c r="F316" i="17"/>
  <c r="E316" i="17"/>
  <c r="F311" i="17"/>
  <c r="D311" i="17"/>
  <c r="E311" i="17"/>
  <c r="C311" i="17"/>
  <c r="E308" i="17"/>
  <c r="F308" i="17" s="1"/>
  <c r="D307" i="17"/>
  <c r="E307" i="17"/>
  <c r="F307" i="17" s="1"/>
  <c r="C307" i="17"/>
  <c r="D299" i="17"/>
  <c r="C299" i="17"/>
  <c r="E299" i="17"/>
  <c r="D298" i="17"/>
  <c r="C298" i="17"/>
  <c r="D297" i="17"/>
  <c r="C297" i="17"/>
  <c r="D296" i="17"/>
  <c r="C296" i="17"/>
  <c r="D295" i="17"/>
  <c r="C295" i="17"/>
  <c r="D294" i="17"/>
  <c r="C294" i="17"/>
  <c r="D250" i="17"/>
  <c r="D306" i="17" s="1"/>
  <c r="C250" i="17"/>
  <c r="C306" i="17"/>
  <c r="E249" i="17"/>
  <c r="F249" i="17"/>
  <c r="E248" i="17"/>
  <c r="F248" i="17" s="1"/>
  <c r="F245" i="17"/>
  <c r="E245" i="17"/>
  <c r="E244" i="17"/>
  <c r="F244" i="17" s="1"/>
  <c r="E243" i="17"/>
  <c r="F243" i="17"/>
  <c r="D238" i="17"/>
  <c r="C238" i="17"/>
  <c r="D237" i="17"/>
  <c r="D239" i="17"/>
  <c r="C237" i="17"/>
  <c r="E234" i="17"/>
  <c r="F234" i="17"/>
  <c r="E233" i="17"/>
  <c r="F233" i="17"/>
  <c r="D230" i="17"/>
  <c r="C230" i="17"/>
  <c r="E230" i="17" s="1"/>
  <c r="D229" i="17"/>
  <c r="E229" i="17" s="1"/>
  <c r="C229" i="17"/>
  <c r="E228" i="17"/>
  <c r="F228" i="17"/>
  <c r="D226" i="17"/>
  <c r="C226" i="17"/>
  <c r="E226" i="17" s="1"/>
  <c r="C227" i="17"/>
  <c r="E225" i="17"/>
  <c r="F225" i="17"/>
  <c r="E224" i="17"/>
  <c r="F224" i="17"/>
  <c r="D223" i="17"/>
  <c r="C223" i="17"/>
  <c r="E223" i="17" s="1"/>
  <c r="E222" i="17"/>
  <c r="F222" i="17" s="1"/>
  <c r="E221" i="17"/>
  <c r="F221" i="17" s="1"/>
  <c r="D204" i="17"/>
  <c r="C204" i="17"/>
  <c r="C285" i="17"/>
  <c r="D203" i="17"/>
  <c r="C203" i="17"/>
  <c r="C283" i="17" s="1"/>
  <c r="D198" i="17"/>
  <c r="C198" i="17"/>
  <c r="C290" i="17"/>
  <c r="D191" i="17"/>
  <c r="C191" i="17"/>
  <c r="D189" i="17"/>
  <c r="C189" i="17"/>
  <c r="D188" i="17"/>
  <c r="C188" i="17"/>
  <c r="D180" i="17"/>
  <c r="C180" i="17"/>
  <c r="D179" i="17"/>
  <c r="D181" i="17"/>
  <c r="E181" i="17"/>
  <c r="F181" i="17" s="1"/>
  <c r="C179" i="17"/>
  <c r="C181" i="17" s="1"/>
  <c r="D171" i="17"/>
  <c r="D172" i="17" s="1"/>
  <c r="C171" i="17"/>
  <c r="C172" i="17"/>
  <c r="D170" i="17"/>
  <c r="C170" i="17"/>
  <c r="E169" i="17"/>
  <c r="F169" i="17" s="1"/>
  <c r="E168" i="17"/>
  <c r="F168" i="17" s="1"/>
  <c r="D165" i="17"/>
  <c r="C165" i="17"/>
  <c r="D164" i="17"/>
  <c r="E164" i="17" s="1"/>
  <c r="C164" i="17"/>
  <c r="E163" i="17"/>
  <c r="F163" i="17" s="1"/>
  <c r="D158" i="17"/>
  <c r="C158" i="17"/>
  <c r="C159" i="17"/>
  <c r="E157" i="17"/>
  <c r="F157" i="17"/>
  <c r="E156" i="17"/>
  <c r="F156" i="17" s="1"/>
  <c r="D155" i="17"/>
  <c r="E155" i="17" s="1"/>
  <c r="C155" i="17"/>
  <c r="E154" i="17"/>
  <c r="F154" i="17"/>
  <c r="E153" i="17"/>
  <c r="F153" i="17" s="1"/>
  <c r="D145" i="17"/>
  <c r="C145" i="17"/>
  <c r="E145" i="17" s="1"/>
  <c r="D144" i="17"/>
  <c r="D146" i="17"/>
  <c r="C144" i="17"/>
  <c r="C146" i="17"/>
  <c r="D136" i="17"/>
  <c r="D137" i="17" s="1"/>
  <c r="C136" i="17"/>
  <c r="C137" i="17" s="1"/>
  <c r="D135" i="17"/>
  <c r="C135" i="17"/>
  <c r="E135" i="17"/>
  <c r="E134" i="17"/>
  <c r="F134" i="17"/>
  <c r="E133" i="17"/>
  <c r="F133" i="17"/>
  <c r="D130" i="17"/>
  <c r="C130" i="17"/>
  <c r="E130" i="17"/>
  <c r="D129" i="17"/>
  <c r="E129" i="17" s="1"/>
  <c r="C129" i="17"/>
  <c r="E128" i="17"/>
  <c r="F128" i="17"/>
  <c r="D123" i="17"/>
  <c r="C123" i="17"/>
  <c r="C193" i="17" s="1"/>
  <c r="E122" i="17"/>
  <c r="F122" i="17" s="1"/>
  <c r="E121" i="17"/>
  <c r="F121" i="17"/>
  <c r="D120" i="17"/>
  <c r="C120" i="17"/>
  <c r="E119" i="17"/>
  <c r="F119" i="17"/>
  <c r="E118" i="17"/>
  <c r="F118" i="17" s="1"/>
  <c r="D110" i="17"/>
  <c r="C110" i="17"/>
  <c r="D109" i="17"/>
  <c r="D111" i="17"/>
  <c r="C109" i="17"/>
  <c r="D101" i="17"/>
  <c r="D102" i="17" s="1"/>
  <c r="C101" i="17"/>
  <c r="C102" i="17" s="1"/>
  <c r="D100" i="17"/>
  <c r="C100" i="17"/>
  <c r="E99" i="17"/>
  <c r="F99" i="17"/>
  <c r="E98" i="17"/>
  <c r="F98" i="17" s="1"/>
  <c r="D95" i="17"/>
  <c r="E95" i="17" s="1"/>
  <c r="F95" i="17" s="1"/>
  <c r="C95" i="17"/>
  <c r="D94" i="17"/>
  <c r="C94" i="17"/>
  <c r="E94" i="17" s="1"/>
  <c r="E93" i="17"/>
  <c r="F93" i="17" s="1"/>
  <c r="D88" i="17"/>
  <c r="D89" i="17" s="1"/>
  <c r="C88" i="17"/>
  <c r="C89" i="17" s="1"/>
  <c r="E87" i="17"/>
  <c r="F87" i="17"/>
  <c r="E86" i="17"/>
  <c r="F86" i="17"/>
  <c r="D85" i="17"/>
  <c r="E85" i="17" s="1"/>
  <c r="F85" i="17" s="1"/>
  <c r="C85" i="17"/>
  <c r="E84" i="17"/>
  <c r="F84" i="17"/>
  <c r="E83" i="17"/>
  <c r="F83" i="17" s="1"/>
  <c r="D76" i="17"/>
  <c r="D77" i="17" s="1"/>
  <c r="C76" i="17"/>
  <c r="C77" i="17"/>
  <c r="E77" i="17" s="1"/>
  <c r="E74" i="17"/>
  <c r="F74" i="17" s="1"/>
  <c r="F73" i="17"/>
  <c r="E73" i="17"/>
  <c r="D67" i="17"/>
  <c r="D68" i="17" s="1"/>
  <c r="E67" i="17"/>
  <c r="C67" i="17"/>
  <c r="D66" i="17"/>
  <c r="C66" i="17"/>
  <c r="C68" i="17"/>
  <c r="D59" i="17"/>
  <c r="D60" i="17" s="1"/>
  <c r="C59" i="17"/>
  <c r="C60" i="17"/>
  <c r="D58" i="17"/>
  <c r="C58" i="17"/>
  <c r="E57" i="17"/>
  <c r="F57" i="17"/>
  <c r="E56" i="17"/>
  <c r="F56" i="17"/>
  <c r="D53" i="17"/>
  <c r="F53" i="17"/>
  <c r="C53" i="17"/>
  <c r="E53" i="17" s="1"/>
  <c r="D52" i="17"/>
  <c r="C52" i="17"/>
  <c r="E51" i="17"/>
  <c r="F51" i="17"/>
  <c r="D47" i="17"/>
  <c r="D48" i="17"/>
  <c r="C47" i="17"/>
  <c r="C48" i="17"/>
  <c r="E46" i="17"/>
  <c r="F46" i="17"/>
  <c r="E45" i="17"/>
  <c r="F45" i="17"/>
  <c r="D44" i="17"/>
  <c r="E44" i="17"/>
  <c r="C44" i="17"/>
  <c r="E43" i="17"/>
  <c r="F43" i="17"/>
  <c r="E42" i="17"/>
  <c r="F42" i="17"/>
  <c r="D36" i="17"/>
  <c r="D37" i="17" s="1"/>
  <c r="C36" i="17"/>
  <c r="D35" i="17"/>
  <c r="C35" i="17"/>
  <c r="D30" i="17"/>
  <c r="D31" i="17"/>
  <c r="C30" i="17"/>
  <c r="C31" i="17" s="1"/>
  <c r="D29" i="17"/>
  <c r="E29" i="17" s="1"/>
  <c r="F29" i="17"/>
  <c r="C29" i="17"/>
  <c r="E28" i="17"/>
  <c r="F28" i="17"/>
  <c r="E27" i="17"/>
  <c r="F27" i="17" s="1"/>
  <c r="D24" i="17"/>
  <c r="E24" i="17" s="1"/>
  <c r="F24" i="17"/>
  <c r="C24" i="17"/>
  <c r="D23" i="17"/>
  <c r="C23" i="17"/>
  <c r="E22" i="17"/>
  <c r="F22" i="17" s="1"/>
  <c r="D20" i="17"/>
  <c r="C20" i="17"/>
  <c r="E19" i="17"/>
  <c r="F19" i="17"/>
  <c r="E18" i="17"/>
  <c r="F18" i="17" s="1"/>
  <c r="D17" i="17"/>
  <c r="C17" i="17"/>
  <c r="E16" i="17"/>
  <c r="F16" i="17" s="1"/>
  <c r="E15" i="17"/>
  <c r="F15" i="17" s="1"/>
  <c r="D21" i="16"/>
  <c r="E21" i="16" s="1"/>
  <c r="C21" i="16"/>
  <c r="E20" i="16"/>
  <c r="F20" i="16" s="1"/>
  <c r="D17" i="16"/>
  <c r="E17" i="16" s="1"/>
  <c r="F17" i="16"/>
  <c r="C17" i="16"/>
  <c r="E16" i="16"/>
  <c r="F16" i="16" s="1"/>
  <c r="D13" i="16"/>
  <c r="E13" i="16" s="1"/>
  <c r="F13" i="16" s="1"/>
  <c r="C13" i="16"/>
  <c r="F12" i="16"/>
  <c r="E12" i="16"/>
  <c r="D107" i="15"/>
  <c r="C107" i="15"/>
  <c r="E107" i="15" s="1"/>
  <c r="F106" i="15"/>
  <c r="E106" i="15"/>
  <c r="E105" i="15"/>
  <c r="F105" i="15" s="1"/>
  <c r="E104" i="15"/>
  <c r="F104" i="15" s="1"/>
  <c r="D100" i="15"/>
  <c r="E100" i="15" s="1"/>
  <c r="F100" i="15" s="1"/>
  <c r="C100" i="15"/>
  <c r="E99" i="15"/>
  <c r="F99" i="15" s="1"/>
  <c r="E98" i="15"/>
  <c r="F98" i="15" s="1"/>
  <c r="E97" i="15"/>
  <c r="F97" i="15" s="1"/>
  <c r="F96" i="15"/>
  <c r="E96" i="15"/>
  <c r="E95" i="15"/>
  <c r="F95" i="15" s="1"/>
  <c r="D92" i="15"/>
  <c r="E92" i="15" s="1"/>
  <c r="F92" i="15" s="1"/>
  <c r="C92" i="15"/>
  <c r="F91" i="15"/>
  <c r="E91" i="15"/>
  <c r="F90" i="15"/>
  <c r="E90" i="15"/>
  <c r="F89" i="15"/>
  <c r="E89" i="15"/>
  <c r="F88" i="15"/>
  <c r="E88" i="15"/>
  <c r="E87" i="15"/>
  <c r="F87" i="15" s="1"/>
  <c r="F86" i="15"/>
  <c r="E86" i="15"/>
  <c r="F85" i="15"/>
  <c r="E85" i="15"/>
  <c r="F84" i="15"/>
  <c r="E84" i="15"/>
  <c r="F83" i="15"/>
  <c r="E83" i="15"/>
  <c r="F82" i="15"/>
  <c r="E82" i="15"/>
  <c r="F81" i="15"/>
  <c r="E81" i="15"/>
  <c r="F80" i="15"/>
  <c r="E80" i="15"/>
  <c r="F79" i="15"/>
  <c r="E79" i="15"/>
  <c r="D75" i="15"/>
  <c r="C75" i="15"/>
  <c r="F74" i="15"/>
  <c r="E74" i="15"/>
  <c r="F73" i="15"/>
  <c r="E73" i="15"/>
  <c r="E75" i="15" s="1"/>
  <c r="F75" i="15"/>
  <c r="D70" i="15"/>
  <c r="E70" i="15"/>
  <c r="F70" i="15" s="1"/>
  <c r="C70" i="15"/>
  <c r="E69" i="15"/>
  <c r="F69" i="15" s="1"/>
  <c r="F68" i="15"/>
  <c r="E68" i="15"/>
  <c r="D65" i="15"/>
  <c r="E65" i="15"/>
  <c r="F65" i="15" s="1"/>
  <c r="C65" i="15"/>
  <c r="E64" i="15"/>
  <c r="F64" i="15" s="1"/>
  <c r="F63" i="15"/>
  <c r="E63" i="15"/>
  <c r="D60" i="15"/>
  <c r="C60" i="15"/>
  <c r="F59" i="15"/>
  <c r="E59" i="15"/>
  <c r="E58" i="15"/>
  <c r="F58" i="15" s="1"/>
  <c r="E60" i="15"/>
  <c r="D55" i="15"/>
  <c r="E55" i="15"/>
  <c r="F55" i="15" s="1"/>
  <c r="C55" i="15"/>
  <c r="F54" i="15"/>
  <c r="E54" i="15"/>
  <c r="E53" i="15"/>
  <c r="F53" i="15" s="1"/>
  <c r="D50" i="15"/>
  <c r="E50" i="15"/>
  <c r="F50" i="15" s="1"/>
  <c r="C50" i="15"/>
  <c r="F49" i="15"/>
  <c r="E49" i="15"/>
  <c r="F48" i="15"/>
  <c r="E48" i="15"/>
  <c r="D45" i="15"/>
  <c r="E45" i="15"/>
  <c r="F45" i="15" s="1"/>
  <c r="C45" i="15"/>
  <c r="E44" i="15"/>
  <c r="F44" i="15" s="1"/>
  <c r="E43" i="15"/>
  <c r="F43" i="15" s="1"/>
  <c r="D37" i="15"/>
  <c r="E37" i="15" s="1"/>
  <c r="C37" i="15"/>
  <c r="F37" i="15" s="1"/>
  <c r="F36" i="15"/>
  <c r="E36" i="15"/>
  <c r="F35" i="15"/>
  <c r="E35" i="15"/>
  <c r="F34" i="15"/>
  <c r="E34" i="15"/>
  <c r="F33" i="15"/>
  <c r="E33" i="15"/>
  <c r="D30" i="15"/>
  <c r="C30" i="15"/>
  <c r="F29" i="15"/>
  <c r="E29" i="15"/>
  <c r="F28" i="15"/>
  <c r="E28" i="15"/>
  <c r="F27" i="15"/>
  <c r="E27" i="15"/>
  <c r="E26" i="15"/>
  <c r="F26" i="15" s="1"/>
  <c r="D23" i="15"/>
  <c r="E23" i="15"/>
  <c r="F23" i="15" s="1"/>
  <c r="C23" i="15"/>
  <c r="F22" i="15"/>
  <c r="E22" i="15"/>
  <c r="E21" i="15"/>
  <c r="F21" i="15" s="1"/>
  <c r="E20" i="15"/>
  <c r="F20" i="15" s="1"/>
  <c r="F19" i="15"/>
  <c r="E19" i="15"/>
  <c r="D16" i="15"/>
  <c r="E16" i="15" s="1"/>
  <c r="F16" i="15" s="1"/>
  <c r="C16" i="15"/>
  <c r="F15" i="15"/>
  <c r="E15" i="15"/>
  <c r="F14" i="15"/>
  <c r="E14" i="15"/>
  <c r="E13" i="15"/>
  <c r="F13" i="15" s="1"/>
  <c r="F12" i="15"/>
  <c r="E12" i="15"/>
  <c r="I37" i="14"/>
  <c r="H37" i="14"/>
  <c r="C31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G31" i="14" s="1"/>
  <c r="I31" i="14" s="1"/>
  <c r="F17" i="14"/>
  <c r="F33" i="14" s="1"/>
  <c r="E17" i="14"/>
  <c r="E31" i="14" s="1"/>
  <c r="E33" i="14"/>
  <c r="E36" i="14" s="1"/>
  <c r="E38" i="14"/>
  <c r="E40" i="14" s="1"/>
  <c r="D17" i="14"/>
  <c r="D33" i="14"/>
  <c r="D36" i="14"/>
  <c r="D38" i="14" s="1"/>
  <c r="D40" i="14" s="1"/>
  <c r="C17" i="14"/>
  <c r="C33" i="14"/>
  <c r="C36" i="14" s="1"/>
  <c r="C38" i="14" s="1"/>
  <c r="C40" i="14"/>
  <c r="I16" i="14"/>
  <c r="H16" i="14"/>
  <c r="I15" i="14"/>
  <c r="H15" i="14"/>
  <c r="I13" i="14"/>
  <c r="H13" i="14"/>
  <c r="I11" i="14"/>
  <c r="H11" i="14"/>
  <c r="E79" i="13"/>
  <c r="E80" i="13" s="1"/>
  <c r="E77" i="13" s="1"/>
  <c r="D79" i="13"/>
  <c r="C79" i="13"/>
  <c r="C80" i="13" s="1"/>
  <c r="C77" i="13" s="1"/>
  <c r="E78" i="13"/>
  <c r="D78" i="13"/>
  <c r="D80" i="13"/>
  <c r="D77" i="13"/>
  <c r="C78" i="13"/>
  <c r="E75" i="13"/>
  <c r="E73" i="13"/>
  <c r="D73" i="13"/>
  <c r="D75" i="13"/>
  <c r="C73" i="13"/>
  <c r="C75" i="13" s="1"/>
  <c r="E71" i="13"/>
  <c r="D71" i="13"/>
  <c r="C71" i="13"/>
  <c r="E66" i="13"/>
  <c r="E65" i="13" s="1"/>
  <c r="D66" i="13"/>
  <c r="C66" i="13"/>
  <c r="C65" i="13"/>
  <c r="D65" i="13"/>
  <c r="E60" i="13"/>
  <c r="D60" i="13"/>
  <c r="C60" i="13"/>
  <c r="E58" i="13"/>
  <c r="D58" i="13"/>
  <c r="C58" i="13"/>
  <c r="E55" i="13"/>
  <c r="E50" i="13" s="1"/>
  <c r="D55" i="13"/>
  <c r="C55" i="13"/>
  <c r="C50" i="13" s="1"/>
  <c r="E54" i="13"/>
  <c r="D54" i="13"/>
  <c r="C54" i="13"/>
  <c r="E46" i="13"/>
  <c r="D46" i="13"/>
  <c r="D59" i="13" s="1"/>
  <c r="D61" i="13"/>
  <c r="D57" i="13" s="1"/>
  <c r="C46" i="13"/>
  <c r="E45" i="13"/>
  <c r="D45" i="13"/>
  <c r="C45" i="13"/>
  <c r="E38" i="13"/>
  <c r="D38" i="13"/>
  <c r="C38" i="13"/>
  <c r="E33" i="13"/>
  <c r="E34" i="13"/>
  <c r="D33" i="13"/>
  <c r="D34" i="13" s="1"/>
  <c r="E26" i="13"/>
  <c r="D26" i="13"/>
  <c r="C26" i="13"/>
  <c r="C25" i="13"/>
  <c r="C27" i="13" s="1"/>
  <c r="C15" i="13"/>
  <c r="C24" i="13" s="1"/>
  <c r="E13" i="13"/>
  <c r="D13" i="13"/>
  <c r="D25" i="13" s="1"/>
  <c r="D27" i="13" s="1"/>
  <c r="C13" i="13"/>
  <c r="D47" i="12"/>
  <c r="E47" i="12" s="1"/>
  <c r="C47" i="12"/>
  <c r="E46" i="12"/>
  <c r="F46" i="12" s="1"/>
  <c r="F45" i="12"/>
  <c r="E45" i="12"/>
  <c r="D40" i="12"/>
  <c r="E40" i="12" s="1"/>
  <c r="C40" i="12"/>
  <c r="F39" i="12"/>
  <c r="E39" i="12"/>
  <c r="F38" i="12"/>
  <c r="E38" i="12"/>
  <c r="F37" i="12"/>
  <c r="E37" i="12"/>
  <c r="D32" i="12"/>
  <c r="E32" i="12"/>
  <c r="F32" i="12"/>
  <c r="C32" i="12"/>
  <c r="F31" i="12"/>
  <c r="E31" i="12"/>
  <c r="F30" i="12"/>
  <c r="E30" i="12"/>
  <c r="E29" i="12"/>
  <c r="F29" i="12" s="1"/>
  <c r="E28" i="12"/>
  <c r="F28" i="12" s="1"/>
  <c r="F27" i="12"/>
  <c r="E27" i="12"/>
  <c r="F26" i="12"/>
  <c r="E26" i="12"/>
  <c r="E25" i="12"/>
  <c r="F25" i="12" s="1"/>
  <c r="F24" i="12"/>
  <c r="E24" i="12"/>
  <c r="F23" i="12"/>
  <c r="E23" i="12"/>
  <c r="F19" i="12"/>
  <c r="E19" i="12"/>
  <c r="E18" i="12"/>
  <c r="F18" i="12" s="1"/>
  <c r="F16" i="12"/>
  <c r="E16" i="12"/>
  <c r="D15" i="12"/>
  <c r="D17" i="12" s="1"/>
  <c r="C15" i="12"/>
  <c r="C17" i="12" s="1"/>
  <c r="F14" i="12"/>
  <c r="E14" i="12"/>
  <c r="E13" i="12"/>
  <c r="F13" i="12" s="1"/>
  <c r="F12" i="12"/>
  <c r="E12" i="12"/>
  <c r="F11" i="12"/>
  <c r="E11" i="12"/>
  <c r="D73" i="11"/>
  <c r="C73" i="11"/>
  <c r="E73" i="11" s="1"/>
  <c r="F72" i="11"/>
  <c r="E72" i="11"/>
  <c r="E71" i="11"/>
  <c r="F71" i="11" s="1"/>
  <c r="E70" i="11"/>
  <c r="F70" i="11" s="1"/>
  <c r="F67" i="11"/>
  <c r="E67" i="11"/>
  <c r="E64" i="11"/>
  <c r="F64" i="11" s="1"/>
  <c r="E63" i="11"/>
  <c r="F63" i="11" s="1"/>
  <c r="D61" i="11"/>
  <c r="D65" i="11" s="1"/>
  <c r="C61" i="11"/>
  <c r="C65" i="11"/>
  <c r="E65" i="11" s="1"/>
  <c r="F60" i="11"/>
  <c r="E60" i="11"/>
  <c r="F59" i="11"/>
  <c r="E59" i="11"/>
  <c r="D56" i="11"/>
  <c r="D75" i="11"/>
  <c r="C56" i="11"/>
  <c r="E55" i="11"/>
  <c r="F55" i="11" s="1"/>
  <c r="E54" i="11"/>
  <c r="F54" i="11"/>
  <c r="E53" i="11"/>
  <c r="F53" i="11" s="1"/>
  <c r="F52" i="11"/>
  <c r="E52" i="11"/>
  <c r="E51" i="11"/>
  <c r="F51" i="11" s="1"/>
  <c r="A54" i="11"/>
  <c r="A55" i="11" s="1"/>
  <c r="E50" i="11"/>
  <c r="F50" i="11" s="1"/>
  <c r="A50" i="11"/>
  <c r="A51" i="11" s="1"/>
  <c r="A52" i="11" s="1"/>
  <c r="A53" i="11" s="1"/>
  <c r="E49" i="11"/>
  <c r="F49" i="11" s="1"/>
  <c r="F40" i="11"/>
  <c r="E40" i="11"/>
  <c r="D38" i="11"/>
  <c r="D41" i="11"/>
  <c r="E41" i="11" s="1"/>
  <c r="C38" i="11"/>
  <c r="C41" i="11" s="1"/>
  <c r="E37" i="11"/>
  <c r="F37" i="11" s="1"/>
  <c r="E36" i="11"/>
  <c r="F36" i="11" s="1"/>
  <c r="F33" i="11"/>
  <c r="E33" i="11"/>
  <c r="F32" i="11"/>
  <c r="E32" i="11"/>
  <c r="F31" i="11"/>
  <c r="E31" i="11"/>
  <c r="D29" i="11"/>
  <c r="E29" i="11"/>
  <c r="F29" i="11" s="1"/>
  <c r="C29" i="11"/>
  <c r="F28" i="11"/>
  <c r="E28" i="11"/>
  <c r="F27" i="11"/>
  <c r="E27" i="11"/>
  <c r="F26" i="11"/>
  <c r="E26" i="11"/>
  <c r="F25" i="11"/>
  <c r="E25" i="11"/>
  <c r="D22" i="11"/>
  <c r="C22" i="11"/>
  <c r="C43" i="11" s="1"/>
  <c r="E21" i="11"/>
  <c r="F21" i="11" s="1"/>
  <c r="E20" i="11"/>
  <c r="F20" i="11" s="1"/>
  <c r="E19" i="11"/>
  <c r="F19" i="11" s="1"/>
  <c r="E18" i="11"/>
  <c r="F18" i="11" s="1"/>
  <c r="F17" i="11"/>
  <c r="E17" i="11"/>
  <c r="E16" i="11"/>
  <c r="F16" i="11" s="1"/>
  <c r="E15" i="11"/>
  <c r="F15" i="11" s="1"/>
  <c r="E14" i="11"/>
  <c r="F14" i="11" s="1"/>
  <c r="E13" i="11"/>
  <c r="F13" i="11" s="1"/>
  <c r="D120" i="10"/>
  <c r="E120" i="10"/>
  <c r="F120" i="10" s="1"/>
  <c r="C120" i="10"/>
  <c r="D119" i="10"/>
  <c r="E119" i="10"/>
  <c r="F119" i="10"/>
  <c r="C119" i="10"/>
  <c r="D118" i="10"/>
  <c r="E118" i="10" s="1"/>
  <c r="F118" i="10"/>
  <c r="C118" i="10"/>
  <c r="D117" i="10"/>
  <c r="E117" i="10"/>
  <c r="C117" i="10"/>
  <c r="F117" i="10" s="1"/>
  <c r="D116" i="10"/>
  <c r="E116" i="10" s="1"/>
  <c r="F116" i="10"/>
  <c r="C116" i="10"/>
  <c r="D115" i="10"/>
  <c r="C115" i="10"/>
  <c r="D114" i="10"/>
  <c r="C114" i="10"/>
  <c r="D113" i="10"/>
  <c r="D122" i="10"/>
  <c r="C113" i="10"/>
  <c r="C122" i="10"/>
  <c r="D112" i="10"/>
  <c r="C112" i="10"/>
  <c r="C121" i="10"/>
  <c r="D108" i="10"/>
  <c r="E108" i="10" s="1"/>
  <c r="F108" i="10"/>
  <c r="C108" i="10"/>
  <c r="D107" i="10"/>
  <c r="E107" i="10" s="1"/>
  <c r="C107" i="10"/>
  <c r="E106" i="10"/>
  <c r="F106" i="10" s="1"/>
  <c r="F105" i="10"/>
  <c r="E105" i="10"/>
  <c r="F104" i="10"/>
  <c r="E104" i="10"/>
  <c r="E103" i="10"/>
  <c r="F103" i="10" s="1"/>
  <c r="E102" i="10"/>
  <c r="F102" i="10" s="1"/>
  <c r="F101" i="10"/>
  <c r="E101" i="10"/>
  <c r="F100" i="10"/>
  <c r="E100" i="10"/>
  <c r="E99" i="10"/>
  <c r="F99" i="10" s="1"/>
  <c r="F98" i="10"/>
  <c r="E98" i="10"/>
  <c r="F96" i="10"/>
  <c r="D96" i="10"/>
  <c r="E96" i="10"/>
  <c r="C96" i="10"/>
  <c r="D95" i="10"/>
  <c r="C95" i="10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F84" i="10"/>
  <c r="D84" i="10"/>
  <c r="C84" i="10"/>
  <c r="E84" i="10" s="1"/>
  <c r="F83" i="10"/>
  <c r="D83" i="10"/>
  <c r="E83" i="10"/>
  <c r="C83" i="10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D72" i="10"/>
  <c r="E72" i="10" s="1"/>
  <c r="C72" i="10"/>
  <c r="F72" i="10" s="1"/>
  <c r="F71" i="10"/>
  <c r="D71" i="10"/>
  <c r="E71" i="10"/>
  <c r="C71" i="10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D60" i="10"/>
  <c r="E60" i="10"/>
  <c r="F60" i="10" s="1"/>
  <c r="C60" i="10"/>
  <c r="D59" i="10"/>
  <c r="E59" i="10" s="1"/>
  <c r="C59" i="10"/>
  <c r="E58" i="10"/>
  <c r="F58" i="10" s="1"/>
  <c r="F57" i="10"/>
  <c r="E57" i="10"/>
  <c r="F56" i="10"/>
  <c r="E56" i="10"/>
  <c r="E55" i="10"/>
  <c r="F55" i="10" s="1"/>
  <c r="E54" i="10"/>
  <c r="F54" i="10" s="1"/>
  <c r="F53" i="10"/>
  <c r="E53" i="10"/>
  <c r="F52" i="10"/>
  <c r="E52" i="10"/>
  <c r="E51" i="10"/>
  <c r="F51" i="10" s="1"/>
  <c r="F50" i="10"/>
  <c r="E50" i="10"/>
  <c r="F48" i="10"/>
  <c r="D48" i="10"/>
  <c r="E48" i="10"/>
  <c r="C48" i="10"/>
  <c r="D47" i="10"/>
  <c r="E47" i="10" s="1"/>
  <c r="C47" i="10"/>
  <c r="F47" i="10" s="1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D36" i="10"/>
  <c r="E36" i="10" s="1"/>
  <c r="C36" i="10"/>
  <c r="D35" i="10"/>
  <c r="E35" i="10"/>
  <c r="F35" i="10" s="1"/>
  <c r="C35" i="10"/>
  <c r="F34" i="10"/>
  <c r="E34" i="10"/>
  <c r="E33" i="10"/>
  <c r="F33" i="10" s="1"/>
  <c r="E32" i="10"/>
  <c r="F32" i="10" s="1"/>
  <c r="F31" i="10"/>
  <c r="E31" i="10"/>
  <c r="F30" i="10"/>
  <c r="E30" i="10"/>
  <c r="E29" i="10"/>
  <c r="F29" i="10" s="1"/>
  <c r="F28" i="10"/>
  <c r="E28" i="10"/>
  <c r="F27" i="10"/>
  <c r="E27" i="10"/>
  <c r="F26" i="10"/>
  <c r="E26" i="10"/>
  <c r="D24" i="10"/>
  <c r="E24" i="10"/>
  <c r="C24" i="10"/>
  <c r="F24" i="10" s="1"/>
  <c r="F23" i="10"/>
  <c r="D23" i="10"/>
  <c r="E23" i="10"/>
  <c r="C23" i="10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E206" i="9" s="1"/>
  <c r="F206" i="9" s="1"/>
  <c r="C206" i="9"/>
  <c r="D205" i="9"/>
  <c r="C205" i="9"/>
  <c r="D204" i="9"/>
  <c r="E204" i="9" s="1"/>
  <c r="F204" i="9" s="1"/>
  <c r="C204" i="9"/>
  <c r="D203" i="9"/>
  <c r="C203" i="9"/>
  <c r="D202" i="9"/>
  <c r="E202" i="9"/>
  <c r="F202" i="9" s="1"/>
  <c r="C202" i="9"/>
  <c r="D201" i="9"/>
  <c r="E201" i="9" s="1"/>
  <c r="C201" i="9"/>
  <c r="D200" i="9"/>
  <c r="E200" i="9"/>
  <c r="F200" i="9" s="1"/>
  <c r="C200" i="9"/>
  <c r="D199" i="9"/>
  <c r="C199" i="9"/>
  <c r="C208" i="9"/>
  <c r="D198" i="9"/>
  <c r="D207" i="9" s="1"/>
  <c r="E207" i="9" s="1"/>
  <c r="C198" i="9"/>
  <c r="C207" i="9" s="1"/>
  <c r="D193" i="9"/>
  <c r="E193" i="9"/>
  <c r="F193" i="9" s="1"/>
  <c r="C193" i="9"/>
  <c r="D192" i="9"/>
  <c r="E192" i="9" s="1"/>
  <c r="F192" i="9" s="1"/>
  <c r="C192" i="9"/>
  <c r="E191" i="9"/>
  <c r="F191" i="9" s="1"/>
  <c r="E190" i="9"/>
  <c r="F190" i="9" s="1"/>
  <c r="F189" i="9"/>
  <c r="E189" i="9"/>
  <c r="F188" i="9"/>
  <c r="E188" i="9"/>
  <c r="E187" i="9"/>
  <c r="F187" i="9" s="1"/>
  <c r="F186" i="9"/>
  <c r="E186" i="9"/>
  <c r="F185" i="9"/>
  <c r="E185" i="9"/>
  <c r="F184" i="9"/>
  <c r="E184" i="9"/>
  <c r="E183" i="9"/>
  <c r="F183" i="9" s="1"/>
  <c r="F180" i="9"/>
  <c r="D180" i="9"/>
  <c r="E180" i="9" s="1"/>
  <c r="C180" i="9"/>
  <c r="D179" i="9"/>
  <c r="C179" i="9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F167" i="9"/>
  <c r="D167" i="9"/>
  <c r="E167" i="9"/>
  <c r="C167" i="9"/>
  <c r="D166" i="9"/>
  <c r="C166" i="9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F154" i="9"/>
  <c r="D154" i="9"/>
  <c r="C154" i="9"/>
  <c r="E154" i="9" s="1"/>
  <c r="F153" i="9"/>
  <c r="D153" i="9"/>
  <c r="E153" i="9"/>
  <c r="C153" i="9"/>
  <c r="F152" i="9"/>
  <c r="E152" i="9"/>
  <c r="F151" i="9"/>
  <c r="E151" i="9"/>
  <c r="F150" i="9"/>
  <c r="E150" i="9"/>
  <c r="F149" i="9"/>
  <c r="E149" i="9"/>
  <c r="F148" i="9"/>
  <c r="E148" i="9"/>
  <c r="F147" i="9"/>
  <c r="E147" i="9"/>
  <c r="F146" i="9"/>
  <c r="E146" i="9"/>
  <c r="F145" i="9"/>
  <c r="E145" i="9"/>
  <c r="F144" i="9"/>
  <c r="E144" i="9"/>
  <c r="D141" i="9"/>
  <c r="C141" i="9"/>
  <c r="D140" i="9"/>
  <c r="E140" i="9" s="1"/>
  <c r="F140" i="9" s="1"/>
  <c r="C140" i="9"/>
  <c r="E139" i="9"/>
  <c r="F139" i="9" s="1"/>
  <c r="F138" i="9"/>
  <c r="E138" i="9"/>
  <c r="F137" i="9"/>
  <c r="E137" i="9"/>
  <c r="F136" i="9"/>
  <c r="E136" i="9"/>
  <c r="E135" i="9"/>
  <c r="F135" i="9" s="1"/>
  <c r="F134" i="9"/>
  <c r="E134" i="9"/>
  <c r="F133" i="9"/>
  <c r="E133" i="9"/>
  <c r="F132" i="9"/>
  <c r="E132" i="9"/>
  <c r="E131" i="9"/>
  <c r="F131" i="9" s="1"/>
  <c r="D128" i="9"/>
  <c r="E128" i="9"/>
  <c r="F128" i="9" s="1"/>
  <c r="C128" i="9"/>
  <c r="D127" i="9"/>
  <c r="C127" i="9"/>
  <c r="F126" i="9"/>
  <c r="E126" i="9"/>
  <c r="F125" i="9"/>
  <c r="E125" i="9"/>
  <c r="F124" i="9"/>
  <c r="E124" i="9"/>
  <c r="E123" i="9"/>
  <c r="F123" i="9" s="1"/>
  <c r="E122" i="9"/>
  <c r="F122" i="9" s="1"/>
  <c r="F121" i="9"/>
  <c r="E121" i="9"/>
  <c r="F120" i="9"/>
  <c r="E120" i="9"/>
  <c r="E119" i="9"/>
  <c r="F119" i="9" s="1"/>
  <c r="E118" i="9"/>
  <c r="F118" i="9" s="1"/>
  <c r="D115" i="9"/>
  <c r="E115" i="9" s="1"/>
  <c r="F115" i="9" s="1"/>
  <c r="C115" i="9"/>
  <c r="D114" i="9"/>
  <c r="E114" i="9"/>
  <c r="C114" i="9"/>
  <c r="F114" i="9" s="1"/>
  <c r="F113" i="9"/>
  <c r="E113" i="9"/>
  <c r="F112" i="9"/>
  <c r="E112" i="9"/>
  <c r="E111" i="9"/>
  <c r="F111" i="9" s="1"/>
  <c r="F110" i="9"/>
  <c r="E110" i="9"/>
  <c r="F109" i="9"/>
  <c r="E109" i="9"/>
  <c r="F108" i="9"/>
  <c r="E108" i="9"/>
  <c r="E107" i="9"/>
  <c r="F107" i="9" s="1"/>
  <c r="E106" i="9"/>
  <c r="F106" i="9" s="1"/>
  <c r="F105" i="9"/>
  <c r="E105" i="9"/>
  <c r="D102" i="9"/>
  <c r="E102" i="9" s="1"/>
  <c r="C102" i="9"/>
  <c r="D101" i="9"/>
  <c r="E101" i="9"/>
  <c r="F101" i="9"/>
  <c r="C101" i="9"/>
  <c r="F100" i="9"/>
  <c r="E100" i="9"/>
  <c r="E99" i="9"/>
  <c r="F99" i="9" s="1"/>
  <c r="F98" i="9"/>
  <c r="E98" i="9"/>
  <c r="F97" i="9"/>
  <c r="E97" i="9"/>
  <c r="F96" i="9"/>
  <c r="E96" i="9"/>
  <c r="E95" i="9"/>
  <c r="F95" i="9" s="1"/>
  <c r="F94" i="9"/>
  <c r="E94" i="9"/>
  <c r="F93" i="9"/>
  <c r="E93" i="9"/>
  <c r="F92" i="9"/>
  <c r="E92" i="9"/>
  <c r="D89" i="9"/>
  <c r="C89" i="9"/>
  <c r="D88" i="9"/>
  <c r="E88" i="9" s="1"/>
  <c r="F88" i="9"/>
  <c r="C88" i="9"/>
  <c r="F87" i="9"/>
  <c r="E87" i="9"/>
  <c r="E86" i="9"/>
  <c r="F86" i="9" s="1"/>
  <c r="F85" i="9"/>
  <c r="E85" i="9"/>
  <c r="F84" i="9"/>
  <c r="E84" i="9"/>
  <c r="F83" i="9"/>
  <c r="E83" i="9"/>
  <c r="E82" i="9"/>
  <c r="F82" i="9" s="1"/>
  <c r="F81" i="9"/>
  <c r="E81" i="9"/>
  <c r="F80" i="9"/>
  <c r="E80" i="9"/>
  <c r="F79" i="9"/>
  <c r="E79" i="9"/>
  <c r="D76" i="9"/>
  <c r="E76" i="9"/>
  <c r="F76" i="9" s="1"/>
  <c r="C76" i="9"/>
  <c r="D75" i="9"/>
  <c r="C75" i="9"/>
  <c r="F74" i="9"/>
  <c r="E74" i="9"/>
  <c r="F73" i="9"/>
  <c r="E73" i="9"/>
  <c r="F72" i="9"/>
  <c r="E72" i="9"/>
  <c r="E71" i="9"/>
  <c r="F71" i="9" s="1"/>
  <c r="F70" i="9"/>
  <c r="E70" i="9"/>
  <c r="F69" i="9"/>
  <c r="E69" i="9"/>
  <c r="F68" i="9"/>
  <c r="E68" i="9"/>
  <c r="E67" i="9"/>
  <c r="F67" i="9" s="1"/>
  <c r="E66" i="9"/>
  <c r="F66" i="9" s="1"/>
  <c r="F63" i="9"/>
  <c r="D63" i="9"/>
  <c r="E63" i="9"/>
  <c r="C63" i="9"/>
  <c r="D62" i="9"/>
  <c r="C62" i="9"/>
  <c r="F62" i="9" s="1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D50" i="9"/>
  <c r="C50" i="9"/>
  <c r="D49" i="9"/>
  <c r="E49" i="9"/>
  <c r="F49" i="9" s="1"/>
  <c r="C49" i="9"/>
  <c r="F48" i="9"/>
  <c r="E48" i="9"/>
  <c r="E47" i="9"/>
  <c r="F47" i="9" s="1"/>
  <c r="E46" i="9"/>
  <c r="F46" i="9" s="1"/>
  <c r="F45" i="9"/>
  <c r="E45" i="9"/>
  <c r="F44" i="9"/>
  <c r="E44" i="9"/>
  <c r="E43" i="9"/>
  <c r="F43" i="9" s="1"/>
  <c r="E42" i="9"/>
  <c r="F42" i="9" s="1"/>
  <c r="F41" i="9"/>
  <c r="E41" i="9"/>
  <c r="F40" i="9"/>
  <c r="E40" i="9"/>
  <c r="D37" i="9"/>
  <c r="E37" i="9" s="1"/>
  <c r="C37" i="9"/>
  <c r="F37" i="9" s="1"/>
  <c r="F36" i="9"/>
  <c r="D36" i="9"/>
  <c r="E36" i="9"/>
  <c r="C36" i="9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D24" i="9"/>
  <c r="C24" i="9"/>
  <c r="D23" i="9"/>
  <c r="E23" i="9" s="1"/>
  <c r="C23" i="9"/>
  <c r="F22" i="9"/>
  <c r="E22" i="9"/>
  <c r="F21" i="9"/>
  <c r="E21" i="9"/>
  <c r="F20" i="9"/>
  <c r="E20" i="9"/>
  <c r="F19" i="9"/>
  <c r="E19" i="9"/>
  <c r="F18" i="9"/>
  <c r="E18" i="9"/>
  <c r="F17" i="9"/>
  <c r="E17" i="9"/>
  <c r="F16" i="9"/>
  <c r="E16" i="9"/>
  <c r="F15" i="9"/>
  <c r="E15" i="9"/>
  <c r="F14" i="9"/>
  <c r="E14" i="9"/>
  <c r="E191" i="8"/>
  <c r="D191" i="8"/>
  <c r="C191" i="8"/>
  <c r="E176" i="8"/>
  <c r="D176" i="8"/>
  <c r="C176" i="8"/>
  <c r="E164" i="8"/>
  <c r="E160" i="8" s="1"/>
  <c r="D164" i="8"/>
  <c r="D160" i="8"/>
  <c r="C164" i="8"/>
  <c r="E162" i="8"/>
  <c r="D162" i="8"/>
  <c r="C162" i="8"/>
  <c r="E161" i="8"/>
  <c r="D161" i="8"/>
  <c r="C161" i="8"/>
  <c r="C160" i="8"/>
  <c r="C166" i="8"/>
  <c r="E147" i="8"/>
  <c r="D147" i="8"/>
  <c r="D143" i="8" s="1"/>
  <c r="D149" i="8" s="1"/>
  <c r="C147" i="8"/>
  <c r="C143" i="8" s="1"/>
  <c r="E145" i="8"/>
  <c r="D145" i="8"/>
  <c r="C145" i="8"/>
  <c r="E144" i="8"/>
  <c r="D144" i="8"/>
  <c r="C144" i="8"/>
  <c r="E143" i="8"/>
  <c r="E149" i="8" s="1"/>
  <c r="E126" i="8"/>
  <c r="D126" i="8"/>
  <c r="C126" i="8"/>
  <c r="E119" i="8"/>
  <c r="D119" i="8"/>
  <c r="C119" i="8"/>
  <c r="E108" i="8"/>
  <c r="D108" i="8"/>
  <c r="C108" i="8"/>
  <c r="E107" i="8"/>
  <c r="E109" i="8"/>
  <c r="E106" i="8" s="1"/>
  <c r="D107" i="8"/>
  <c r="D109" i="8" s="1"/>
  <c r="D106" i="8" s="1"/>
  <c r="C107" i="8"/>
  <c r="C109" i="8" s="1"/>
  <c r="C106" i="8" s="1"/>
  <c r="C104" i="8"/>
  <c r="E102" i="8"/>
  <c r="E104" i="8" s="1"/>
  <c r="D102" i="8"/>
  <c r="D104" i="8" s="1"/>
  <c r="C102" i="8"/>
  <c r="E100" i="8"/>
  <c r="D100" i="8"/>
  <c r="C100" i="8"/>
  <c r="E95" i="8"/>
  <c r="E94" i="8" s="1"/>
  <c r="D95" i="8"/>
  <c r="C95" i="8"/>
  <c r="C94" i="8"/>
  <c r="D94" i="8"/>
  <c r="E89" i="8"/>
  <c r="D89" i="8"/>
  <c r="D90" i="8" s="1"/>
  <c r="C89" i="8"/>
  <c r="E87" i="8"/>
  <c r="D87" i="8"/>
  <c r="C87" i="8"/>
  <c r="E84" i="8"/>
  <c r="D84" i="8"/>
  <c r="D79" i="8" s="1"/>
  <c r="C84" i="8"/>
  <c r="E83" i="8"/>
  <c r="E79" i="8" s="1"/>
  <c r="D83" i="8"/>
  <c r="C83" i="8"/>
  <c r="C79" i="8" s="1"/>
  <c r="C77" i="8"/>
  <c r="C71" i="8"/>
  <c r="E75" i="8"/>
  <c r="D75" i="8"/>
  <c r="D88" i="8" s="1"/>
  <c r="D86" i="8"/>
  <c r="C75" i="8"/>
  <c r="C88" i="8" s="1"/>
  <c r="E74" i="8"/>
  <c r="D74" i="8"/>
  <c r="C74" i="8"/>
  <c r="E67" i="8"/>
  <c r="D67" i="8"/>
  <c r="C67" i="8"/>
  <c r="E38" i="8"/>
  <c r="D38" i="8"/>
  <c r="C38" i="8"/>
  <c r="C57" i="8"/>
  <c r="C62" i="8" s="1"/>
  <c r="E33" i="8"/>
  <c r="E34" i="8"/>
  <c r="D33" i="8"/>
  <c r="D34" i="8" s="1"/>
  <c r="E26" i="8"/>
  <c r="D26" i="8"/>
  <c r="C26" i="8"/>
  <c r="E25" i="8"/>
  <c r="E27" i="8" s="1"/>
  <c r="E15" i="8"/>
  <c r="E24" i="8" s="1"/>
  <c r="E20" i="8" s="1"/>
  <c r="C24" i="8"/>
  <c r="E13" i="8"/>
  <c r="D13" i="8"/>
  <c r="D25" i="8"/>
  <c r="D27" i="8" s="1"/>
  <c r="C13" i="8"/>
  <c r="C15" i="8" s="1"/>
  <c r="F186" i="7"/>
  <c r="E186" i="7"/>
  <c r="D183" i="7"/>
  <c r="C183" i="7"/>
  <c r="C188" i="7"/>
  <c r="F182" i="7"/>
  <c r="E182" i="7"/>
  <c r="E181" i="7"/>
  <c r="F181" i="7" s="1"/>
  <c r="F180" i="7"/>
  <c r="E180" i="7"/>
  <c r="F179" i="7"/>
  <c r="E179" i="7"/>
  <c r="F178" i="7"/>
  <c r="E178" i="7"/>
  <c r="E177" i="7"/>
  <c r="F177" i="7" s="1"/>
  <c r="F176" i="7"/>
  <c r="E176" i="7"/>
  <c r="F175" i="7"/>
  <c r="E175" i="7"/>
  <c r="F174" i="7"/>
  <c r="E174" i="7"/>
  <c r="E173" i="7"/>
  <c r="F173" i="7" s="1"/>
  <c r="F172" i="7"/>
  <c r="E172" i="7"/>
  <c r="E171" i="7"/>
  <c r="F171" i="7" s="1"/>
  <c r="F170" i="7"/>
  <c r="E170" i="7"/>
  <c r="D167" i="7"/>
  <c r="E167" i="7"/>
  <c r="F167" i="7" s="1"/>
  <c r="C167" i="7"/>
  <c r="E166" i="7"/>
  <c r="F166" i="7" s="1"/>
  <c r="F165" i="7"/>
  <c r="E165" i="7"/>
  <c r="E164" i="7"/>
  <c r="F164" i="7" s="1"/>
  <c r="F163" i="7"/>
  <c r="E163" i="7"/>
  <c r="F162" i="7"/>
  <c r="E162" i="7"/>
  <c r="F161" i="7"/>
  <c r="E161" i="7"/>
  <c r="E160" i="7"/>
  <c r="F160" i="7" s="1"/>
  <c r="F159" i="7"/>
  <c r="E159" i="7"/>
  <c r="E158" i="7"/>
  <c r="F158" i="7" s="1"/>
  <c r="F157" i="7"/>
  <c r="E157" i="7"/>
  <c r="E156" i="7"/>
  <c r="F156" i="7" s="1"/>
  <c r="F155" i="7"/>
  <c r="E155" i="7"/>
  <c r="F154" i="7"/>
  <c r="E154" i="7"/>
  <c r="F153" i="7"/>
  <c r="E153" i="7"/>
  <c r="E152" i="7"/>
  <c r="F152" i="7" s="1"/>
  <c r="F151" i="7"/>
  <c r="E151" i="7"/>
  <c r="F150" i="7"/>
  <c r="E150" i="7"/>
  <c r="F149" i="7"/>
  <c r="E149" i="7"/>
  <c r="F148" i="7"/>
  <c r="E148" i="7"/>
  <c r="F147" i="7"/>
  <c r="E147" i="7"/>
  <c r="F146" i="7"/>
  <c r="E146" i="7"/>
  <c r="F145" i="7"/>
  <c r="E145" i="7"/>
  <c r="F144" i="7"/>
  <c r="E144" i="7"/>
  <c r="F143" i="7"/>
  <c r="E143" i="7"/>
  <c r="F142" i="7"/>
  <c r="E142" i="7"/>
  <c r="F141" i="7"/>
  <c r="E141" i="7"/>
  <c r="E140" i="7"/>
  <c r="F140" i="7" s="1"/>
  <c r="F139" i="7"/>
  <c r="E139" i="7"/>
  <c r="E138" i="7"/>
  <c r="F138" i="7" s="1"/>
  <c r="F137" i="7"/>
  <c r="E137" i="7"/>
  <c r="E136" i="7"/>
  <c r="F136" i="7" s="1"/>
  <c r="F135" i="7"/>
  <c r="E135" i="7"/>
  <c r="F134" i="7"/>
  <c r="E134" i="7"/>
  <c r="F133" i="7"/>
  <c r="E133" i="7"/>
  <c r="D130" i="7"/>
  <c r="E130" i="7"/>
  <c r="F130" i="7"/>
  <c r="C130" i="7"/>
  <c r="F129" i="7"/>
  <c r="E129" i="7"/>
  <c r="F128" i="7"/>
  <c r="E128" i="7"/>
  <c r="E127" i="7"/>
  <c r="F127" i="7" s="1"/>
  <c r="F126" i="7"/>
  <c r="E126" i="7"/>
  <c r="F125" i="7"/>
  <c r="E125" i="7"/>
  <c r="F124" i="7"/>
  <c r="E124" i="7"/>
  <c r="D121" i="7"/>
  <c r="E121" i="7"/>
  <c r="F121" i="7"/>
  <c r="C121" i="7"/>
  <c r="F120" i="7"/>
  <c r="E120" i="7"/>
  <c r="F119" i="7"/>
  <c r="E119" i="7"/>
  <c r="E118" i="7"/>
  <c r="F118" i="7" s="1"/>
  <c r="F117" i="7"/>
  <c r="E117" i="7"/>
  <c r="E116" i="7"/>
  <c r="F116" i="7" s="1"/>
  <c r="F115" i="7"/>
  <c r="E115" i="7"/>
  <c r="E114" i="7"/>
  <c r="F114" i="7" s="1"/>
  <c r="F113" i="7"/>
  <c r="E113" i="7"/>
  <c r="E112" i="7"/>
  <c r="F112" i="7" s="1"/>
  <c r="F111" i="7"/>
  <c r="E111" i="7"/>
  <c r="E110" i="7"/>
  <c r="F110" i="7" s="1"/>
  <c r="F109" i="7"/>
  <c r="E109" i="7"/>
  <c r="E108" i="7"/>
  <c r="F108" i="7" s="1"/>
  <c r="F107" i="7"/>
  <c r="E107" i="7"/>
  <c r="E106" i="7"/>
  <c r="F106" i="7" s="1"/>
  <c r="F105" i="7"/>
  <c r="E105" i="7"/>
  <c r="F104" i="7"/>
  <c r="E104" i="7"/>
  <c r="F103" i="7"/>
  <c r="E103" i="7"/>
  <c r="F93" i="7"/>
  <c r="E93" i="7"/>
  <c r="D90" i="7"/>
  <c r="C90" i="7"/>
  <c r="E89" i="7"/>
  <c r="F89" i="7" s="1"/>
  <c r="F88" i="7"/>
  <c r="E88" i="7"/>
  <c r="F87" i="7"/>
  <c r="E87" i="7"/>
  <c r="E86" i="7"/>
  <c r="F86" i="7" s="1"/>
  <c r="E85" i="7"/>
  <c r="F85" i="7" s="1"/>
  <c r="F84" i="7"/>
  <c r="E84" i="7"/>
  <c r="E83" i="7"/>
  <c r="F83" i="7" s="1"/>
  <c r="E82" i="7"/>
  <c r="F82" i="7" s="1"/>
  <c r="F81" i="7"/>
  <c r="E81" i="7"/>
  <c r="E80" i="7"/>
  <c r="F80" i="7" s="1"/>
  <c r="E79" i="7"/>
  <c r="F79" i="7" s="1"/>
  <c r="F78" i="7"/>
  <c r="E78" i="7"/>
  <c r="F77" i="7"/>
  <c r="E77" i="7"/>
  <c r="F76" i="7"/>
  <c r="E76" i="7"/>
  <c r="E75" i="7"/>
  <c r="F75" i="7" s="1"/>
  <c r="F74" i="7"/>
  <c r="E74" i="7"/>
  <c r="E73" i="7"/>
  <c r="F73" i="7" s="1"/>
  <c r="E72" i="7"/>
  <c r="F72" i="7" s="1"/>
  <c r="E71" i="7"/>
  <c r="F71" i="7" s="1"/>
  <c r="E70" i="7"/>
  <c r="F70" i="7" s="1"/>
  <c r="E69" i="7"/>
  <c r="F69" i="7" s="1"/>
  <c r="F68" i="7"/>
  <c r="E68" i="7"/>
  <c r="E67" i="7"/>
  <c r="F67" i="7" s="1"/>
  <c r="E66" i="7"/>
  <c r="F66" i="7" s="1"/>
  <c r="E65" i="7"/>
  <c r="F65" i="7" s="1"/>
  <c r="F64" i="7"/>
  <c r="E64" i="7"/>
  <c r="E63" i="7"/>
  <c r="F63" i="7" s="1"/>
  <c r="E62" i="7"/>
  <c r="F62" i="7" s="1"/>
  <c r="D59" i="7"/>
  <c r="F59" i="7"/>
  <c r="C59" i="7"/>
  <c r="E59" i="7" s="1"/>
  <c r="F58" i="7"/>
  <c r="E58" i="7"/>
  <c r="F57" i="7"/>
  <c r="E57" i="7"/>
  <c r="E56" i="7"/>
  <c r="F56" i="7" s="1"/>
  <c r="F55" i="7"/>
  <c r="E55" i="7"/>
  <c r="E54" i="7"/>
  <c r="F54" i="7" s="1"/>
  <c r="F53" i="7"/>
  <c r="E53" i="7"/>
  <c r="E50" i="7"/>
  <c r="F50" i="7" s="1"/>
  <c r="E47" i="7"/>
  <c r="F47" i="7" s="1"/>
  <c r="E44" i="7"/>
  <c r="F44" i="7" s="1"/>
  <c r="D41" i="7"/>
  <c r="E41" i="7" s="1"/>
  <c r="C41" i="7"/>
  <c r="F40" i="7"/>
  <c r="E40" i="7"/>
  <c r="E39" i="7"/>
  <c r="F39" i="7" s="1"/>
  <c r="E38" i="7"/>
  <c r="F38" i="7" s="1"/>
  <c r="D35" i="7"/>
  <c r="C35" i="7"/>
  <c r="E34" i="7"/>
  <c r="F34" i="7" s="1"/>
  <c r="F33" i="7"/>
  <c r="E33" i="7"/>
  <c r="D30" i="7"/>
  <c r="C30" i="7"/>
  <c r="E29" i="7"/>
  <c r="F29" i="7" s="1"/>
  <c r="F28" i="7"/>
  <c r="E28" i="7"/>
  <c r="E27" i="7"/>
  <c r="F27" i="7" s="1"/>
  <c r="D24" i="7"/>
  <c r="C24" i="7"/>
  <c r="F23" i="7"/>
  <c r="E23" i="7"/>
  <c r="F22" i="7"/>
  <c r="E22" i="7"/>
  <c r="F21" i="7"/>
  <c r="E21" i="7"/>
  <c r="D18" i="7"/>
  <c r="E18" i="7"/>
  <c r="F18" i="7" s="1"/>
  <c r="C18" i="7"/>
  <c r="F17" i="7"/>
  <c r="E17" i="7"/>
  <c r="F16" i="7"/>
  <c r="E16" i="7"/>
  <c r="E15" i="7"/>
  <c r="F15" i="7" s="1"/>
  <c r="D179" i="6"/>
  <c r="E179" i="6" s="1"/>
  <c r="F179" i="6" s="1"/>
  <c r="C179" i="6"/>
  <c r="E178" i="6"/>
  <c r="F178" i="6" s="1"/>
  <c r="F177" i="6"/>
  <c r="E177" i="6"/>
  <c r="E176" i="6"/>
  <c r="F176" i="6" s="1"/>
  <c r="F175" i="6"/>
  <c r="E175" i="6"/>
  <c r="E174" i="6"/>
  <c r="F174" i="6" s="1"/>
  <c r="F173" i="6"/>
  <c r="E173" i="6"/>
  <c r="F172" i="6"/>
  <c r="E172" i="6"/>
  <c r="F171" i="6"/>
  <c r="E171" i="6"/>
  <c r="E170" i="6"/>
  <c r="F170" i="6" s="1"/>
  <c r="F169" i="6"/>
  <c r="E169" i="6"/>
  <c r="E168" i="6"/>
  <c r="F168" i="6" s="1"/>
  <c r="D166" i="6"/>
  <c r="E166" i="6" s="1"/>
  <c r="C166" i="6"/>
  <c r="F165" i="6"/>
  <c r="E165" i="6"/>
  <c r="F164" i="6"/>
  <c r="E164" i="6"/>
  <c r="F163" i="6"/>
  <c r="E163" i="6"/>
  <c r="E162" i="6"/>
  <c r="F162" i="6" s="1"/>
  <c r="F161" i="6"/>
  <c r="E161" i="6"/>
  <c r="F160" i="6"/>
  <c r="E160" i="6"/>
  <c r="F159" i="6"/>
  <c r="E159" i="6"/>
  <c r="E158" i="6"/>
  <c r="F158" i="6" s="1"/>
  <c r="F157" i="6"/>
  <c r="E157" i="6"/>
  <c r="E156" i="6"/>
  <c r="F156" i="6" s="1"/>
  <c r="F155" i="6"/>
  <c r="E155" i="6"/>
  <c r="D153" i="6"/>
  <c r="E153" i="6"/>
  <c r="F153" i="6" s="1"/>
  <c r="C153" i="6"/>
  <c r="E152" i="6"/>
  <c r="F152" i="6" s="1"/>
  <c r="F151" i="6"/>
  <c r="E151" i="6"/>
  <c r="E150" i="6"/>
  <c r="F150" i="6" s="1"/>
  <c r="F149" i="6"/>
  <c r="E149" i="6"/>
  <c r="E148" i="6"/>
  <c r="F148" i="6" s="1"/>
  <c r="F147" i="6"/>
  <c r="E147" i="6"/>
  <c r="E146" i="6"/>
  <c r="F146" i="6" s="1"/>
  <c r="F145" i="6"/>
  <c r="E145" i="6"/>
  <c r="F144" i="6"/>
  <c r="E144" i="6"/>
  <c r="F143" i="6"/>
  <c r="E143" i="6"/>
  <c r="E142" i="6"/>
  <c r="F142" i="6" s="1"/>
  <c r="D137" i="6"/>
  <c r="E137" i="6" s="1"/>
  <c r="F137" i="6"/>
  <c r="C137" i="6"/>
  <c r="F136" i="6"/>
  <c r="E136" i="6"/>
  <c r="F135" i="6"/>
  <c r="E135" i="6"/>
  <c r="F134" i="6"/>
  <c r="E134" i="6"/>
  <c r="F133" i="6"/>
  <c r="E133" i="6"/>
  <c r="F132" i="6"/>
  <c r="E132" i="6"/>
  <c r="E131" i="6"/>
  <c r="F131" i="6" s="1"/>
  <c r="F130" i="6"/>
  <c r="E130" i="6"/>
  <c r="E129" i="6"/>
  <c r="F129" i="6" s="1"/>
  <c r="F128" i="6"/>
  <c r="E128" i="6"/>
  <c r="E127" i="6"/>
  <c r="F127" i="6" s="1"/>
  <c r="F126" i="6"/>
  <c r="E126" i="6"/>
  <c r="D124" i="6"/>
  <c r="E124" i="6"/>
  <c r="F124" i="6"/>
  <c r="C124" i="6"/>
  <c r="E123" i="6"/>
  <c r="F123" i="6" s="1"/>
  <c r="F122" i="6"/>
  <c r="E122" i="6"/>
  <c r="F121" i="6"/>
  <c r="E121" i="6"/>
  <c r="F120" i="6"/>
  <c r="E120" i="6"/>
  <c r="E119" i="6"/>
  <c r="F119" i="6" s="1"/>
  <c r="F118" i="6"/>
  <c r="E118" i="6"/>
  <c r="F117" i="6"/>
  <c r="E117" i="6"/>
  <c r="F116" i="6"/>
  <c r="E116" i="6"/>
  <c r="E115" i="6"/>
  <c r="F115" i="6" s="1"/>
  <c r="F114" i="6"/>
  <c r="E114" i="6"/>
  <c r="E113" i="6"/>
  <c r="F113" i="6" s="1"/>
  <c r="D111" i="6"/>
  <c r="E111" i="6" s="1"/>
  <c r="C111" i="6"/>
  <c r="F110" i="6"/>
  <c r="E110" i="6"/>
  <c r="F109" i="6"/>
  <c r="E109" i="6"/>
  <c r="E108" i="6"/>
  <c r="F108" i="6" s="1"/>
  <c r="E107" i="6"/>
  <c r="F107" i="6" s="1"/>
  <c r="F106" i="6"/>
  <c r="E106" i="6"/>
  <c r="E105" i="6"/>
  <c r="F105" i="6" s="1"/>
  <c r="F104" i="6"/>
  <c r="E104" i="6"/>
  <c r="F103" i="6"/>
  <c r="E103" i="6"/>
  <c r="F102" i="6"/>
  <c r="E102" i="6"/>
  <c r="E101" i="6"/>
  <c r="F101" i="6" s="1"/>
  <c r="F100" i="6"/>
  <c r="E100" i="6"/>
  <c r="D94" i="6"/>
  <c r="E94" i="6"/>
  <c r="F94" i="6" s="1"/>
  <c r="C94" i="6"/>
  <c r="F93" i="6"/>
  <c r="D93" i="6"/>
  <c r="E93" i="6" s="1"/>
  <c r="C93" i="6"/>
  <c r="D92" i="6"/>
  <c r="E92" i="6" s="1"/>
  <c r="F92" i="6" s="1"/>
  <c r="C92" i="6"/>
  <c r="D91" i="6"/>
  <c r="E91" i="6"/>
  <c r="C91" i="6"/>
  <c r="D90" i="6"/>
  <c r="E90" i="6"/>
  <c r="F90" i="6" s="1"/>
  <c r="C90" i="6"/>
  <c r="D89" i="6"/>
  <c r="E89" i="6"/>
  <c r="C89" i="6"/>
  <c r="F89" i="6" s="1"/>
  <c r="D88" i="6"/>
  <c r="E88" i="6" s="1"/>
  <c r="F88" i="6" s="1"/>
  <c r="C88" i="6"/>
  <c r="D87" i="6"/>
  <c r="E87" i="6"/>
  <c r="C87" i="6"/>
  <c r="D86" i="6"/>
  <c r="E86" i="6" s="1"/>
  <c r="F86" i="6" s="1"/>
  <c r="C86" i="6"/>
  <c r="D85" i="6"/>
  <c r="E85" i="6"/>
  <c r="C85" i="6"/>
  <c r="F85" i="6" s="1"/>
  <c r="D84" i="6"/>
  <c r="C84" i="6"/>
  <c r="D81" i="6"/>
  <c r="E81" i="6" s="1"/>
  <c r="F81" i="6" s="1"/>
  <c r="C81" i="6"/>
  <c r="E80" i="6"/>
  <c r="F80" i="6" s="1"/>
  <c r="F79" i="6"/>
  <c r="E79" i="6"/>
  <c r="E78" i="6"/>
  <c r="F78" i="6" s="1"/>
  <c r="F77" i="6"/>
  <c r="E77" i="6"/>
  <c r="E76" i="6"/>
  <c r="F76" i="6" s="1"/>
  <c r="F75" i="6"/>
  <c r="E75" i="6"/>
  <c r="E74" i="6"/>
  <c r="F74" i="6" s="1"/>
  <c r="F73" i="6"/>
  <c r="E73" i="6"/>
  <c r="E72" i="6"/>
  <c r="F72" i="6" s="1"/>
  <c r="F71" i="6"/>
  <c r="E71" i="6"/>
  <c r="F70" i="6"/>
  <c r="E70" i="6"/>
  <c r="D68" i="6"/>
  <c r="C68" i="6"/>
  <c r="F67" i="6"/>
  <c r="E67" i="6"/>
  <c r="F66" i="6"/>
  <c r="E66" i="6"/>
  <c r="F65" i="6"/>
  <c r="E65" i="6"/>
  <c r="E64" i="6"/>
  <c r="F64" i="6" s="1"/>
  <c r="F63" i="6"/>
  <c r="E63" i="6"/>
  <c r="E62" i="6"/>
  <c r="F62" i="6" s="1"/>
  <c r="F61" i="6"/>
  <c r="E61" i="6"/>
  <c r="E60" i="6"/>
  <c r="F60" i="6" s="1"/>
  <c r="F59" i="6"/>
  <c r="E59" i="6"/>
  <c r="F58" i="6"/>
  <c r="E58" i="6"/>
  <c r="F57" i="6"/>
  <c r="E57" i="6"/>
  <c r="D51" i="6"/>
  <c r="E51" i="6"/>
  <c r="F51" i="6"/>
  <c r="C51" i="6"/>
  <c r="F50" i="6"/>
  <c r="D50" i="6"/>
  <c r="E50" i="6"/>
  <c r="C50" i="6"/>
  <c r="D49" i="6"/>
  <c r="E49" i="6"/>
  <c r="F49" i="6"/>
  <c r="C49" i="6"/>
  <c r="D48" i="6"/>
  <c r="E48" i="6" s="1"/>
  <c r="F48" i="6" s="1"/>
  <c r="C48" i="6"/>
  <c r="D47" i="6"/>
  <c r="E47" i="6"/>
  <c r="F47" i="6"/>
  <c r="C47" i="6"/>
  <c r="D46" i="6"/>
  <c r="E46" i="6" s="1"/>
  <c r="F46" i="6" s="1"/>
  <c r="C46" i="6"/>
  <c r="D45" i="6"/>
  <c r="E45" i="6"/>
  <c r="F45" i="6"/>
  <c r="C45" i="6"/>
  <c r="D44" i="6"/>
  <c r="E44" i="6" s="1"/>
  <c r="F44" i="6" s="1"/>
  <c r="C44" i="6"/>
  <c r="D43" i="6"/>
  <c r="E43" i="6"/>
  <c r="F43" i="6"/>
  <c r="C43" i="6"/>
  <c r="D42" i="6"/>
  <c r="C42" i="6"/>
  <c r="D41" i="6"/>
  <c r="C41" i="6"/>
  <c r="C52" i="6"/>
  <c r="D38" i="6"/>
  <c r="E38" i="6"/>
  <c r="C38" i="6"/>
  <c r="F38" i="6" s="1"/>
  <c r="F37" i="6"/>
  <c r="E37" i="6"/>
  <c r="F36" i="6"/>
  <c r="E36" i="6"/>
  <c r="F35" i="6"/>
  <c r="E35" i="6"/>
  <c r="E34" i="6"/>
  <c r="F34" i="6" s="1"/>
  <c r="F33" i="6"/>
  <c r="E33" i="6"/>
  <c r="E32" i="6"/>
  <c r="F32" i="6" s="1"/>
  <c r="F31" i="6"/>
  <c r="E31" i="6"/>
  <c r="F30" i="6"/>
  <c r="E30" i="6"/>
  <c r="E29" i="6"/>
  <c r="F29" i="6" s="1"/>
  <c r="E28" i="6"/>
  <c r="F28" i="6" s="1"/>
  <c r="E27" i="6"/>
  <c r="F27" i="6" s="1"/>
  <c r="D25" i="6"/>
  <c r="E25" i="6"/>
  <c r="C25" i="6"/>
  <c r="E24" i="6"/>
  <c r="F24" i="6" s="1"/>
  <c r="F23" i="6"/>
  <c r="E23" i="6"/>
  <c r="F22" i="6"/>
  <c r="E22" i="6"/>
  <c r="F21" i="6"/>
  <c r="E21" i="6"/>
  <c r="E20" i="6"/>
  <c r="F20" i="6" s="1"/>
  <c r="F19" i="6"/>
  <c r="E19" i="6"/>
  <c r="E18" i="6"/>
  <c r="F18" i="6" s="1"/>
  <c r="F17" i="6"/>
  <c r="E17" i="6"/>
  <c r="E16" i="6"/>
  <c r="F16" i="6" s="1"/>
  <c r="E15" i="6"/>
  <c r="F15" i="6" s="1"/>
  <c r="F14" i="6"/>
  <c r="E14" i="6"/>
  <c r="E51" i="5"/>
  <c r="F51" i="5" s="1"/>
  <c r="D48" i="5"/>
  <c r="C48" i="5"/>
  <c r="F47" i="5"/>
  <c r="E47" i="5"/>
  <c r="F46" i="5"/>
  <c r="E46" i="5"/>
  <c r="D41" i="5"/>
  <c r="C41" i="5"/>
  <c r="F40" i="5"/>
  <c r="E40" i="5"/>
  <c r="F39" i="5"/>
  <c r="E39" i="5"/>
  <c r="E38" i="5"/>
  <c r="F38" i="5" s="1"/>
  <c r="D33" i="5"/>
  <c r="E33" i="5" s="1"/>
  <c r="C33" i="5"/>
  <c r="F33" i="5" s="1"/>
  <c r="E32" i="5"/>
  <c r="F32" i="5" s="1"/>
  <c r="E31" i="5"/>
  <c r="F31" i="5" s="1"/>
  <c r="F30" i="5"/>
  <c r="E30" i="5"/>
  <c r="E29" i="5"/>
  <c r="F29" i="5" s="1"/>
  <c r="F28" i="5"/>
  <c r="E28" i="5"/>
  <c r="E27" i="5"/>
  <c r="F27" i="5" s="1"/>
  <c r="E26" i="5"/>
  <c r="F26" i="5" s="1"/>
  <c r="F25" i="5"/>
  <c r="E25" i="5"/>
  <c r="E24" i="5"/>
  <c r="F24" i="5" s="1"/>
  <c r="F20" i="5"/>
  <c r="E20" i="5"/>
  <c r="E19" i="5"/>
  <c r="F19" i="5" s="1"/>
  <c r="F17" i="5"/>
  <c r="E17" i="5"/>
  <c r="D16" i="5"/>
  <c r="D18" i="5"/>
  <c r="D21" i="5" s="1"/>
  <c r="D35" i="5" s="1"/>
  <c r="C16" i="5"/>
  <c r="C18" i="5"/>
  <c r="F15" i="5"/>
  <c r="E15" i="5"/>
  <c r="E14" i="5"/>
  <c r="F14" i="5" s="1"/>
  <c r="E13" i="5"/>
  <c r="F13" i="5" s="1"/>
  <c r="E12" i="5"/>
  <c r="F12" i="5" s="1"/>
  <c r="D73" i="4"/>
  <c r="C73" i="4"/>
  <c r="E72" i="4"/>
  <c r="F72" i="4" s="1"/>
  <c r="F71" i="4"/>
  <c r="E71" i="4"/>
  <c r="E70" i="4"/>
  <c r="F70" i="4" s="1"/>
  <c r="F67" i="4"/>
  <c r="E67" i="4"/>
  <c r="E64" i="4"/>
  <c r="F64" i="4" s="1"/>
  <c r="F63" i="4"/>
  <c r="E63" i="4"/>
  <c r="D61" i="4"/>
  <c r="D65" i="4"/>
  <c r="C61" i="4"/>
  <c r="E60" i="4"/>
  <c r="F60" i="4" s="1"/>
  <c r="E59" i="4"/>
  <c r="F59" i="4" s="1"/>
  <c r="D56" i="4"/>
  <c r="D75" i="4"/>
  <c r="C56" i="4"/>
  <c r="F55" i="4"/>
  <c r="E55" i="4"/>
  <c r="E54" i="4"/>
  <c r="F54" i="4" s="1"/>
  <c r="E53" i="4"/>
  <c r="F53" i="4" s="1"/>
  <c r="E52" i="4"/>
  <c r="F52" i="4" s="1"/>
  <c r="F51" i="4"/>
  <c r="E51" i="4"/>
  <c r="A51" i="4"/>
  <c r="A52" i="4" s="1"/>
  <c r="A53" i="4" s="1"/>
  <c r="A54" i="4" s="1"/>
  <c r="A55" i="4" s="1"/>
  <c r="E50" i="4"/>
  <c r="F50" i="4" s="1"/>
  <c r="A50" i="4"/>
  <c r="F49" i="4"/>
  <c r="E49" i="4"/>
  <c r="E40" i="4"/>
  <c r="F40" i="4" s="1"/>
  <c r="D38" i="4"/>
  <c r="D41" i="4" s="1"/>
  <c r="C38" i="4"/>
  <c r="C41" i="4" s="1"/>
  <c r="E37" i="4"/>
  <c r="F37" i="4" s="1"/>
  <c r="E36" i="4"/>
  <c r="F36" i="4" s="1"/>
  <c r="E33" i="4"/>
  <c r="F33" i="4" s="1"/>
  <c r="F32" i="4"/>
  <c r="E32" i="4"/>
  <c r="E31" i="4"/>
  <c r="F31" i="4" s="1"/>
  <c r="D29" i="4"/>
  <c r="C29" i="4"/>
  <c r="F28" i="4"/>
  <c r="E28" i="4"/>
  <c r="F27" i="4"/>
  <c r="E27" i="4"/>
  <c r="F26" i="4"/>
  <c r="E26" i="4"/>
  <c r="E25" i="4"/>
  <c r="F25" i="4" s="1"/>
  <c r="D22" i="4"/>
  <c r="C22" i="4"/>
  <c r="F21" i="4"/>
  <c r="E21" i="4"/>
  <c r="E20" i="4"/>
  <c r="F20" i="4" s="1"/>
  <c r="F19" i="4"/>
  <c r="E19" i="4"/>
  <c r="E18" i="4"/>
  <c r="F18" i="4" s="1"/>
  <c r="F17" i="4"/>
  <c r="E17" i="4"/>
  <c r="F16" i="4"/>
  <c r="E16" i="4"/>
  <c r="F15" i="4"/>
  <c r="E15" i="4"/>
  <c r="E14" i="4"/>
  <c r="F14" i="4" s="1"/>
  <c r="F13" i="4"/>
  <c r="E13" i="4"/>
  <c r="D108" i="22"/>
  <c r="D109" i="22"/>
  <c r="C109" i="22"/>
  <c r="C103" i="22"/>
  <c r="D22" i="22"/>
  <c r="C23" i="22"/>
  <c r="E23" i="22"/>
  <c r="D33" i="22"/>
  <c r="C34" i="22"/>
  <c r="E34" i="22"/>
  <c r="D101" i="22"/>
  <c r="D103" i="22"/>
  <c r="C102" i="22"/>
  <c r="C22" i="22"/>
  <c r="E22" i="22"/>
  <c r="D36" i="22"/>
  <c r="F229" i="17"/>
  <c r="E238" i="17"/>
  <c r="E294" i="17"/>
  <c r="E295" i="17"/>
  <c r="E296" i="17"/>
  <c r="F296" i="17" s="1"/>
  <c r="E297" i="17"/>
  <c r="E298" i="17"/>
  <c r="D41" i="20"/>
  <c r="E39" i="20"/>
  <c r="E43" i="20"/>
  <c r="C22" i="19"/>
  <c r="E43" i="18"/>
  <c r="C258" i="18"/>
  <c r="C98" i="18"/>
  <c r="C96" i="18"/>
  <c r="C89" i="18"/>
  <c r="C85" i="18"/>
  <c r="C83" i="18"/>
  <c r="C101" i="18"/>
  <c r="C99" i="18"/>
  <c r="C97" i="18"/>
  <c r="C95" i="18"/>
  <c r="C88" i="18"/>
  <c r="C86" i="18"/>
  <c r="E110" i="17"/>
  <c r="E120" i="17"/>
  <c r="E165" i="17"/>
  <c r="E170" i="17"/>
  <c r="F170" i="17" s="1"/>
  <c r="E180" i="17"/>
  <c r="F180" i="17" s="1"/>
  <c r="C283" i="18"/>
  <c r="E21" i="18"/>
  <c r="D22" i="18"/>
  <c r="E22" i="18" s="1"/>
  <c r="E37" i="18"/>
  <c r="D66" i="18"/>
  <c r="E69" i="18"/>
  <c r="E54" i="18"/>
  <c r="C289" i="18"/>
  <c r="C71" i="18"/>
  <c r="C76" i="18"/>
  <c r="C77" i="18" s="1"/>
  <c r="C65" i="18"/>
  <c r="E65" i="18" s="1"/>
  <c r="E60" i="18"/>
  <c r="E70" i="18"/>
  <c r="D157" i="18"/>
  <c r="E157" i="18" s="1"/>
  <c r="E156" i="18"/>
  <c r="E289" i="18"/>
  <c r="C144" i="18"/>
  <c r="C180" i="18" s="1"/>
  <c r="E151" i="18"/>
  <c r="D163" i="18"/>
  <c r="E163" i="18"/>
  <c r="C175" i="18"/>
  <c r="C261" i="18"/>
  <c r="C189" i="18"/>
  <c r="E189" i="18" s="1"/>
  <c r="E188" i="18"/>
  <c r="D260" i="18"/>
  <c r="E195" i="18"/>
  <c r="D241" i="18"/>
  <c r="E243" i="18"/>
  <c r="E244" i="18"/>
  <c r="E245" i="18"/>
  <c r="D252" i="18"/>
  <c r="D253" i="18"/>
  <c r="E253" i="18" s="1"/>
  <c r="D254" i="18"/>
  <c r="E254" i="18" s="1"/>
  <c r="C303" i="18"/>
  <c r="C306" i="18"/>
  <c r="C310" i="18" s="1"/>
  <c r="E139" i="18"/>
  <c r="E261" i="18"/>
  <c r="C229" i="18"/>
  <c r="C210" i="18"/>
  <c r="E205" i="18"/>
  <c r="C253" i="18"/>
  <c r="D330" i="18"/>
  <c r="E215" i="18"/>
  <c r="C217" i="18"/>
  <c r="C241" i="18" s="1"/>
  <c r="E241" i="18" s="1"/>
  <c r="E219" i="18"/>
  <c r="E221" i="18"/>
  <c r="D222" i="18"/>
  <c r="C254" i="18"/>
  <c r="E265" i="18"/>
  <c r="E314" i="18"/>
  <c r="E216" i="18"/>
  <c r="E218" i="18"/>
  <c r="E220" i="18"/>
  <c r="C222" i="18"/>
  <c r="C223" i="18" s="1"/>
  <c r="D223" i="18"/>
  <c r="E233" i="18"/>
  <c r="E301" i="18"/>
  <c r="E324" i="18"/>
  <c r="D32" i="17"/>
  <c r="E31" i="17"/>
  <c r="F31" i="17"/>
  <c r="D90" i="17"/>
  <c r="D61" i="17"/>
  <c r="D139" i="17" s="1"/>
  <c r="E60" i="17"/>
  <c r="E89" i="17"/>
  <c r="F89" i="17" s="1"/>
  <c r="C103" i="17"/>
  <c r="E103" i="17" s="1"/>
  <c r="D207" i="17"/>
  <c r="E137" i="17"/>
  <c r="F137" i="17"/>
  <c r="D138" i="17"/>
  <c r="E146" i="17"/>
  <c r="F146" i="17"/>
  <c r="C173" i="17"/>
  <c r="C32" i="17"/>
  <c r="C160" i="17"/>
  <c r="C90" i="17"/>
  <c r="C61" i="17"/>
  <c r="E102" i="17"/>
  <c r="F102" i="17" s="1"/>
  <c r="D103" i="17"/>
  <c r="C207" i="17"/>
  <c r="E207" i="17" s="1"/>
  <c r="C138" i="17"/>
  <c r="C140" i="17" s="1"/>
  <c r="E140" i="17" s="1"/>
  <c r="E172" i="17"/>
  <c r="F172" i="17"/>
  <c r="D173" i="17"/>
  <c r="D175" i="17" s="1"/>
  <c r="E173" i="17"/>
  <c r="F173" i="17" s="1"/>
  <c r="C21" i="17"/>
  <c r="E30" i="17"/>
  <c r="F30" i="17"/>
  <c r="E35" i="17"/>
  <c r="F35" i="17"/>
  <c r="E47" i="17"/>
  <c r="F47" i="17"/>
  <c r="E59" i="17"/>
  <c r="F59" i="17"/>
  <c r="E66" i="17"/>
  <c r="E76" i="17"/>
  <c r="F76" i="17" s="1"/>
  <c r="F120" i="17"/>
  <c r="D124" i="17"/>
  <c r="F129" i="17"/>
  <c r="F130" i="17"/>
  <c r="F135" i="17"/>
  <c r="F145" i="17"/>
  <c r="F155" i="17"/>
  <c r="F164" i="17"/>
  <c r="F165" i="17"/>
  <c r="D277" i="17"/>
  <c r="D261" i="17"/>
  <c r="D214" i="17"/>
  <c r="D206" i="17"/>
  <c r="D278" i="17"/>
  <c r="D262" i="17"/>
  <c r="D215" i="17"/>
  <c r="D190" i="17"/>
  <c r="D280" i="17"/>
  <c r="D264" i="17"/>
  <c r="E264" i="17" s="1"/>
  <c r="F264" i="17" s="1"/>
  <c r="C286" i="17"/>
  <c r="F223" i="17"/>
  <c r="D21" i="17"/>
  <c r="E88" i="17"/>
  <c r="F88" i="17"/>
  <c r="E101" i="17"/>
  <c r="F101" i="17" s="1"/>
  <c r="E109" i="17"/>
  <c r="F109" i="17"/>
  <c r="E123" i="17"/>
  <c r="F123" i="17" s="1"/>
  <c r="C124" i="17"/>
  <c r="C125" i="17"/>
  <c r="E136" i="17"/>
  <c r="F136" i="17" s="1"/>
  <c r="E144" i="17"/>
  <c r="F144" i="17"/>
  <c r="E158" i="17"/>
  <c r="F158" i="17"/>
  <c r="E171" i="17"/>
  <c r="F171" i="17"/>
  <c r="E179" i="17"/>
  <c r="F179" i="17" s="1"/>
  <c r="C277" i="17"/>
  <c r="C254" i="17"/>
  <c r="E254" i="17" s="1"/>
  <c r="C214" i="17"/>
  <c r="C206" i="17"/>
  <c r="F206" i="17" s="1"/>
  <c r="C278" i="17"/>
  <c r="C262" i="17"/>
  <c r="C272" i="17" s="1"/>
  <c r="C255" i="17"/>
  <c r="C215" i="17"/>
  <c r="E189" i="17"/>
  <c r="F189" i="17"/>
  <c r="C280" i="17"/>
  <c r="C264" i="17"/>
  <c r="C200" i="17"/>
  <c r="E191" i="17"/>
  <c r="F191" i="17"/>
  <c r="C192" i="17"/>
  <c r="D290" i="17"/>
  <c r="E290" i="17" s="1"/>
  <c r="F290" i="17" s="1"/>
  <c r="D199" i="17"/>
  <c r="D283" i="17"/>
  <c r="D267" i="17"/>
  <c r="D285" i="17"/>
  <c r="D286" i="17" s="1"/>
  <c r="E285" i="17"/>
  <c r="F285" i="17" s="1"/>
  <c r="D269" i="17"/>
  <c r="D205" i="17"/>
  <c r="F226" i="17"/>
  <c r="D227" i="17"/>
  <c r="F238" i="17"/>
  <c r="E306" i="17"/>
  <c r="C199" i="17"/>
  <c r="E203" i="17"/>
  <c r="F203" i="17"/>
  <c r="E204" i="17"/>
  <c r="F204" i="17"/>
  <c r="C205" i="17"/>
  <c r="E237" i="17"/>
  <c r="E250" i="17"/>
  <c r="F250" i="17" s="1"/>
  <c r="C267" i="17"/>
  <c r="E267" i="17" s="1"/>
  <c r="F267" i="17" s="1"/>
  <c r="C269" i="17"/>
  <c r="C274" i="17"/>
  <c r="F294" i="17"/>
  <c r="F295" i="17"/>
  <c r="F297" i="17"/>
  <c r="F298" i="17"/>
  <c r="F299" i="17"/>
  <c r="H33" i="14"/>
  <c r="H36" i="14"/>
  <c r="H38" i="14"/>
  <c r="H40" i="14" s="1"/>
  <c r="F36" i="14"/>
  <c r="F38" i="14" s="1"/>
  <c r="F40" i="14"/>
  <c r="I17" i="14"/>
  <c r="D31" i="14"/>
  <c r="F31" i="14"/>
  <c r="H31" i="14"/>
  <c r="H17" i="14"/>
  <c r="D21" i="13"/>
  <c r="C22" i="13"/>
  <c r="D15" i="13"/>
  <c r="C17" i="13"/>
  <c r="C28" i="13"/>
  <c r="C70" i="13"/>
  <c r="C72" i="13"/>
  <c r="C69" i="13" s="1"/>
  <c r="D48" i="13"/>
  <c r="D42" i="13" s="1"/>
  <c r="F17" i="12"/>
  <c r="C20" i="12"/>
  <c r="D20" i="12"/>
  <c r="E17" i="12"/>
  <c r="E15" i="12"/>
  <c r="F15" i="12" s="1"/>
  <c r="F41" i="11"/>
  <c r="F65" i="11"/>
  <c r="F73" i="11"/>
  <c r="E22" i="11"/>
  <c r="F22" i="11" s="1"/>
  <c r="E38" i="11"/>
  <c r="F38" i="11"/>
  <c r="E56" i="11"/>
  <c r="E61" i="11"/>
  <c r="F61" i="11" s="1"/>
  <c r="E112" i="10"/>
  <c r="F112" i="10"/>
  <c r="E113" i="10"/>
  <c r="F113" i="10" s="1"/>
  <c r="F207" i="9"/>
  <c r="E198" i="9"/>
  <c r="F198" i="9" s="1"/>
  <c r="E199" i="9"/>
  <c r="F199" i="9"/>
  <c r="E21" i="8"/>
  <c r="E140" i="8"/>
  <c r="E138" i="8"/>
  <c r="E136" i="8"/>
  <c r="E139" i="8"/>
  <c r="E137" i="8"/>
  <c r="E135" i="8"/>
  <c r="E141" i="8" s="1"/>
  <c r="C157" i="8"/>
  <c r="C155" i="8"/>
  <c r="C154" i="8"/>
  <c r="C152" i="8"/>
  <c r="D15" i="8"/>
  <c r="C17" i="8"/>
  <c r="C43" i="8"/>
  <c r="D49" i="8"/>
  <c r="C53" i="8"/>
  <c r="D77" i="8"/>
  <c r="D71" i="8"/>
  <c r="C49" i="8"/>
  <c r="E90" i="7"/>
  <c r="F90" i="7"/>
  <c r="E41" i="6"/>
  <c r="F41" i="6" s="1"/>
  <c r="E18" i="5"/>
  <c r="F18" i="5" s="1"/>
  <c r="C21" i="5"/>
  <c r="E16" i="5"/>
  <c r="F16" i="5"/>
  <c r="E41" i="4"/>
  <c r="F41" i="4"/>
  <c r="E22" i="4"/>
  <c r="F22" i="4" s="1"/>
  <c r="E38" i="4"/>
  <c r="F38" i="4"/>
  <c r="E53" i="22"/>
  <c r="E45" i="22"/>
  <c r="E39" i="22"/>
  <c r="E35" i="22"/>
  <c r="E29" i="22"/>
  <c r="C111" i="22"/>
  <c r="C54" i="22"/>
  <c r="C46" i="22"/>
  <c r="C40" i="22"/>
  <c r="C36" i="22"/>
  <c r="C30" i="22"/>
  <c r="C48" i="22" s="1"/>
  <c r="C53" i="22"/>
  <c r="C45" i="22"/>
  <c r="C39" i="22"/>
  <c r="C35" i="22"/>
  <c r="C29" i="22"/>
  <c r="C47" i="22" s="1"/>
  <c r="C110" i="22"/>
  <c r="E54" i="22"/>
  <c r="E46" i="22"/>
  <c r="E40" i="22"/>
  <c r="E36" i="22"/>
  <c r="E30" i="22"/>
  <c r="D110" i="22"/>
  <c r="D39" i="22"/>
  <c r="D35" i="22"/>
  <c r="F39" i="20"/>
  <c r="F43" i="20"/>
  <c r="E46" i="20"/>
  <c r="C259" i="18"/>
  <c r="C263" i="18"/>
  <c r="C264" i="18" s="1"/>
  <c r="C266" i="18" s="1"/>
  <c r="C267" i="18" s="1"/>
  <c r="E217" i="18"/>
  <c r="E260" i="18"/>
  <c r="E71" i="18"/>
  <c r="D247" i="18"/>
  <c r="D246" i="18"/>
  <c r="C234" i="18"/>
  <c r="C211" i="18"/>
  <c r="C235" i="18" s="1"/>
  <c r="E252" i="18"/>
  <c r="C270" i="17"/>
  <c r="D270" i="17"/>
  <c r="E199" i="17"/>
  <c r="F199" i="17" s="1"/>
  <c r="C300" i="17"/>
  <c r="C216" i="17"/>
  <c r="E216" i="17" s="1"/>
  <c r="D49" i="17"/>
  <c r="D126" i="17"/>
  <c r="D91" i="17"/>
  <c r="E21" i="17"/>
  <c r="F21" i="17" s="1"/>
  <c r="E206" i="17"/>
  <c r="E124" i="17"/>
  <c r="F124" i="17" s="1"/>
  <c r="C174" i="17"/>
  <c r="E286" i="17"/>
  <c r="F286" i="17"/>
  <c r="C288" i="17"/>
  <c r="C284" i="17"/>
  <c r="F284" i="17" s="1"/>
  <c r="C279" i="17"/>
  <c r="E280" i="17"/>
  <c r="F280" i="17"/>
  <c r="E215" i="17"/>
  <c r="F215" i="17"/>
  <c r="D255" i="17"/>
  <c r="E255" i="17" s="1"/>
  <c r="F255" i="17" s="1"/>
  <c r="E278" i="17"/>
  <c r="F278" i="17" s="1"/>
  <c r="E214" i="17"/>
  <c r="D254" i="17"/>
  <c r="D216" i="17"/>
  <c r="D284" i="17"/>
  <c r="D279" i="17"/>
  <c r="E279" i="17"/>
  <c r="C304" i="17"/>
  <c r="C161" i="17"/>
  <c r="C126" i="17"/>
  <c r="C91" i="17"/>
  <c r="C92" i="17" s="1"/>
  <c r="C49" i="17"/>
  <c r="C175" i="17"/>
  <c r="D208" i="17"/>
  <c r="D174" i="17"/>
  <c r="E174" i="17" s="1"/>
  <c r="E90" i="17"/>
  <c r="F90" i="17"/>
  <c r="D140" i="17"/>
  <c r="D105" i="17"/>
  <c r="E32" i="17"/>
  <c r="F32" i="17"/>
  <c r="D24" i="13"/>
  <c r="D17" i="13"/>
  <c r="D28" i="13" s="1"/>
  <c r="D34" i="12"/>
  <c r="D42" i="12" s="1"/>
  <c r="E20" i="12"/>
  <c r="F20" i="12" s="1"/>
  <c r="C34" i="12"/>
  <c r="C112" i="8"/>
  <c r="C111" i="8" s="1"/>
  <c r="C28" i="8"/>
  <c r="D24" i="8"/>
  <c r="D17" i="8"/>
  <c r="D112" i="8" s="1"/>
  <c r="D111" i="8" s="1"/>
  <c r="C35" i="5"/>
  <c r="C113" i="22"/>
  <c r="C56" i="22"/>
  <c r="C55" i="22"/>
  <c r="C37" i="22"/>
  <c r="C112" i="22"/>
  <c r="E55" i="22"/>
  <c r="E47" i="22"/>
  <c r="E37" i="22"/>
  <c r="D210" i="17"/>
  <c r="D209" i="17"/>
  <c r="C125" i="18"/>
  <c r="C113" i="18"/>
  <c r="C127" i="17"/>
  <c r="D141" i="17"/>
  <c r="C50" i="17"/>
  <c r="C162" i="17"/>
  <c r="C183" i="17" s="1"/>
  <c r="E284" i="17"/>
  <c r="D127" i="17"/>
  <c r="D50" i="17"/>
  <c r="E50" i="17" s="1"/>
  <c r="F50" i="17" s="1"/>
  <c r="E49" i="17"/>
  <c r="F49" i="17" s="1"/>
  <c r="C176" i="17"/>
  <c r="E91" i="17"/>
  <c r="F91" i="17"/>
  <c r="D92" i="17"/>
  <c r="E92" i="17" s="1"/>
  <c r="F216" i="17"/>
  <c r="E34" i="12"/>
  <c r="F34" i="12"/>
  <c r="C42" i="12"/>
  <c r="D28" i="8"/>
  <c r="C99" i="8"/>
  <c r="C101" i="8"/>
  <c r="C98" i="8" s="1"/>
  <c r="C43" i="5"/>
  <c r="D99" i="8"/>
  <c r="D101" i="8"/>
  <c r="D98" i="8" s="1"/>
  <c r="C50" i="5"/>
  <c r="D322" i="17" l="1"/>
  <c r="D148" i="17"/>
  <c r="D22" i="8"/>
  <c r="D21" i="8"/>
  <c r="F30" i="15"/>
  <c r="D20" i="8"/>
  <c r="C20" i="20"/>
  <c r="E19" i="20"/>
  <c r="F19" i="20" s="1"/>
  <c r="F42" i="12"/>
  <c r="C49" i="12"/>
  <c r="F127" i="17"/>
  <c r="D70" i="13"/>
  <c r="D72" i="13" s="1"/>
  <c r="D69" i="13" s="1"/>
  <c r="D22" i="13"/>
  <c r="F174" i="17"/>
  <c r="C127" i="18"/>
  <c r="C112" i="18"/>
  <c r="C126" i="18"/>
  <c r="C111" i="18"/>
  <c r="C124" i="18"/>
  <c r="C123" i="18"/>
  <c r="C109" i="18"/>
  <c r="C121" i="18"/>
  <c r="C122" i="18"/>
  <c r="C114" i="18"/>
  <c r="C115" i="18"/>
  <c r="C102" i="18"/>
  <c r="C103" i="18" s="1"/>
  <c r="E56" i="4"/>
  <c r="F56" i="4" s="1"/>
  <c r="F92" i="17"/>
  <c r="C320" i="18"/>
  <c r="E320" i="18" s="1"/>
  <c r="E316" i="18"/>
  <c r="E57" i="8"/>
  <c r="E62" i="8" s="1"/>
  <c r="E43" i="8"/>
  <c r="E49" i="8"/>
  <c r="E53" i="8"/>
  <c r="C141" i="17"/>
  <c r="F140" i="17"/>
  <c r="E65" i="4"/>
  <c r="D49" i="12"/>
  <c r="E42" i="12"/>
  <c r="F270" i="17"/>
  <c r="E139" i="17"/>
  <c r="E35" i="5"/>
  <c r="F35" i="5" s="1"/>
  <c r="D43" i="5"/>
  <c r="C111" i="17"/>
  <c r="F110" i="17"/>
  <c r="D211" i="17"/>
  <c r="C110" i="18"/>
  <c r="F279" i="17"/>
  <c r="D176" i="17"/>
  <c r="E176" i="17" s="1"/>
  <c r="F176" i="17" s="1"/>
  <c r="E175" i="17"/>
  <c r="F175" i="17" s="1"/>
  <c r="E223" i="18"/>
  <c r="E89" i="9"/>
  <c r="F89" i="9" s="1"/>
  <c r="E36" i="17"/>
  <c r="F36" i="17" s="1"/>
  <c r="C37" i="17"/>
  <c r="F100" i="17"/>
  <c r="E100" i="17"/>
  <c r="C323" i="17"/>
  <c r="C197" i="17"/>
  <c r="E21" i="5"/>
  <c r="F21" i="5" s="1"/>
  <c r="E105" i="17"/>
  <c r="C269" i="18"/>
  <c r="C268" i="18"/>
  <c r="E56" i="22"/>
  <c r="E113" i="22"/>
  <c r="E48" i="22"/>
  <c r="E38" i="22"/>
  <c r="E262" i="17"/>
  <c r="F262" i="17" s="1"/>
  <c r="C62" i="17"/>
  <c r="C139" i="17"/>
  <c r="D95" i="6"/>
  <c r="E84" i="6"/>
  <c r="F84" i="6" s="1"/>
  <c r="E35" i="7"/>
  <c r="F35" i="7" s="1"/>
  <c r="F95" i="10"/>
  <c r="E95" i="10"/>
  <c r="F68" i="17"/>
  <c r="E68" i="17"/>
  <c r="D33" i="18"/>
  <c r="D294" i="18"/>
  <c r="E294" i="18" s="1"/>
  <c r="E32" i="18"/>
  <c r="D259" i="18"/>
  <c r="E76" i="18"/>
  <c r="E109" i="22"/>
  <c r="E108" i="22"/>
  <c r="E110" i="22"/>
  <c r="E111" i="22"/>
  <c r="E101" i="22"/>
  <c r="E102" i="22"/>
  <c r="D288" i="17"/>
  <c r="E288" i="17" s="1"/>
  <c r="F288" i="17" s="1"/>
  <c r="F94" i="17"/>
  <c r="C294" i="18"/>
  <c r="E73" i="4"/>
  <c r="F73" i="4"/>
  <c r="E68" i="6"/>
  <c r="F68" i="6" s="1"/>
  <c r="E141" i="9"/>
  <c r="F141" i="9"/>
  <c r="F205" i="9"/>
  <c r="C20" i="13"/>
  <c r="C21" i="13"/>
  <c r="F66" i="17"/>
  <c r="C266" i="17"/>
  <c r="D54" i="22"/>
  <c r="D30" i="22"/>
  <c r="D46" i="22"/>
  <c r="D111" i="22"/>
  <c r="D40" i="22"/>
  <c r="E205" i="17"/>
  <c r="F205" i="17" s="1"/>
  <c r="D272" i="17"/>
  <c r="E272" i="17" s="1"/>
  <c r="F272" i="17" s="1"/>
  <c r="E227" i="17"/>
  <c r="F227" i="17" s="1"/>
  <c r="E283" i="17"/>
  <c r="F283" i="17" s="1"/>
  <c r="D287" i="17"/>
  <c r="F214" i="17"/>
  <c r="E138" i="17"/>
  <c r="F138" i="17" s="1"/>
  <c r="C66" i="18"/>
  <c r="F25" i="6"/>
  <c r="D188" i="7"/>
  <c r="E188" i="7" s="1"/>
  <c r="F188" i="7" s="1"/>
  <c r="E183" i="7"/>
  <c r="F183" i="7" s="1"/>
  <c r="E88" i="8"/>
  <c r="E90" i="8" s="1"/>
  <c r="E86" i="8" s="1"/>
  <c r="E77" i="8"/>
  <c r="E71" i="8" s="1"/>
  <c r="E205" i="9"/>
  <c r="E115" i="10"/>
  <c r="F115" i="10" s="1"/>
  <c r="E52" i="17"/>
  <c r="F52" i="17" s="1"/>
  <c r="C239" i="17"/>
  <c r="F237" i="17"/>
  <c r="D44" i="18"/>
  <c r="E36" i="18"/>
  <c r="D55" i="18"/>
  <c r="D283" i="18"/>
  <c r="E283" i="18" s="1"/>
  <c r="E288" i="18"/>
  <c r="F200" i="17"/>
  <c r="F61" i="17"/>
  <c r="F254" i="17"/>
  <c r="C43" i="4"/>
  <c r="E29" i="4"/>
  <c r="D139" i="8"/>
  <c r="D137" i="8"/>
  <c r="D138" i="8"/>
  <c r="F24" i="9"/>
  <c r="C75" i="11"/>
  <c r="F56" i="11"/>
  <c r="D106" i="17"/>
  <c r="C105" i="17"/>
  <c r="F29" i="4"/>
  <c r="F122" i="10"/>
  <c r="F60" i="15"/>
  <c r="C330" i="18"/>
  <c r="E330" i="18" s="1"/>
  <c r="E326" i="18"/>
  <c r="E88" i="22"/>
  <c r="E127" i="17"/>
  <c r="C38" i="22"/>
  <c r="D104" i="17"/>
  <c r="E104" i="17" s="1"/>
  <c r="C145" i="18"/>
  <c r="E17" i="8"/>
  <c r="D140" i="8"/>
  <c r="E269" i="17"/>
  <c r="F269" i="17"/>
  <c r="D53" i="22"/>
  <c r="D45" i="22"/>
  <c r="D29" i="22"/>
  <c r="C95" i="7"/>
  <c r="C153" i="8"/>
  <c r="C158" i="8" s="1"/>
  <c r="C156" i="8"/>
  <c r="F102" i="9"/>
  <c r="F203" i="9"/>
  <c r="F44" i="17"/>
  <c r="F60" i="17"/>
  <c r="D263" i="17"/>
  <c r="F230" i="17"/>
  <c r="F22" i="20"/>
  <c r="E25" i="20"/>
  <c r="F25" i="20" s="1"/>
  <c r="E61" i="17"/>
  <c r="F126" i="17"/>
  <c r="F103" i="17"/>
  <c r="C168" i="18"/>
  <c r="D136" i="8"/>
  <c r="E277" i="17"/>
  <c r="F277" i="17" s="1"/>
  <c r="C287" i="17"/>
  <c r="D271" i="17"/>
  <c r="D268" i="17"/>
  <c r="C208" i="17"/>
  <c r="F207" i="17"/>
  <c r="D77" i="18"/>
  <c r="C65" i="4"/>
  <c r="E61" i="4"/>
  <c r="F61" i="4" s="1"/>
  <c r="D113" i="17"/>
  <c r="E126" i="17"/>
  <c r="E112" i="22"/>
  <c r="D62" i="17"/>
  <c r="C104" i="17"/>
  <c r="E270" i="17"/>
  <c r="D135" i="8"/>
  <c r="F107" i="15"/>
  <c r="C194" i="17"/>
  <c r="C246" i="18"/>
  <c r="E246" i="18" s="1"/>
  <c r="E222" i="18"/>
  <c r="E48" i="5"/>
  <c r="F48" i="5" s="1"/>
  <c r="E42" i="6"/>
  <c r="F42" i="6" s="1"/>
  <c r="D52" i="6"/>
  <c r="E52" i="6" s="1"/>
  <c r="F52" i="6" s="1"/>
  <c r="F166" i="9"/>
  <c r="E166" i="9"/>
  <c r="D20" i="13"/>
  <c r="D50" i="13"/>
  <c r="D125" i="17"/>
  <c r="E125" i="17" s="1"/>
  <c r="F125" i="17" s="1"/>
  <c r="E48" i="17"/>
  <c r="F48" i="17" s="1"/>
  <c r="E188" i="17"/>
  <c r="C190" i="17"/>
  <c r="F188" i="17"/>
  <c r="C261" i="17"/>
  <c r="D274" i="17"/>
  <c r="D200" i="17"/>
  <c r="E200" i="17" s="1"/>
  <c r="E198" i="17"/>
  <c r="F198" i="17" s="1"/>
  <c r="F87" i="6"/>
  <c r="D166" i="8"/>
  <c r="E15" i="13"/>
  <c r="E25" i="13"/>
  <c r="E27" i="13" s="1"/>
  <c r="C59" i="13"/>
  <c r="C61" i="13" s="1"/>
  <c r="C57" i="13" s="1"/>
  <c r="C48" i="13"/>
  <c r="C42" i="13" s="1"/>
  <c r="C87" i="18"/>
  <c r="C100" i="18"/>
  <c r="C84" i="18"/>
  <c r="C90" i="18" s="1"/>
  <c r="C91" i="18" s="1"/>
  <c r="C105" i="18" s="1"/>
  <c r="E293" i="18"/>
  <c r="E41" i="5"/>
  <c r="F41" i="5"/>
  <c r="E24" i="7"/>
  <c r="F24" i="7" s="1"/>
  <c r="D53" i="8"/>
  <c r="D57" i="8"/>
  <c r="D62" i="8" s="1"/>
  <c r="D43" i="8"/>
  <c r="E75" i="9"/>
  <c r="F75" i="9" s="1"/>
  <c r="E122" i="10"/>
  <c r="F20" i="17"/>
  <c r="C282" i="17"/>
  <c r="E239" i="18"/>
  <c r="F91" i="6"/>
  <c r="F41" i="7"/>
  <c r="C149" i="8"/>
  <c r="D175" i="18"/>
  <c r="E175" i="18" s="1"/>
  <c r="D144" i="18"/>
  <c r="C95" i="6"/>
  <c r="F111" i="6"/>
  <c r="C25" i="8"/>
  <c r="C27" i="8" s="1"/>
  <c r="C90" i="8"/>
  <c r="C86" i="8" s="1"/>
  <c r="E24" i="9"/>
  <c r="E62" i="9"/>
  <c r="E179" i="9"/>
  <c r="F179" i="9"/>
  <c r="F17" i="17"/>
  <c r="E23" i="17"/>
  <c r="F23" i="17"/>
  <c r="E58" i="17"/>
  <c r="F58" i="17" s="1"/>
  <c r="F67" i="17"/>
  <c r="E39" i="18"/>
  <c r="E176" i="18"/>
  <c r="F16" i="20"/>
  <c r="F166" i="6"/>
  <c r="E30" i="7"/>
  <c r="F30" i="7" s="1"/>
  <c r="D95" i="7"/>
  <c r="E95" i="7" s="1"/>
  <c r="E59" i="13"/>
  <c r="E61" i="13" s="1"/>
  <c r="E57" i="13" s="1"/>
  <c r="E48" i="13"/>
  <c r="E42" i="13" s="1"/>
  <c r="E30" i="15"/>
  <c r="F36" i="20"/>
  <c r="D43" i="4"/>
  <c r="E43" i="4" s="1"/>
  <c r="E166" i="8"/>
  <c r="F201" i="9"/>
  <c r="E114" i="10"/>
  <c r="F114" i="10" s="1"/>
  <c r="D121" i="10"/>
  <c r="E121" i="10" s="1"/>
  <c r="F121" i="10" s="1"/>
  <c r="F40" i="12"/>
  <c r="F21" i="16"/>
  <c r="C284" i="18"/>
  <c r="E279" i="18"/>
  <c r="E40" i="20"/>
  <c r="F40" i="20" s="1"/>
  <c r="F23" i="9"/>
  <c r="E203" i="9"/>
  <c r="F36" i="10"/>
  <c r="E20" i="17"/>
  <c r="E72" i="18"/>
  <c r="E75" i="18"/>
  <c r="E240" i="18"/>
  <c r="D98" i="22"/>
  <c r="E127" i="9"/>
  <c r="F127" i="9" s="1"/>
  <c r="F59" i="10"/>
  <c r="D43" i="11"/>
  <c r="E43" i="11" s="1"/>
  <c r="F43" i="11" s="1"/>
  <c r="E17" i="17"/>
  <c r="D159" i="17"/>
  <c r="D192" i="17"/>
  <c r="E164" i="18"/>
  <c r="E262" i="18"/>
  <c r="D303" i="18"/>
  <c r="C37" i="19"/>
  <c r="C38" i="19" s="1"/>
  <c r="C127" i="19" s="1"/>
  <c r="C129" i="19" s="1"/>
  <c r="C133" i="19" s="1"/>
  <c r="C46" i="20"/>
  <c r="F46" i="20" s="1"/>
  <c r="E50" i="9"/>
  <c r="F50" i="9" s="1"/>
  <c r="D208" i="9"/>
  <c r="E208" i="9" s="1"/>
  <c r="F208" i="9" s="1"/>
  <c r="F107" i="10"/>
  <c r="F47" i="12"/>
  <c r="D229" i="18"/>
  <c r="E229" i="18" s="1"/>
  <c r="D210" i="18"/>
  <c r="G33" i="14"/>
  <c r="E154" i="8" l="1"/>
  <c r="E152" i="8"/>
  <c r="E157" i="8"/>
  <c r="E153" i="8"/>
  <c r="E155" i="8"/>
  <c r="E156" i="8"/>
  <c r="D48" i="22"/>
  <c r="D38" i="22"/>
  <c r="D56" i="22"/>
  <c r="D113" i="22"/>
  <c r="E259" i="18"/>
  <c r="D263" i="18"/>
  <c r="E263" i="18" s="1"/>
  <c r="D50" i="5"/>
  <c r="E50" i="5" s="1"/>
  <c r="F50" i="5" s="1"/>
  <c r="E43" i="5"/>
  <c r="F43" i="5" s="1"/>
  <c r="F95" i="6"/>
  <c r="E21" i="13"/>
  <c r="D168" i="18"/>
  <c r="E168" i="18" s="1"/>
  <c r="E144" i="18"/>
  <c r="D180" i="18"/>
  <c r="E180" i="18" s="1"/>
  <c r="D145" i="18"/>
  <c r="E24" i="13"/>
  <c r="E20" i="13" s="1"/>
  <c r="E17" i="13"/>
  <c r="E28" i="13" s="1"/>
  <c r="E70" i="13" s="1"/>
  <c r="E72" i="13" s="1"/>
  <c r="E69" i="13" s="1"/>
  <c r="C291" i="17"/>
  <c r="C289" i="17"/>
  <c r="C265" i="17"/>
  <c r="E33" i="18"/>
  <c r="D295" i="18"/>
  <c r="E295" i="18" s="1"/>
  <c r="C322" i="17"/>
  <c r="C211" i="17"/>
  <c r="C148" i="17"/>
  <c r="C128" i="18"/>
  <c r="E148" i="17"/>
  <c r="D152" i="8"/>
  <c r="D158" i="8" s="1"/>
  <c r="D153" i="8"/>
  <c r="D157" i="8"/>
  <c r="D156" i="8"/>
  <c r="D154" i="8"/>
  <c r="D155" i="8"/>
  <c r="C271" i="18"/>
  <c r="C116" i="18"/>
  <c r="C129" i="18"/>
  <c r="E141" i="17"/>
  <c r="F141" i="17" s="1"/>
  <c r="E41" i="20"/>
  <c r="F41" i="20" s="1"/>
  <c r="E274" i="17"/>
  <c r="F274" i="17" s="1"/>
  <c r="D300" i="17"/>
  <c r="E300" i="17" s="1"/>
  <c r="F300" i="17" s="1"/>
  <c r="D63" i="17"/>
  <c r="E62" i="17"/>
  <c r="F62" i="17" s="1"/>
  <c r="C268" i="17"/>
  <c r="E268" i="17" s="1"/>
  <c r="C263" i="17"/>
  <c r="E263" i="17" s="1"/>
  <c r="C271" i="17"/>
  <c r="E261" i="17"/>
  <c r="F261" i="17" s="1"/>
  <c r="C196" i="17"/>
  <c r="C195" i="17"/>
  <c r="E95" i="6"/>
  <c r="E190" i="17"/>
  <c r="F190" i="17" s="1"/>
  <c r="C136" i="8"/>
  <c r="C139" i="8"/>
  <c r="C135" i="8"/>
  <c r="C140" i="8"/>
  <c r="C138" i="8"/>
  <c r="C137" i="8"/>
  <c r="D141" i="8"/>
  <c r="F105" i="17"/>
  <c r="C106" i="17"/>
  <c r="E55" i="18"/>
  <c r="D284" i="18"/>
  <c r="E284" i="18" s="1"/>
  <c r="E211" i="17"/>
  <c r="C117" i="18"/>
  <c r="C131" i="18" s="1"/>
  <c r="E322" i="17"/>
  <c r="D211" i="18"/>
  <c r="E210" i="18"/>
  <c r="D234" i="18"/>
  <c r="E234" i="18" s="1"/>
  <c r="D306" i="18"/>
  <c r="E303" i="18"/>
  <c r="D122" i="18"/>
  <c r="D121" i="18"/>
  <c r="D115" i="18"/>
  <c r="E115" i="18" s="1"/>
  <c r="D114" i="18"/>
  <c r="E114" i="18" s="1"/>
  <c r="D109" i="18"/>
  <c r="E77" i="18"/>
  <c r="D127" i="18"/>
  <c r="E127" i="18" s="1"/>
  <c r="D113" i="18"/>
  <c r="E113" i="18" s="1"/>
  <c r="D125" i="18"/>
  <c r="E125" i="18" s="1"/>
  <c r="D123" i="18"/>
  <c r="E123" i="18" s="1"/>
  <c r="D112" i="18"/>
  <c r="E112" i="18" s="1"/>
  <c r="D126" i="18"/>
  <c r="E126" i="18" s="1"/>
  <c r="D110" i="18"/>
  <c r="D124" i="18"/>
  <c r="E124" i="18" s="1"/>
  <c r="D111" i="18"/>
  <c r="E111" i="18" s="1"/>
  <c r="F95" i="7"/>
  <c r="C181" i="18"/>
  <c r="C169" i="18"/>
  <c r="D324" i="17"/>
  <c r="C63" i="17"/>
  <c r="E20" i="20"/>
  <c r="F20" i="20"/>
  <c r="C20" i="8"/>
  <c r="C21" i="8"/>
  <c r="C22" i="8"/>
  <c r="C210" i="17"/>
  <c r="E208" i="17"/>
  <c r="F208" i="17" s="1"/>
  <c r="C209" i="17"/>
  <c r="D291" i="17"/>
  <c r="E287" i="17"/>
  <c r="F287" i="17" s="1"/>
  <c r="D289" i="17"/>
  <c r="E289" i="17" s="1"/>
  <c r="D193" i="17"/>
  <c r="E192" i="17"/>
  <c r="F192" i="17" s="1"/>
  <c r="F75" i="11"/>
  <c r="F37" i="17"/>
  <c r="E37" i="17"/>
  <c r="D161" i="17"/>
  <c r="E159" i="17"/>
  <c r="F159" i="17" s="1"/>
  <c r="C281" i="17"/>
  <c r="D304" i="17"/>
  <c r="D273" i="17"/>
  <c r="E271" i="17"/>
  <c r="E75" i="11"/>
  <c r="E103" i="22"/>
  <c r="F49" i="12"/>
  <c r="I33" i="14"/>
  <c r="I36" i="14" s="1"/>
  <c r="I38" i="14" s="1"/>
  <c r="I40" i="14" s="1"/>
  <c r="G36" i="14"/>
  <c r="G38" i="14" s="1"/>
  <c r="G40" i="14" s="1"/>
  <c r="F65" i="4"/>
  <c r="E112" i="8"/>
  <c r="E111" i="8" s="1"/>
  <c r="E28" i="8"/>
  <c r="C295" i="18"/>
  <c r="E66" i="18"/>
  <c r="F139" i="17"/>
  <c r="D160" i="17"/>
  <c r="E160" i="17" s="1"/>
  <c r="F160" i="17" s="1"/>
  <c r="F104" i="17"/>
  <c r="D55" i="22"/>
  <c r="D47" i="22"/>
  <c r="D37" i="22"/>
  <c r="D112" i="22"/>
  <c r="E239" i="17"/>
  <c r="F239" i="17" s="1"/>
  <c r="F43" i="4"/>
  <c r="D99" i="18"/>
  <c r="E99" i="18" s="1"/>
  <c r="D84" i="18"/>
  <c r="D100" i="18"/>
  <c r="E100" i="18" s="1"/>
  <c r="D97" i="18"/>
  <c r="E97" i="18" s="1"/>
  <c r="D89" i="18"/>
  <c r="E89" i="18" s="1"/>
  <c r="D258" i="18"/>
  <c r="D85" i="18"/>
  <c r="E85" i="18" s="1"/>
  <c r="D101" i="18"/>
  <c r="E101" i="18" s="1"/>
  <c r="D83" i="18"/>
  <c r="D86" i="18"/>
  <c r="E86" i="18" s="1"/>
  <c r="D88" i="18"/>
  <c r="E88" i="18" s="1"/>
  <c r="D96" i="18"/>
  <c r="D87" i="18"/>
  <c r="E87" i="18" s="1"/>
  <c r="D98" i="18"/>
  <c r="E98" i="18" s="1"/>
  <c r="E44" i="18"/>
  <c r="D95" i="18"/>
  <c r="C247" i="18"/>
  <c r="E247" i="18" s="1"/>
  <c r="E111" i="17"/>
  <c r="F111" i="17"/>
  <c r="E49" i="12"/>
  <c r="C75" i="4"/>
  <c r="E122" i="18" l="1"/>
  <c r="D128" i="18"/>
  <c r="E128" i="18" s="1"/>
  <c r="E75" i="4"/>
  <c r="F75" i="4" s="1"/>
  <c r="D162" i="17"/>
  <c r="E161" i="17"/>
  <c r="F161" i="17" s="1"/>
  <c r="E291" i="17"/>
  <c r="D305" i="17"/>
  <c r="C141" i="8"/>
  <c r="E63" i="17"/>
  <c r="D70" i="17"/>
  <c r="D102" i="18"/>
  <c r="E102" i="18" s="1"/>
  <c r="E96" i="18"/>
  <c r="E22" i="8"/>
  <c r="E99" i="8"/>
  <c r="E101" i="8" s="1"/>
  <c r="E98" i="8" s="1"/>
  <c r="E209" i="17"/>
  <c r="F209" i="17" s="1"/>
  <c r="D310" i="18"/>
  <c r="E310" i="18" s="1"/>
  <c r="E306" i="18"/>
  <c r="F148" i="17"/>
  <c r="E258" i="18"/>
  <c r="D264" i="18"/>
  <c r="D169" i="18"/>
  <c r="E169" i="18" s="1"/>
  <c r="E145" i="18"/>
  <c r="D181" i="18"/>
  <c r="E181" i="18" s="1"/>
  <c r="C324" i="17"/>
  <c r="C113" i="17"/>
  <c r="F211" i="17"/>
  <c r="F289" i="17"/>
  <c r="E84" i="18"/>
  <c r="D90" i="18"/>
  <c r="E90" i="18" s="1"/>
  <c r="C70" i="17"/>
  <c r="F63" i="17"/>
  <c r="E110" i="18"/>
  <c r="D116" i="18"/>
  <c r="E116" i="18" s="1"/>
  <c r="E109" i="18"/>
  <c r="F271" i="17"/>
  <c r="C273" i="17"/>
  <c r="F322" i="17"/>
  <c r="F291" i="17"/>
  <c r="C305" i="17"/>
  <c r="E22" i="13"/>
  <c r="E83" i="18"/>
  <c r="E304" i="17"/>
  <c r="F304" i="17" s="1"/>
  <c r="E210" i="17"/>
  <c r="F210" i="17" s="1"/>
  <c r="E106" i="17"/>
  <c r="F106" i="17" s="1"/>
  <c r="D235" i="18"/>
  <c r="E235" i="18" s="1"/>
  <c r="E211" i="18"/>
  <c r="E158" i="8"/>
  <c r="E121" i="18"/>
  <c r="D129" i="18"/>
  <c r="E129" i="18" s="1"/>
  <c r="F268" i="17"/>
  <c r="E95" i="18"/>
  <c r="D103" i="18"/>
  <c r="E103" i="18" s="1"/>
  <c r="E193" i="17"/>
  <c r="F193" i="17" s="1"/>
  <c r="D282" i="17"/>
  <c r="D266" i="17"/>
  <c r="D194" i="17"/>
  <c r="E324" i="17"/>
  <c r="F263" i="17"/>
  <c r="E264" i="18" l="1"/>
  <c r="D266" i="18"/>
  <c r="D265" i="17"/>
  <c r="E265" i="17" s="1"/>
  <c r="F265" i="17" s="1"/>
  <c r="E266" i="17"/>
  <c r="F266" i="17" s="1"/>
  <c r="E273" i="17"/>
  <c r="F273" i="17" s="1"/>
  <c r="E162" i="17"/>
  <c r="F162" i="17" s="1"/>
  <c r="D183" i="17"/>
  <c r="E183" i="17" s="1"/>
  <c r="F183" i="17" s="1"/>
  <c r="D323" i="17"/>
  <c r="C309" i="17"/>
  <c r="E113" i="17"/>
  <c r="F113" i="17" s="1"/>
  <c r="D309" i="17"/>
  <c r="E305" i="17"/>
  <c r="F305" i="17" s="1"/>
  <c r="F324" i="17"/>
  <c r="C325" i="17"/>
  <c r="D196" i="17"/>
  <c r="E194" i="17"/>
  <c r="F194" i="17" s="1"/>
  <c r="D195" i="17"/>
  <c r="E195" i="17" s="1"/>
  <c r="F195" i="17" s="1"/>
  <c r="E282" i="17"/>
  <c r="F282" i="17" s="1"/>
  <c r="D281" i="17"/>
  <c r="E281" i="17" s="1"/>
  <c r="F281" i="17" s="1"/>
  <c r="E70" i="17"/>
  <c r="F70" i="17" s="1"/>
  <c r="D91" i="18"/>
  <c r="D117" i="18"/>
  <c r="E309" i="17" l="1"/>
  <c r="F309" i="17" s="1"/>
  <c r="D310" i="17"/>
  <c r="D105" i="18"/>
  <c r="E105" i="18" s="1"/>
  <c r="E91" i="18"/>
  <c r="E196" i="17"/>
  <c r="F196" i="17" s="1"/>
  <c r="D197" i="17"/>
  <c r="E197" i="17" s="1"/>
  <c r="F197" i="17" s="1"/>
  <c r="C310" i="17"/>
  <c r="E117" i="18"/>
  <c r="D131" i="18"/>
  <c r="E131" i="18" s="1"/>
  <c r="E323" i="17"/>
  <c r="F323" i="17" s="1"/>
  <c r="D325" i="17"/>
  <c r="E325" i="17" s="1"/>
  <c r="F325" i="17" s="1"/>
  <c r="E266" i="18"/>
  <c r="D267" i="18"/>
  <c r="D269" i="18" l="1"/>
  <c r="E269" i="18" s="1"/>
  <c r="D268" i="18"/>
  <c r="E267" i="18"/>
  <c r="C312" i="17"/>
  <c r="D312" i="17"/>
  <c r="E310" i="17"/>
  <c r="F310" i="17" s="1"/>
  <c r="E312" i="17" l="1"/>
  <c r="F312" i="17" s="1"/>
  <c r="D313" i="17"/>
  <c r="C313" i="17"/>
  <c r="E268" i="18"/>
  <c r="D271" i="18"/>
  <c r="E271" i="18" s="1"/>
  <c r="C256" i="17" l="1"/>
  <c r="C314" i="17"/>
  <c r="C251" i="17"/>
  <c r="C315" i="17"/>
  <c r="D251" i="17"/>
  <c r="E251" i="17" s="1"/>
  <c r="D256" i="17"/>
  <c r="D315" i="17"/>
  <c r="E315" i="17" s="1"/>
  <c r="D314" i="17"/>
  <c r="E313" i="17"/>
  <c r="F313" i="17" s="1"/>
  <c r="F251" i="17" l="1"/>
  <c r="C318" i="17"/>
  <c r="F318" i="17" s="1"/>
  <c r="F314" i="17"/>
  <c r="C257" i="17"/>
  <c r="E256" i="17"/>
  <c r="F256" i="17" s="1"/>
  <c r="D257" i="17"/>
  <c r="E257" i="17" s="1"/>
  <c r="F315" i="17"/>
  <c r="D318" i="17"/>
  <c r="E318" i="17" s="1"/>
  <c r="E314" i="17"/>
  <c r="F257" i="17" l="1"/>
</calcChain>
</file>

<file path=xl/sharedStrings.xml><?xml version="1.0" encoding="utf-8"?>
<sst xmlns="http://schemas.openxmlformats.org/spreadsheetml/2006/main" count="2333" uniqueCount="1008">
  <si>
    <t>NORWALK HOSPITAL</t>
  </si>
  <si>
    <t>TWELVE MONTHS ACTUAL FILING</t>
  </si>
  <si>
    <t>FISCAL YEAR 2013</t>
  </si>
  <si>
    <t>REPORT 100 - HOSPITAL BALANCE SHEET INFORMATION</t>
  </si>
  <si>
    <t>FY 2012</t>
  </si>
  <si>
    <t>FY 2013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</si>
  <si>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</si>
  <si>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</si>
  <si>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</si>
  <si>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</si>
  <si>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</si>
  <si>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</si>
  <si>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</si>
  <si>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</si>
  <si>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</si>
  <si>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</si>
  <si>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</si>
  <si>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</si>
  <si>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</si>
  <si>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</si>
  <si>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</si>
  <si>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</si>
  <si>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</si>
  <si>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</si>
  <si>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</si>
  <si>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</si>
  <si>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</si>
  <si>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</si>
  <si>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</si>
  <si>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</si>
  <si>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</si>
  <si>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</si>
  <si>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</si>
  <si>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</si>
  <si>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</si>
  <si>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</si>
  <si>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</si>
  <si>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</si>
  <si>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</si>
  <si>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</si>
  <si>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</si>
  <si>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</si>
  <si>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</si>
  <si>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</si>
  <si>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</si>
  <si>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</si>
  <si>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</si>
  <si>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</si>
  <si>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</si>
  <si>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</si>
  <si>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</si>
  <si>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</si>
  <si>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</si>
  <si>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</si>
  <si>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</si>
  <si>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</si>
  <si>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</si>
  <si>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</si>
  <si>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</si>
  <si>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</si>
  <si>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</si>
  <si>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</si>
  <si>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</si>
  <si>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</si>
  <si>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</si>
  <si>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</si>
  <si>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</si>
  <si>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</si>
  <si>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</si>
  <si>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</si>
  <si>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</si>
  <si>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</si>
  <si>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</si>
  <si>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</si>
  <si>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</si>
  <si>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</si>
  <si>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</si>
  <si>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</si>
  <si>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</si>
  <si>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</si>
  <si>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</si>
  <si>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</si>
  <si>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</si>
  <si>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</si>
  <si>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</si>
  <si>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</si>
  <si>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</si>
  <si>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</si>
  <si>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</si>
  <si>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</si>
  <si>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</si>
  <si>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</si>
  <si>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</si>
  <si>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</si>
  <si>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</si>
  <si>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</si>
  <si>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</si>
  <si>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</si>
  <si>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</si>
  <si>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</si>
  <si>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</si>
  <si>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</si>
  <si>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</si>
  <si>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</si>
  <si>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</si>
  <si>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</si>
  <si>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</si>
  <si>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2012                ACTUAL</t>
  </si>
  <si>
    <t>FY 2013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</si>
  <si>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</si>
  <si>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</si>
  <si>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</si>
  <si>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</si>
  <si>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</si>
  <si>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</si>
  <si>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</si>
  <si>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</si>
  <si>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</si>
  <si>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</si>
  <si>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</si>
  <si>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</si>
  <si>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</si>
  <si>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</si>
  <si>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</si>
  <si>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</si>
  <si>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</si>
  <si>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</si>
  <si>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</si>
  <si>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</si>
  <si>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</si>
  <si>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</si>
  <si>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</si>
  <si>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</si>
  <si>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</si>
  <si>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</si>
  <si>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</si>
  <si>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</si>
  <si>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</si>
  <si>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</si>
  <si>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</si>
  <si>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</si>
  <si>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</si>
  <si>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</si>
  <si>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</si>
  <si>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</si>
  <si>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</si>
  <si>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</si>
  <si>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</si>
  <si>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</si>
  <si>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</si>
  <si>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</si>
  <si>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</si>
  <si>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</si>
  <si>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</si>
  <si>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</si>
  <si>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</si>
  <si>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</si>
  <si>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</si>
  <si>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</si>
  <si>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</si>
  <si>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</si>
  <si>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</si>
  <si>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</si>
  <si>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</si>
  <si>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</si>
  <si>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</si>
  <si>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</si>
  <si>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</si>
  <si>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</si>
  <si>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</si>
  <si>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</si>
  <si>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</si>
  <si>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</si>
  <si>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</si>
  <si>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</si>
  <si>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</si>
  <si>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</si>
  <si>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</si>
  <si>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</si>
  <si>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</si>
  <si>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</si>
  <si>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</si>
  <si>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</si>
  <si>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</si>
  <si>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</si>
  <si>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</si>
  <si>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</si>
  <si>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</si>
  <si>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</si>
  <si>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</si>
  <si>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</si>
  <si>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</si>
  <si>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</si>
  <si>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</si>
  <si>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</si>
  <si>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</si>
  <si>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</si>
  <si>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</si>
  <si>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</si>
  <si>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</si>
  <si>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</si>
  <si>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</si>
  <si>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</si>
  <si>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</si>
  <si>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</si>
  <si>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</si>
  <si>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</si>
  <si>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</si>
  <si>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</si>
  <si>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</si>
  <si>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</si>
  <si>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</si>
  <si>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</si>
  <si>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</si>
  <si>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</si>
  <si>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</si>
  <si>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</si>
  <si>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</si>
  <si>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</si>
  <si>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</si>
  <si>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</si>
  <si>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</si>
  <si>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</si>
  <si>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</si>
  <si>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</si>
  <si>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</si>
  <si>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</si>
  <si>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</si>
  <si>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</si>
  <si>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</si>
  <si>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</si>
  <si>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</si>
  <si>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</si>
  <si>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</si>
  <si>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</si>
  <si>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</si>
  <si>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</si>
  <si>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</si>
  <si>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</si>
  <si>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</si>
  <si>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</si>
  <si>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</si>
  <si>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</si>
  <si>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</si>
  <si>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</si>
  <si>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</si>
  <si>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</si>
  <si>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</si>
  <si>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</si>
  <si>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</si>
  <si>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</si>
  <si>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</si>
  <si>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</si>
  <si>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</si>
  <si>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</si>
  <si>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</si>
  <si>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</si>
  <si>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</si>
  <si>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</si>
  <si>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</si>
  <si>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</si>
  <si>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</si>
  <si>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</si>
  <si>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</si>
  <si>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</si>
  <si>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</si>
  <si>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</si>
  <si>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</si>
  <si>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</si>
  <si>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</si>
  <si>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</si>
  <si>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</si>
  <si>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</si>
  <si>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</si>
  <si>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</si>
  <si>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</si>
  <si>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</si>
  <si>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</si>
  <si>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</si>
  <si>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</si>
  <si>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</si>
  <si>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</si>
  <si>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</si>
  <si>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</si>
  <si>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</si>
  <si>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</si>
  <si>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</si>
  <si>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</si>
  <si>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</si>
  <si>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</si>
  <si>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</si>
  <si>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</si>
  <si>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</si>
  <si>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</si>
  <si>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</si>
  <si>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</si>
  <si>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</si>
  <si>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</si>
  <si>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</si>
  <si>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</si>
  <si>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</si>
  <si>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</si>
  <si>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</si>
  <si>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</si>
  <si>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</si>
  <si>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</si>
  <si>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</si>
  <si>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</si>
  <si>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</si>
  <si>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</si>
  <si>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</si>
  <si>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</si>
  <si>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</si>
  <si>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</si>
  <si>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2013</t>
  </si>
  <si>
    <t>REPORT 185 - HOSPITAL FINANCIAL AND STATISTICAL DATA ANALYSIS</t>
  </si>
  <si>
    <t xml:space="preserve">      FY 2011</t>
  </si>
  <si>
    <t xml:space="preserve">      FY 2012</t>
  </si>
  <si>
    <t xml:space="preserve">      FY 2013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</si>
  <si>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</si>
  <si>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</si>
  <si>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</si>
  <si>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</si>
  <si>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</si>
  <si>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</si>
  <si>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</si>
  <si>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</si>
  <si>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</si>
  <si>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</si>
  <si>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</si>
  <si>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</si>
  <si>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</si>
  <si>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</si>
  <si>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</si>
  <si>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</si>
  <si>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</si>
  <si>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</si>
  <si>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</si>
  <si>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</si>
  <si>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</si>
  <si>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</si>
  <si>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</si>
  <si>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</si>
  <si>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</si>
  <si>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</si>
  <si>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</si>
  <si>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</si>
  <si>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</si>
  <si>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</si>
  <si>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</si>
  <si>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</si>
  <si>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</si>
  <si>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</si>
  <si>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</si>
  <si>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</si>
  <si>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</si>
  <si>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</si>
  <si>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</si>
  <si>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</si>
  <si>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</si>
  <si>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</si>
  <si>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</si>
  <si>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</si>
  <si>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</si>
  <si>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</si>
  <si>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</si>
  <si>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</si>
  <si>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</si>
  <si>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</si>
  <si>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</si>
  <si>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</si>
  <si>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</si>
  <si>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</si>
  <si>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</si>
  <si>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</si>
  <si>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</si>
  <si>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</si>
  <si>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</si>
  <si>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</si>
  <si>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</si>
  <si>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</si>
  <si>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</si>
  <si>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</si>
  <si>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</si>
  <si>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</si>
  <si>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</si>
  <si>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</si>
  <si>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</si>
  <si>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</si>
  <si>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</si>
  <si>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</si>
  <si>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</si>
  <si>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</si>
  <si>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</si>
  <si>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</si>
  <si>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</si>
  <si>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</si>
  <si>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</si>
  <si>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</si>
  <si>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</si>
  <si>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</si>
  <si>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</si>
  <si>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</si>
  <si>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</si>
  <si>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</si>
  <si>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</si>
  <si>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</si>
  <si>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</si>
  <si>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</si>
  <si>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</si>
  <si>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</si>
  <si>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</si>
  <si>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</si>
  <si>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</si>
  <si>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</si>
  <si>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</si>
  <si>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</si>
  <si>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</si>
  <si>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</si>
  <si>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</si>
  <si>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</si>
  <si>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</si>
  <si>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</si>
  <si>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</si>
  <si>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</si>
  <si>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</si>
  <si>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</si>
  <si>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</si>
  <si>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</si>
  <si>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</si>
  <si>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</si>
  <si>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</si>
  <si>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</si>
  <si>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</si>
  <si>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</si>
  <si>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</si>
  <si>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2012 ACTUAL</t>
  </si>
  <si>
    <t>FY 2013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</si>
  <si>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</si>
  <si>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</si>
  <si>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</si>
  <si>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</si>
  <si>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</si>
  <si>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</si>
  <si>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</si>
  <si>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</si>
  <si>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</si>
  <si>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</si>
  <si>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</si>
  <si>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</si>
  <si>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</si>
  <si>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</si>
  <si>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</si>
  <si>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</si>
  <si>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</si>
  <si>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</si>
  <si>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</si>
  <si>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</si>
  <si>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</si>
  <si>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</si>
  <si>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</si>
  <si>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</si>
  <si>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</si>
  <si>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</si>
  <si>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</si>
  <si>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</si>
  <si>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</si>
  <si>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</si>
  <si>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</si>
  <si>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</si>
  <si>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</si>
  <si>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</si>
  <si>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</si>
  <si>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</si>
  <si>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2012 ACTUAL     </t>
  </si>
  <si>
    <t xml:space="preserve">      FY 2013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</si>
  <si>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</si>
  <si>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</si>
  <si>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</si>
  <si>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</si>
  <si>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</si>
  <si>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</si>
  <si>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</si>
  <si>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</si>
  <si>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</si>
  <si>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</si>
  <si>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</si>
  <si>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</si>
  <si>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</si>
  <si>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</si>
  <si>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</si>
  <si>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</si>
  <si>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</si>
  <si>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</si>
  <si>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</si>
  <si>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</si>
  <si>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</si>
  <si>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</si>
  <si>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</si>
  <si>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</si>
  <si>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NORWALK HEALTH SERVICES CORPORATION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</si>
  <si>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</si>
  <si>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</si>
  <si>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</si>
  <si>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</si>
  <si>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2011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</si>
  <si>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</si>
  <si>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</si>
  <si>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</si>
  <si>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</si>
  <si>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</si>
  <si>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</si>
  <si>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</si>
  <si>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</si>
  <si>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</si>
  <si>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</si>
  <si>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</si>
  <si>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</si>
  <si>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</si>
  <si>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</si>
  <si>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</si>
  <si>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</si>
  <si>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</si>
  <si>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</si>
  <si>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</si>
  <si>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</si>
  <si>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</si>
  <si>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</si>
  <si>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</si>
  <si>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</si>
  <si>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</si>
  <si>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</si>
  <si>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</si>
  <si>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</si>
  <si>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</si>
  <si>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</si>
  <si>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</si>
  <si>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</si>
  <si>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</si>
  <si>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</si>
  <si>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</si>
  <si>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</si>
  <si>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</si>
  <si>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</si>
  <si>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</si>
  <si>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</si>
  <si>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</si>
  <si>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</si>
  <si>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</si>
  <si>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</si>
  <si>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</si>
  <si>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</si>
  <si>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</si>
  <si>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</si>
  <si>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</si>
  <si>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</si>
  <si>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</si>
  <si>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</si>
  <si>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</si>
  <si>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</si>
  <si>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</si>
  <si>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</si>
  <si>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</si>
  <si>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</si>
  <si>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</si>
  <si>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</si>
  <si>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</si>
  <si>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</si>
  <si>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</si>
  <si>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</si>
  <si>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</si>
  <si>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</si>
  <si>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</si>
  <si>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</si>
  <si>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</si>
  <si>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</si>
  <si>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</si>
  <si>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</si>
  <si>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</si>
  <si>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</si>
  <si>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</si>
  <si>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</si>
  <si>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</si>
  <si>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</si>
  <si>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</si>
  <si>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</si>
  <si>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</si>
  <si>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</si>
  <si>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</si>
  <si>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</si>
  <si>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</si>
  <si>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</si>
  <si>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</si>
  <si>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</si>
  <si>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</si>
  <si>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</si>
  <si>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</si>
  <si>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</si>
  <si>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</si>
  <si>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</si>
  <si>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</si>
  <si>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</si>
  <si>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</si>
  <si>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</si>
  <si>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</si>
  <si>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</si>
  <si>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</si>
  <si>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</si>
  <si>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</si>
  <si>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</si>
  <si>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</si>
  <si>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</si>
  <si>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</si>
  <si>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</si>
  <si>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</si>
  <si>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</si>
  <si>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</si>
  <si>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</si>
  <si>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</si>
  <si>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</si>
  <si>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</si>
  <si>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Norwalk Hospital</t>
  </si>
  <si>
    <t>Total Outpatient Surgical Procedures(A)</t>
  </si>
  <si>
    <t>Total Outpatient Endoscopy Procedures(B)</t>
  </si>
  <si>
    <t>Outpatient Hospital Emergency Room Visits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</si>
  <si>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</si>
  <si>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</si>
  <si>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</si>
  <si>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</si>
  <si>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</si>
  <si>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</si>
  <si>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</si>
  <si>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</si>
  <si>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</si>
  <si>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</si>
  <si>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</si>
  <si>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</si>
  <si>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</si>
  <si>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</si>
  <si>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</si>
  <si>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</si>
  <si>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</si>
  <si>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</si>
  <si>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</si>
  <si>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</si>
  <si>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</si>
  <si>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</si>
  <si>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</si>
  <si>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</si>
  <si>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</si>
  <si>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</si>
  <si>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</si>
  <si>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</si>
  <si>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</si>
  <si>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</si>
  <si>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</si>
  <si>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</si>
  <si>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</si>
  <si>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</si>
  <si>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</si>
  <si>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</si>
  <si>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</si>
  <si>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</si>
  <si>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</si>
  <si>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</si>
  <si>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</si>
  <si>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</si>
  <si>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</si>
  <si>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</si>
  <si>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</si>
  <si>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</si>
  <si>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</si>
  <si>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</si>
  <si>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</si>
  <si>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</si>
  <si>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</si>
  <si>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</si>
  <si>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</si>
  <si>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</si>
  <si>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</si>
  <si>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</si>
  <si>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</si>
  <si>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</si>
  <si>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</si>
  <si>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</si>
  <si>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</si>
  <si>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</si>
  <si>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</si>
  <si>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</si>
  <si>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</si>
  <si>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</si>
  <si>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</si>
  <si>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</si>
  <si>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</si>
  <si>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</si>
  <si>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</si>
  <si>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</si>
  <si>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</si>
  <si>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</si>
  <si>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</si>
  <si>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</si>
  <si>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</si>
  <si>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</si>
  <si>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</si>
  <si>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</si>
  <si>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</si>
  <si>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</si>
  <si>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</si>
  <si>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</si>
  <si>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</si>
  <si>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</si>
  <si>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</si>
  <si>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</si>
  <si>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</si>
  <si>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</si>
  <si>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</si>
  <si>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</si>
  <si>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</si>
  <si>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</si>
  <si>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</si>
  <si>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</si>
  <si>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</si>
  <si>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</si>
  <si>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</si>
  <si>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</si>
  <si>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</si>
  <si>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</si>
  <si>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</si>
  <si>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</si>
  <si>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</si>
  <si>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</si>
  <si>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</si>
  <si>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</si>
  <si>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</si>
  <si>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</si>
  <si>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</si>
  <si>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</si>
  <si>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</si>
  <si>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</si>
  <si>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</si>
  <si>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</si>
  <si>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</si>
  <si>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</si>
  <si>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</si>
  <si>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</si>
  <si>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</si>
  <si>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</si>
  <si>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</si>
  <si>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</si>
  <si>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</si>
  <si>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</si>
  <si>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</si>
  <si>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</si>
  <si>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</si>
  <si>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</si>
  <si>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</si>
  <si>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</si>
  <si>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</si>
  <si>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</si>
  <si>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</si>
  <si>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</si>
  <si>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</si>
  <si>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</si>
  <si>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</si>
  <si>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</si>
  <si>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</si>
  <si>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</si>
  <si>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</si>
  <si>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</si>
  <si>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2013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</si>
  <si>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</si>
  <si>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</si>
  <si>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2012</t>
    </r>
  </si>
  <si>
    <r>
      <t xml:space="preserve">ACTUAL            </t>
    </r>
    <r>
      <rPr>
        <b/>
        <u/>
        <sz val="12"/>
        <rFont val="Arial"/>
        <family val="2"/>
      </rPr>
      <t>FY 2013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</si>
  <si>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</si>
  <si>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</si>
  <si>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</si>
  <si>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</si>
  <si>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</si>
  <si>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</si>
  <si>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</si>
  <si>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</si>
  <si>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</si>
  <si>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</si>
  <si>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</si>
  <si>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</si>
  <si>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</si>
  <si>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</si>
  <si>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</si>
  <si>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</si>
  <si>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</si>
  <si>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</si>
  <si>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</si>
  <si>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</si>
  <si>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</si>
  <si>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</si>
  <si>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</si>
  <si>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</si>
  <si>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</si>
  <si>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</si>
  <si>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</si>
  <si>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</si>
  <si>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</si>
  <si>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</si>
  <si>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</si>
  <si>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</si>
  <si>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</si>
  <si>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</si>
  <si>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</si>
  <si>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</si>
  <si>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</si>
  <si>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</si>
  <si>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</si>
  <si>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</si>
  <si>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</si>
  <si>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</si>
  <si>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</si>
  <si>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</si>
  <si>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</si>
  <si>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</si>
  <si>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</si>
  <si>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</si>
  <si>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</si>
  <si>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</si>
  <si>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</si>
  <si>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</si>
  <si>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</si>
  <si>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</si>
  <si>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</si>
  <si>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</si>
  <si>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</si>
  <si>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</si>
  <si>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</si>
  <si>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</si>
  <si>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</si>
  <si>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</si>
  <si>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</si>
  <si>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</si>
  <si>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</si>
  <si>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</si>
  <si>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</si>
  <si>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</si>
  <si>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</si>
  <si>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</si>
  <si>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</si>
  <si>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</si>
  <si>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</si>
  <si>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</si>
  <si>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</si>
  <si>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</si>
  <si>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</si>
  <si>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</si>
  <si>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</si>
  <si>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</si>
  <si>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</si>
  <si>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</si>
  <si>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</si>
  <si>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</si>
  <si>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</si>
  <si>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</si>
  <si>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</si>
  <si>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</si>
  <si>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</si>
  <si>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</si>
  <si>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</si>
  <si>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</si>
  <si>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</si>
  <si>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</si>
  <si>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</si>
  <si>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</si>
  <si>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</si>
  <si>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2013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</si>
  <si>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</si>
  <si>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</si>
  <si>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</si>
  <si>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</si>
  <si>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</si>
  <si>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</si>
  <si>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</si>
  <si>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</si>
  <si>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</si>
  <si>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</si>
  <si>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</si>
  <si>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</si>
  <si>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</si>
  <si>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</si>
  <si>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</si>
  <si>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</si>
  <si>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</si>
  <si>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</si>
  <si>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</si>
  <si>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</si>
  <si>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</si>
  <si>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</si>
  <si>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</si>
  <si>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</si>
  <si>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</si>
  <si>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</si>
  <si>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</si>
  <si>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</si>
  <si>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</si>
  <si>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</si>
  <si>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</si>
  <si>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</si>
  <si>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</si>
  <si>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</si>
  <si>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</si>
  <si>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</si>
  <si>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</si>
  <si>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</si>
  <si>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</si>
  <si>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</si>
  <si>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</si>
  <si>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</si>
  <si>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</si>
  <si>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</si>
  <si>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</si>
  <si>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</si>
  <si>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</si>
  <si>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</si>
  <si>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</si>
  <si>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</si>
  <si>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</si>
  <si>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</si>
  <si>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</si>
  <si>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</si>
  <si>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</si>
  <si>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2011</t>
    </r>
  </si>
  <si>
    <r>
      <t xml:space="preserve">ACTUAL          </t>
    </r>
    <r>
      <rPr>
        <b/>
        <u/>
        <sz val="14"/>
        <rFont val="Arial"/>
        <family val="2"/>
      </rPr>
      <t>FY 2012</t>
    </r>
  </si>
  <si>
    <r>
      <t xml:space="preserve">ACTUAL          </t>
    </r>
    <r>
      <rPr>
        <b/>
        <u/>
        <sz val="14"/>
        <rFont val="Arial"/>
        <family val="2"/>
      </rPr>
      <t>FY 2013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</si>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</sst>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5" xfId="6" applyBorder="1" applyAlignment="1"/>
    <xf numFmtId="0" fontId="2" fillId="0" borderId="35" xfId="6" applyFont="1" applyBorder="1" applyAlignment="1">
      <alignment horizontal="centerContinuous"/>
    </xf>
    <xf numFmtId="0" fontId="1" fillId="0" borderId="35" xfId="6" applyFont="1" applyBorder="1" applyAlignment="1">
      <alignment horizontal="centerContinuous"/>
    </xf>
    <xf numFmtId="0" fontId="1" fillId="0" borderId="35" xfId="6" applyFont="1" applyBorder="1" applyAlignment="1"/>
    <xf numFmtId="164" fontId="2" fillId="0" borderId="35" xfId="6" applyNumberFormat="1" applyFont="1" applyBorder="1" applyAlignment="1">
      <alignment horizontal="center"/>
    </xf>
    <xf numFmtId="0" fontId="1" fillId="0" borderId="35" xfId="6" applyFill="1" applyBorder="1" applyAlignment="1"/>
    <xf numFmtId="0" fontId="2" fillId="0" borderId="35" xfId="6" applyFont="1" applyFill="1" applyBorder="1" applyAlignment="1">
      <alignment horizontal="left"/>
    </xf>
    <xf numFmtId="0" fontId="2" fillId="0" borderId="35" xfId="6" applyFont="1" applyFill="1" applyBorder="1" applyAlignment="1">
      <alignment horizontal="centerContinuous"/>
    </xf>
    <xf numFmtId="164" fontId="3" fillId="0" borderId="35" xfId="6" applyNumberFormat="1" applyFont="1" applyBorder="1" applyAlignment="1">
      <alignment horizontal="center"/>
    </xf>
    <xf numFmtId="0" fontId="2" fillId="0" borderId="35" xfId="6" applyFont="1" applyFill="1" applyBorder="1" applyAlignment="1">
      <alignment horizontal="center"/>
    </xf>
    <xf numFmtId="0" fontId="1" fillId="0" borderId="35" xfId="6" applyFill="1" applyBorder="1" applyAlignment="1">
      <alignment horizontal="center"/>
    </xf>
    <xf numFmtId="0" fontId="4" fillId="0" borderId="35" xfId="6" applyFont="1" applyFill="1" applyBorder="1" applyAlignment="1">
      <alignment horizontal="center"/>
    </xf>
    <xf numFmtId="164" fontId="5" fillId="0" borderId="35" xfId="6" applyNumberFormat="1" applyFont="1" applyBorder="1" applyAlignment="1">
      <alignment horizontal="center" wrapText="1"/>
    </xf>
    <xf numFmtId="0" fontId="5" fillId="0" borderId="35" xfId="6" applyFont="1" applyFill="1" applyBorder="1" applyAlignment="1">
      <alignment horizontal="center"/>
    </xf>
    <xf numFmtId="0" fontId="4" fillId="0" borderId="35" xfId="6" applyFont="1" applyFill="1" applyBorder="1" applyAlignment="1">
      <alignment horizontal="left"/>
    </xf>
    <xf numFmtId="0" fontId="1" fillId="0" borderId="35" xfId="6" applyFont="1" applyFill="1" applyBorder="1" applyAlignment="1">
      <alignment horizontal="center"/>
    </xf>
    <xf numFmtId="0" fontId="1" fillId="0" borderId="35" xfId="6" applyFont="1" applyFill="1" applyBorder="1" applyAlignment="1"/>
    <xf numFmtId="0" fontId="1" fillId="0" borderId="35" xfId="6" applyFont="1" applyFill="1" applyBorder="1" applyAlignment="1">
      <alignment horizontal="center" wrapText="1"/>
    </xf>
    <xf numFmtId="0" fontId="3" fillId="0" borderId="35" xfId="6" applyFont="1" applyFill="1" applyBorder="1" applyAlignment="1">
      <alignment horizontal="center"/>
    </xf>
    <xf numFmtId="0" fontId="1" fillId="0" borderId="35" xfId="6" applyFont="1" applyBorder="1" applyAlignment="1">
      <alignment horizontal="center"/>
    </xf>
    <xf numFmtId="0" fontId="1" fillId="0" borderId="35" xfId="6" applyFont="1" applyBorder="1" applyAlignment="1">
      <alignment horizontal="left"/>
    </xf>
    <xf numFmtId="5" fontId="1" fillId="0" borderId="35" xfId="6" applyNumberFormat="1" applyFont="1" applyBorder="1" applyAlignment="1">
      <alignment horizontal="right"/>
    </xf>
    <xf numFmtId="9" fontId="1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center"/>
    </xf>
    <xf numFmtId="0" fontId="2" fillId="0" borderId="35" xfId="6" applyFont="1" applyBorder="1" applyAlignment="1">
      <alignment horizontal="left"/>
    </xf>
    <xf numFmtId="5" fontId="3" fillId="0" borderId="35" xfId="6" applyNumberFormat="1" applyFont="1" applyBorder="1" applyAlignment="1">
      <alignment horizontal="right"/>
    </xf>
    <xf numFmtId="9" fontId="3" fillId="0" borderId="35" xfId="6" applyNumberFormat="1" applyFont="1" applyBorder="1" applyAlignment="1">
      <alignment horizontal="right"/>
    </xf>
    <xf numFmtId="37" fontId="1" fillId="0" borderId="35" xfId="6" applyNumberFormat="1" applyFont="1" applyBorder="1" applyAlignment="1">
      <alignment horizontal="right"/>
    </xf>
    <xf numFmtId="0" fontId="3" fillId="0" borderId="35" xfId="6" applyFont="1" applyBorder="1" applyAlignment="1">
      <alignment horizontal="center"/>
    </xf>
    <xf numFmtId="0" fontId="5" fillId="0" borderId="35" xfId="6" applyFont="1" applyBorder="1" applyAlignment="1">
      <alignment horizontal="left"/>
    </xf>
    <xf numFmtId="37" fontId="1" fillId="0" borderId="35" xfId="6" applyNumberFormat="1" applyFont="1" applyBorder="1" applyAlignment="1"/>
    <xf numFmtId="0" fontId="1" fillId="0" borderId="35" xfId="6" applyBorder="1" applyAlignment="1">
      <alignment horizontal="left"/>
    </xf>
    <xf numFmtId="6" fontId="1" fillId="0" borderId="35" xfId="6" applyNumberFormat="1" applyBorder="1" applyAlignment="1">
      <alignment horizontal="right"/>
    </xf>
    <xf numFmtId="9" fontId="1" fillId="0" borderId="35" xfId="6" applyNumberFormat="1" applyBorder="1" applyAlignment="1">
      <alignment horizontal="right"/>
    </xf>
    <xf numFmtId="0" fontId="2" fillId="0" borderId="35" xfId="6" applyFont="1" applyBorder="1" applyAlignment="1">
      <alignment horizontal="center"/>
    </xf>
    <xf numFmtId="37" fontId="2" fillId="0" borderId="35" xfId="6" applyNumberFormat="1" applyFont="1" applyBorder="1" applyAlignment="1">
      <alignment horizontal="centerContinuous"/>
    </xf>
    <xf numFmtId="37" fontId="1" fillId="0" borderId="35" xfId="6" applyNumberFormat="1" applyFont="1" applyBorder="1" applyAlignment="1">
      <alignment horizontal="centerContinuous"/>
    </xf>
    <xf numFmtId="37" fontId="4" fillId="0" borderId="35" xfId="6" applyNumberFormat="1" applyFont="1" applyFill="1" applyBorder="1" applyAlignment="1">
      <alignment horizontal="center"/>
    </xf>
    <xf numFmtId="37" fontId="1" fillId="0" borderId="35" xfId="6" applyNumberFormat="1" applyFont="1" applyFill="1" applyBorder="1" applyAlignment="1"/>
    <xf numFmtId="37" fontId="1" fillId="0" borderId="35" xfId="6" applyNumberFormat="1" applyFont="1" applyFill="1" applyBorder="1" applyAlignment="1">
      <alignment horizontal="center"/>
    </xf>
    <xf numFmtId="0" fontId="4" fillId="0" borderId="35" xfId="6" applyFont="1" applyBorder="1" applyAlignment="1">
      <alignment horizontal="left"/>
    </xf>
    <xf numFmtId="37" fontId="3" fillId="0" borderId="35" xfId="6" applyNumberFormat="1" applyFont="1" applyBorder="1" applyAlignment="1">
      <alignment horizontal="right"/>
    </xf>
    <xf numFmtId="0" fontId="6" fillId="0" borderId="35" xfId="6" applyFont="1" applyFill="1" applyBorder="1" applyAlignment="1">
      <alignment horizontal="center"/>
    </xf>
    <xf numFmtId="0" fontId="6" fillId="0" borderId="35" xfId="6" applyFont="1" applyFill="1" applyBorder="1" applyAlignment="1">
      <alignment horizontal="left"/>
    </xf>
    <xf numFmtId="9" fontId="6" fillId="0" borderId="35" xfId="6" applyNumberFormat="1" applyFont="1" applyFill="1" applyBorder="1" applyAlignment="1">
      <alignment horizontal="right"/>
    </xf>
    <xf numFmtId="0" fontId="7" fillId="0" borderId="35" xfId="6" applyFont="1" applyBorder="1" applyAlignment="1"/>
    <xf numFmtId="0" fontId="3" fillId="0" borderId="35" xfId="6" applyFont="1" applyBorder="1"/>
    <xf numFmtId="0" fontId="6" fillId="0" borderId="35" xfId="6" applyFont="1" applyBorder="1" applyAlignment="1">
      <alignment horizontal="left"/>
    </xf>
    <xf numFmtId="37" fontId="6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left" wrapText="1"/>
    </xf>
    <xf numFmtId="5" fontId="6" fillId="0" borderId="35" xfId="6" applyNumberFormat="1" applyFont="1" applyBorder="1" applyAlignment="1">
      <alignment horizontal="right"/>
    </xf>
    <xf numFmtId="165" fontId="6" fillId="0" borderId="35" xfId="6" applyNumberFormat="1" applyFont="1" applyBorder="1" applyAlignment="1">
      <alignment horizontal="right"/>
    </xf>
    <xf numFmtId="165" fontId="3" fillId="0" borderId="35" xfId="6" applyNumberFormat="1" applyFont="1" applyBorder="1" applyAlignment="1">
      <alignment horizontal="right"/>
    </xf>
    <xf numFmtId="0" fontId="1" fillId="0" borderId="35" xfId="6" applyFont="1" applyBorder="1" applyAlignment="1">
      <alignment horizontal="right"/>
    </xf>
    <xf numFmtId="0" fontId="6" fillId="0" borderId="35" xfId="6" applyFont="1" applyBorder="1" applyAlignment="1"/>
    <xf numFmtId="0" fontId="8" fillId="0" borderId="0" xfId="7" applyBorder="1" applyAlignment="1"/>
    <xf numFmtId="164" fontId="3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right"/>
    </xf>
    <xf numFmtId="0" fontId="3" fillId="0" borderId="35" xfId="7" applyFont="1" applyBorder="1" applyAlignment="1"/>
    <xf numFmtId="164" fontId="3" fillId="0" borderId="35" xfId="7" applyNumberFormat="1" applyFont="1" applyBorder="1" applyAlignment="1">
      <alignment horizontal="center"/>
    </xf>
    <xf numFmtId="0" fontId="5" fillId="0" borderId="35" xfId="7" applyFont="1" applyBorder="1" applyAlignment="1">
      <alignment horizontal="right"/>
    </xf>
    <xf numFmtId="0" fontId="5" fillId="0" borderId="35" xfId="7" applyFont="1" applyBorder="1" applyAlignment="1"/>
    <xf numFmtId="164" fontId="5" fillId="0" borderId="35" xfId="7" applyNumberFormat="1" applyFont="1" applyBorder="1" applyAlignment="1">
      <alignment horizontal="center" wrapText="1"/>
    </xf>
    <xf numFmtId="6" fontId="5" fillId="0" borderId="35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6" xfId="7" applyFill="1" applyBorder="1" applyAlignment="1">
      <alignment horizontal="center"/>
    </xf>
    <xf numFmtId="0" fontId="6" fillId="0" borderId="35" xfId="7" applyFont="1" applyBorder="1" applyAlignment="1"/>
    <xf numFmtId="164" fontId="6" fillId="0" borderId="35" xfId="7" applyNumberFormat="1" applyFont="1" applyFill="1" applyBorder="1" applyAlignment="1">
      <alignment horizontal="center"/>
    </xf>
    <xf numFmtId="6" fontId="3" fillId="0" borderId="35" xfId="7" applyNumberFormat="1" applyFont="1" applyBorder="1" applyAlignment="1">
      <alignment horizontal="center"/>
    </xf>
    <xf numFmtId="0" fontId="8" fillId="0" borderId="35" xfId="7" applyBorder="1" applyAlignment="1"/>
    <xf numFmtId="0" fontId="3" fillId="0" borderId="35" xfId="7" applyFont="1" applyBorder="1" applyAlignment="1">
      <alignment horizontal="center"/>
    </xf>
    <xf numFmtId="0" fontId="5" fillId="0" borderId="35" xfId="7" applyFont="1" applyBorder="1" applyAlignment="1">
      <alignment horizontal="left"/>
    </xf>
    <xf numFmtId="6" fontId="6" fillId="0" borderId="35" xfId="7" applyNumberFormat="1" applyFont="1" applyBorder="1" applyAlignment="1">
      <alignment horizontal="center"/>
    </xf>
    <xf numFmtId="0" fontId="6" fillId="0" borderId="35" xfId="7" applyFont="1" applyBorder="1" applyAlignment="1">
      <alignment horizontal="center"/>
    </xf>
    <xf numFmtId="0" fontId="6" fillId="0" borderId="35" xfId="7" applyFont="1" applyBorder="1" applyAlignment="1">
      <alignment horizontal="left"/>
    </xf>
    <xf numFmtId="5" fontId="6" fillId="0" borderId="35" xfId="7" applyNumberFormat="1" applyFont="1" applyBorder="1" applyAlignment="1">
      <alignment horizontal="right"/>
    </xf>
    <xf numFmtId="9" fontId="6" fillId="0" borderId="35" xfId="7" applyNumberFormat="1" applyFont="1" applyBorder="1" applyAlignment="1">
      <alignment horizontal="right"/>
    </xf>
    <xf numFmtId="0" fontId="3" fillId="0" borderId="35" xfId="7" applyFont="1" applyBorder="1" applyAlignment="1">
      <alignment horizontal="left"/>
    </xf>
    <xf numFmtId="5" fontId="3" fillId="0" borderId="35" xfId="7" applyNumberFormat="1" applyFont="1" applyBorder="1" applyAlignment="1">
      <alignment horizontal="right"/>
    </xf>
    <xf numFmtId="9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 wrapText="1"/>
    </xf>
    <xf numFmtId="0" fontId="6" fillId="0" borderId="35" xfId="7" applyFont="1" applyFill="1" applyBorder="1" applyAlignment="1">
      <alignment horizontal="left" wrapText="1"/>
    </xf>
    <xf numFmtId="0" fontId="3" fillId="0" borderId="35" xfId="7" applyFont="1" applyFill="1" applyBorder="1" applyAlignment="1">
      <alignment horizontal="center"/>
    </xf>
    <xf numFmtId="0" fontId="6" fillId="0" borderId="35" xfId="7" applyFont="1" applyBorder="1" applyAlignment="1">
      <alignment horizontal="right"/>
    </xf>
    <xf numFmtId="0" fontId="6" fillId="0" borderId="35" xfId="7" applyFont="1" applyFill="1" applyBorder="1" applyAlignment="1">
      <alignment horizontal="center"/>
    </xf>
    <xf numFmtId="37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/>
    </xf>
    <xf numFmtId="165" fontId="3" fillId="0" borderId="35" xfId="7" applyNumberFormat="1" applyFont="1" applyBorder="1" applyAlignment="1">
      <alignment horizontal="right"/>
    </xf>
    <xf numFmtId="42" fontId="6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16" xfId="6" applyNumberFormat="1" applyFont="1" applyBorder="1" applyAlignment="1">
      <alignment horizontal="center"/>
    </xf>
    <xf numFmtId="164" fontId="5" fillId="0" borderId="16" xfId="6" applyNumberFormat="1" applyFont="1" applyBorder="1" applyAlignment="1">
      <alignment horizontal="left" wrapText="1"/>
    </xf>
    <xf numFmtId="5" fontId="6" fillId="0" borderId="16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center" vertical="center"/>
    </xf>
    <xf numFmtId="43" fontId="6" fillId="0" borderId="16" xfId="1" applyFont="1" applyBorder="1" applyProtection="1">
      <protection locked="0"/>
    </xf>
    <xf numFmtId="164" fontId="3" fillId="0" borderId="16" xfId="6" applyNumberFormat="1" applyFont="1" applyBorder="1" applyAlignment="1">
      <alignment horizontal="center" vertical="center"/>
    </xf>
    <xf numFmtId="164" fontId="3" fillId="0" borderId="16" xfId="6" applyNumberFormat="1" applyFont="1" applyBorder="1" applyAlignment="1">
      <alignment horizontal="left" wrapText="1"/>
    </xf>
    <xf numFmtId="5" fontId="3" fillId="0" borderId="16" xfId="6" applyNumberFormat="1" applyFont="1" applyBorder="1" applyAlignment="1">
      <alignment horizontal="right"/>
    </xf>
    <xf numFmtId="9" fontId="3" fillId="0" borderId="16" xfId="6" applyNumberFormat="1" applyFont="1" applyBorder="1" applyAlignment="1">
      <alignment horizontal="right"/>
    </xf>
    <xf numFmtId="164" fontId="3" fillId="0" borderId="16" xfId="6" applyNumberFormat="1" applyFont="1" applyBorder="1" applyAlignment="1">
      <alignment horizontal="right"/>
    </xf>
    <xf numFmtId="43" fontId="3" fillId="0" borderId="16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7" xfId="6" applyNumberFormat="1" applyFont="1" applyFill="1" applyBorder="1" applyAlignment="1">
      <alignment horizontal="center"/>
    </xf>
    <xf numFmtId="164" fontId="3" fillId="0" borderId="18" xfId="6" applyNumberFormat="1" applyFont="1" applyBorder="1" applyAlignment="1">
      <alignment horizontal="left"/>
    </xf>
    <xf numFmtId="5" fontId="3" fillId="0" borderId="17" xfId="6" applyNumberFormat="1" applyFont="1" applyBorder="1" applyAlignment="1">
      <alignment horizontal="right"/>
    </xf>
    <xf numFmtId="5" fontId="3" fillId="0" borderId="19" xfId="6" applyNumberFormat="1" applyFont="1" applyBorder="1" applyAlignment="1">
      <alignment horizontal="right"/>
    </xf>
    <xf numFmtId="9" fontId="3" fillId="0" borderId="19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right"/>
    </xf>
    <xf numFmtId="164" fontId="3" fillId="0" borderId="19" xfId="6" applyNumberFormat="1" applyFont="1" applyFill="1" applyBorder="1" applyAlignment="1">
      <alignment horizontal="center"/>
    </xf>
    <xf numFmtId="164" fontId="3" fillId="0" borderId="17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20" xfId="7" applyFont="1" applyBorder="1" applyAlignment="1">
      <alignment horizontal="center"/>
    </xf>
    <xf numFmtId="0" fontId="6" fillId="0" borderId="0" xfId="7" applyFont="1" applyBorder="1"/>
    <xf numFmtId="164" fontId="3" fillId="0" borderId="16" xfId="7" applyNumberFormat="1" applyFont="1" applyBorder="1" applyAlignment="1">
      <alignment horizontal="center"/>
    </xf>
    <xf numFmtId="164" fontId="3" fillId="0" borderId="23" xfId="7" applyNumberFormat="1" applyFont="1" applyBorder="1" applyAlignment="1">
      <alignment horizontal="center"/>
    </xf>
    <xf numFmtId="164" fontId="3" fillId="0" borderId="23" xfId="7" applyNumberFormat="1" applyFont="1" applyBorder="1" applyAlignment="1"/>
    <xf numFmtId="0" fontId="3" fillId="0" borderId="23" xfId="7" applyFont="1" applyBorder="1" applyAlignment="1">
      <alignment horizontal="center" wrapText="1"/>
    </xf>
    <xf numFmtId="164" fontId="3" fillId="0" borderId="23" xfId="7" applyNumberFormat="1" applyFont="1" applyBorder="1" applyAlignment="1">
      <alignment horizontal="center" wrapText="1"/>
    </xf>
    <xf numFmtId="164" fontId="5" fillId="0" borderId="23" xfId="7" applyNumberFormat="1" applyFont="1" applyBorder="1" applyAlignment="1">
      <alignment horizontal="center"/>
    </xf>
    <xf numFmtId="164" fontId="5" fillId="0" borderId="23" xfId="7" applyNumberFormat="1" applyFont="1" applyBorder="1" applyAlignment="1">
      <alignment horizontal="left"/>
    </xf>
    <xf numFmtId="164" fontId="5" fillId="0" borderId="23" xfId="7" applyNumberFormat="1" applyFont="1" applyBorder="1" applyAlignment="1">
      <alignment horizontal="center" wrapText="1"/>
    </xf>
    <xf numFmtId="0" fontId="5" fillId="0" borderId="23" xfId="7" applyFont="1" applyBorder="1" applyAlignment="1">
      <alignment horizontal="center" wrapText="1"/>
    </xf>
    <xf numFmtId="164" fontId="6" fillId="0" borderId="16" xfId="7" applyNumberFormat="1" applyFont="1" applyBorder="1" applyAlignment="1">
      <alignment horizontal="center"/>
    </xf>
    <xf numFmtId="0" fontId="5" fillId="0" borderId="16" xfId="7" applyNumberFormat="1" applyFont="1" applyBorder="1" applyAlignment="1">
      <alignment horizontal="left" wrapText="1"/>
    </xf>
    <xf numFmtId="164" fontId="6" fillId="0" borderId="16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horizontal="right"/>
    </xf>
    <xf numFmtId="0" fontId="6" fillId="0" borderId="16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16" xfId="7" applyFont="1" applyBorder="1" applyAlignment="1">
      <alignment horizontal="center"/>
    </xf>
    <xf numFmtId="0" fontId="5" fillId="0" borderId="16" xfId="7" applyNumberFormat="1" applyFont="1" applyBorder="1"/>
    <xf numFmtId="5" fontId="6" fillId="0" borderId="16" xfId="7" applyNumberFormat="1" applyFont="1" applyBorder="1" applyAlignment="1">
      <alignment horizontal="right"/>
    </xf>
    <xf numFmtId="5" fontId="3" fillId="0" borderId="16" xfId="7" applyNumberFormat="1" applyFont="1" applyBorder="1" applyAlignment="1">
      <alignment horizontal="right"/>
    </xf>
    <xf numFmtId="9" fontId="3" fillId="0" borderId="16" xfId="7" applyNumberFormat="1" applyFont="1" applyBorder="1" applyAlignment="1">
      <alignment horizontal="right"/>
    </xf>
    <xf numFmtId="0" fontId="6" fillId="0" borderId="16" xfId="2" applyNumberFormat="1" applyFont="1" applyBorder="1" applyProtection="1">
      <protection locked="0"/>
    </xf>
    <xf numFmtId="9" fontId="6" fillId="0" borderId="16" xfId="7" applyNumberFormat="1" applyFont="1" applyBorder="1" applyAlignment="1">
      <alignment horizontal="right"/>
    </xf>
    <xf numFmtId="0" fontId="3" fillId="0" borderId="16" xfId="7" applyNumberFormat="1" applyFont="1" applyBorder="1"/>
    <xf numFmtId="43" fontId="6" fillId="0" borderId="16" xfId="2" applyFont="1" applyBorder="1" applyProtection="1">
      <protection locked="0"/>
    </xf>
    <xf numFmtId="164" fontId="6" fillId="0" borderId="16" xfId="7" applyNumberFormat="1" applyFont="1" applyFill="1" applyBorder="1" applyAlignment="1">
      <alignment horizontal="center"/>
    </xf>
    <xf numFmtId="3" fontId="3" fillId="0" borderId="16" xfId="7" applyNumberFormat="1" applyFont="1" applyBorder="1" applyAlignment="1" applyProtection="1"/>
    <xf numFmtId="9" fontId="6" fillId="0" borderId="16" xfId="9" applyFont="1" applyBorder="1" applyAlignment="1">
      <alignment horizontal="right"/>
    </xf>
    <xf numFmtId="0" fontId="3" fillId="0" borderId="16" xfId="7" applyNumberFormat="1" applyFont="1" applyBorder="1" applyAlignment="1">
      <alignment horizontal="left"/>
    </xf>
    <xf numFmtId="164" fontId="9" fillId="0" borderId="16" xfId="7" applyNumberFormat="1" applyFont="1" applyBorder="1" applyAlignment="1">
      <alignment horizontal="center"/>
    </xf>
    <xf numFmtId="0" fontId="6" fillId="0" borderId="16" xfId="7" applyFont="1" applyBorder="1"/>
    <xf numFmtId="3" fontId="6" fillId="0" borderId="16" xfId="7" applyNumberFormat="1" applyFont="1" applyBorder="1" applyAlignment="1" applyProtection="1"/>
    <xf numFmtId="0" fontId="8" fillId="0" borderId="16" xfId="7" applyBorder="1"/>
    <xf numFmtId="0" fontId="6" fillId="0" borderId="0" xfId="7" applyFont="1" applyBorder="1" applyAlignment="1">
      <alignment horizontal="right"/>
    </xf>
    <xf numFmtId="0" fontId="1" fillId="0" borderId="35" xfId="7" applyFont="1" applyBorder="1" applyAlignment="1">
      <alignment horizontal="center"/>
    </xf>
    <xf numFmtId="0" fontId="2" fillId="0" borderId="35" xfId="7" applyFont="1" applyBorder="1" applyAlignment="1">
      <alignment horizontal="centerContinuous"/>
    </xf>
    <xf numFmtId="0" fontId="1" fillId="0" borderId="35" xfId="7" applyFont="1" applyBorder="1" applyAlignment="1">
      <alignment horizontal="centerContinuous"/>
    </xf>
    <xf numFmtId="0" fontId="1" fillId="0" borderId="35" xfId="7" applyFont="1" applyBorder="1" applyAlignment="1"/>
    <xf numFmtId="0" fontId="2" fillId="0" borderId="35" xfId="7" applyFont="1" applyBorder="1" applyAlignment="1">
      <alignment horizontal="center"/>
    </xf>
    <xf numFmtId="164" fontId="2" fillId="0" borderId="35" xfId="7" applyNumberFormat="1" applyFont="1" applyBorder="1" applyAlignment="1">
      <alignment horizontal="center"/>
    </xf>
    <xf numFmtId="0" fontId="2" fillId="0" borderId="35" xfId="7" applyFont="1" applyFill="1" applyBorder="1" applyAlignment="1">
      <alignment horizontal="center"/>
    </xf>
    <xf numFmtId="0" fontId="2" fillId="0" borderId="35" xfId="7" applyFont="1" applyFill="1" applyBorder="1" applyAlignment="1">
      <alignment horizontal="centerContinuous"/>
    </xf>
    <xf numFmtId="0" fontId="4" fillId="0" borderId="35" xfId="7" applyFont="1" applyFill="1" applyBorder="1" applyAlignment="1">
      <alignment horizontal="center"/>
    </xf>
    <xf numFmtId="0" fontId="4" fillId="0" borderId="35" xfId="7" applyFont="1" applyFill="1" applyBorder="1" applyAlignment="1">
      <alignment horizontal="left"/>
    </xf>
    <xf numFmtId="5" fontId="1" fillId="0" borderId="35" xfId="7" applyNumberFormat="1" applyFont="1" applyBorder="1" applyAlignment="1"/>
    <xf numFmtId="0" fontId="6" fillId="0" borderId="32" xfId="7" applyFont="1" applyFill="1" applyBorder="1" applyAlignment="1">
      <alignment horizontal="left"/>
    </xf>
    <xf numFmtId="37" fontId="6" fillId="0" borderId="35" xfId="7" applyNumberFormat="1" applyFont="1" applyBorder="1" applyAlignment="1">
      <alignment horizontal="right"/>
    </xf>
    <xf numFmtId="0" fontId="6" fillId="0" borderId="32" xfId="7" applyFont="1" applyBorder="1" applyAlignment="1">
      <alignment horizontal="left"/>
    </xf>
    <xf numFmtId="166" fontId="6" fillId="0" borderId="35" xfId="7" applyNumberFormat="1" applyFont="1" applyBorder="1" applyAlignment="1">
      <alignment horizontal="right"/>
    </xf>
    <xf numFmtId="166" fontId="3" fillId="0" borderId="35" xfId="7" applyNumberFormat="1" applyFont="1" applyBorder="1" applyAlignment="1">
      <alignment horizontal="right"/>
    </xf>
    <xf numFmtId="10" fontId="6" fillId="0" borderId="35" xfId="7" applyNumberFormat="1" applyFont="1" applyBorder="1" applyAlignment="1">
      <alignment horizontal="right"/>
    </xf>
    <xf numFmtId="0" fontId="8" fillId="0" borderId="35" xfId="7" applyBorder="1"/>
    <xf numFmtId="0" fontId="4" fillId="0" borderId="35" xfId="7" applyFont="1" applyBorder="1" applyAlignment="1">
      <alignment horizontal="left"/>
    </xf>
    <xf numFmtId="0" fontId="1" fillId="0" borderId="35" xfId="7" applyFont="1" applyBorder="1" applyAlignment="1">
      <alignment horizontal="left"/>
    </xf>
    <xf numFmtId="167" fontId="6" fillId="0" borderId="35" xfId="7" applyNumberFormat="1" applyFont="1" applyBorder="1" applyAlignment="1">
      <alignment horizontal="right"/>
    </xf>
    <xf numFmtId="0" fontId="2" fillId="0" borderId="35" xfId="7" applyFont="1" applyBorder="1" applyAlignment="1">
      <alignment horizontal="left"/>
    </xf>
    <xf numFmtId="43" fontId="3" fillId="0" borderId="35" xfId="7" applyNumberFormat="1" applyFont="1" applyBorder="1" applyAlignment="1">
      <alignment horizontal="right"/>
    </xf>
    <xf numFmtId="5" fontId="1" fillId="0" borderId="35" xfId="7" applyNumberFormat="1" applyFont="1" applyBorder="1" applyAlignment="1">
      <alignment horizontal="right"/>
    </xf>
    <xf numFmtId="39" fontId="3" fillId="0" borderId="35" xfId="7" applyNumberFormat="1" applyFont="1" applyBorder="1" applyAlignment="1">
      <alignment horizontal="right"/>
    </xf>
    <xf numFmtId="4" fontId="3" fillId="0" borderId="35" xfId="7" applyNumberFormat="1" applyFont="1" applyBorder="1" applyAlignment="1">
      <alignment horizontal="right"/>
    </xf>
    <xf numFmtId="165" fontId="6" fillId="0" borderId="35" xfId="7" applyNumberFormat="1" applyFont="1" applyFill="1" applyBorder="1" applyAlignment="1">
      <alignment horizontal="right"/>
    </xf>
    <xf numFmtId="0" fontId="10" fillId="0" borderId="35" xfId="7" applyFont="1" applyBorder="1" applyAlignment="1">
      <alignment horizontal="left"/>
    </xf>
    <xf numFmtId="165" fontId="6" fillId="0" borderId="35" xfId="7" applyNumberFormat="1" applyFont="1" applyBorder="1" applyAlignment="1">
      <alignment horizontal="right"/>
    </xf>
    <xf numFmtId="167" fontId="3" fillId="0" borderId="35" xfId="7" applyNumberFormat="1" applyFont="1" applyFill="1" applyBorder="1" applyAlignment="1">
      <alignment horizontal="right"/>
    </xf>
    <xf numFmtId="164" fontId="3" fillId="0" borderId="35" xfId="7" applyNumberFormat="1" applyFont="1" applyBorder="1" applyAlignment="1">
      <alignment horizontal="right"/>
    </xf>
    <xf numFmtId="5" fontId="6" fillId="0" borderId="35" xfId="7" applyNumberFormat="1" applyFont="1" applyBorder="1" applyAlignment="1"/>
    <xf numFmtId="0" fontId="1" fillId="0" borderId="32" xfId="7" applyFont="1" applyBorder="1" applyAlignment="1">
      <alignment horizontal="left"/>
    </xf>
    <xf numFmtId="37" fontId="6" fillId="0" borderId="35" xfId="7" applyNumberFormat="1" applyFont="1" applyBorder="1" applyAlignment="1"/>
    <xf numFmtId="0" fontId="2" fillId="0" borderId="35" xfId="7" applyFont="1" applyFill="1" applyBorder="1" applyAlignment="1">
      <alignment horizontal="left"/>
    </xf>
    <xf numFmtId="5" fontId="3" fillId="0" borderId="35" xfId="7" applyNumberFormat="1" applyFont="1" applyBorder="1" applyAlignment="1"/>
    <xf numFmtId="165" fontId="3" fillId="0" borderId="35" xfId="7" applyNumberFormat="1" applyFont="1" applyBorder="1" applyAlignment="1"/>
    <xf numFmtId="0" fontId="5" fillId="0" borderId="35" xfId="7" applyFont="1" applyFill="1" applyBorder="1" applyAlignment="1">
      <alignment horizontal="left"/>
    </xf>
    <xf numFmtId="0" fontId="1" fillId="0" borderId="35" xfId="7" applyFont="1" applyFill="1" applyBorder="1" applyAlignment="1">
      <alignment horizontal="left"/>
    </xf>
    <xf numFmtId="165" fontId="1" fillId="0" borderId="35" xfId="7" applyNumberFormat="1" applyFont="1" applyBorder="1" applyAlignment="1"/>
    <xf numFmtId="42" fontId="6" fillId="0" borderId="35" xfId="7" applyNumberFormat="1" applyFont="1" applyBorder="1" applyAlignment="1">
      <alignment horizontal="right"/>
    </xf>
    <xf numFmtId="168" fontId="3" fillId="0" borderId="35" xfId="7" applyNumberFormat="1" applyFont="1" applyBorder="1" applyAlignment="1">
      <alignment horizontal="right"/>
    </xf>
    <xf numFmtId="1" fontId="3" fillId="0" borderId="35" xfId="7" applyNumberFormat="1" applyFont="1" applyBorder="1" applyAlignment="1">
      <alignment horizontal="right"/>
    </xf>
    <xf numFmtId="165" fontId="6" fillId="0" borderId="35" xfId="7" applyNumberFormat="1" applyFont="1" applyBorder="1" applyAlignment="1"/>
    <xf numFmtId="0" fontId="1" fillId="0" borderId="35" xfId="7" applyFont="1" applyFill="1" applyBorder="1" applyAlignment="1">
      <alignment horizontal="center"/>
    </xf>
    <xf numFmtId="41" fontId="6" fillId="0" borderId="35" xfId="7" applyNumberFormat="1" applyFont="1" applyBorder="1" applyAlignment="1">
      <alignment horizontal="right"/>
    </xf>
    <xf numFmtId="168" fontId="6" fillId="0" borderId="35" xfId="7" applyNumberFormat="1" applyFont="1" applyBorder="1" applyAlignment="1">
      <alignment horizontal="right"/>
    </xf>
    <xf numFmtId="0" fontId="8" fillId="0" borderId="35" xfId="7" applyFill="1" applyBorder="1" applyAlignment="1"/>
    <xf numFmtId="0" fontId="8" fillId="0" borderId="35" xfId="7" applyFill="1" applyBorder="1" applyAlignment="1">
      <alignment horizontal="center"/>
    </xf>
    <xf numFmtId="0" fontId="11" fillId="0" borderId="35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5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24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25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26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16" xfId="6" applyFont="1" applyBorder="1" applyAlignment="1">
      <alignment horizontal="center" vertical="center"/>
    </xf>
    <xf numFmtId="0" fontId="12" fillId="0" borderId="16" xfId="6" applyFont="1" applyBorder="1" applyAlignment="1">
      <alignment horizontal="left" vertic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30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16" xfId="6" applyNumberFormat="1" applyFont="1" applyBorder="1" applyAlignment="1">
      <alignment horizontal="center"/>
    </xf>
    <xf numFmtId="0" fontId="13" fillId="0" borderId="16" xfId="6" applyFont="1" applyBorder="1"/>
    <xf numFmtId="5" fontId="13" fillId="0" borderId="16" xfId="6" applyNumberFormat="1" applyFont="1" applyBorder="1" applyAlignment="1">
      <alignment horizontal="right"/>
    </xf>
    <xf numFmtId="9" fontId="13" fillId="0" borderId="16" xfId="10" applyNumberFormat="1" applyFont="1" applyBorder="1" applyAlignment="1">
      <alignment horizontal="right"/>
    </xf>
    <xf numFmtId="37" fontId="13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left"/>
    </xf>
    <xf numFmtId="5" fontId="12" fillId="0" borderId="16" xfId="6" applyNumberFormat="1" applyFont="1" applyBorder="1" applyAlignment="1">
      <alignment horizontal="right"/>
    </xf>
    <xf numFmtId="9" fontId="12" fillId="0" borderId="16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16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16" xfId="6" applyFont="1" applyBorder="1" applyAlignment="1">
      <alignment horizontal="center"/>
    </xf>
    <xf numFmtId="0" fontId="12" fillId="0" borderId="16" xfId="6" applyFont="1" applyBorder="1" applyAlignment="1">
      <alignment wrapText="1"/>
    </xf>
    <xf numFmtId="9" fontId="12" fillId="0" borderId="16" xfId="10" applyFont="1" applyBorder="1" applyAlignment="1">
      <alignment horizontal="right"/>
    </xf>
    <xf numFmtId="37" fontId="12" fillId="0" borderId="16" xfId="6" applyNumberFormat="1" applyFont="1" applyFill="1" applyBorder="1" applyAlignment="1">
      <alignment horizontal="right"/>
    </xf>
    <xf numFmtId="164" fontId="12" fillId="0" borderId="25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1" xfId="6" applyNumberFormat="1" applyFont="1" applyFill="1" applyBorder="1" applyAlignment="1">
      <alignment horizontal="left"/>
    </xf>
    <xf numFmtId="164" fontId="12" fillId="3" borderId="9" xfId="6" applyNumberFormat="1" applyFont="1" applyFill="1" applyBorder="1" applyAlignment="1">
      <alignment horizontal="center" wrapText="1"/>
    </xf>
    <xf numFmtId="164" fontId="12" fillId="3" borderId="10" xfId="6" applyNumberFormat="1" applyFont="1" applyFill="1" applyBorder="1" applyAlignment="1">
      <alignment horizontal="center" wrapText="1"/>
    </xf>
    <xf numFmtId="9" fontId="12" fillId="3" borderId="11" xfId="10" applyFont="1" applyFill="1" applyBorder="1" applyAlignment="1">
      <alignment horizontal="center" wrapText="1"/>
    </xf>
    <xf numFmtId="0" fontId="15" fillId="0" borderId="16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16" xfId="6" applyNumberFormat="1" applyFont="1" applyFill="1" applyBorder="1" applyAlignment="1">
      <alignment horizontal="left" wrapText="1"/>
    </xf>
    <xf numFmtId="0" fontId="12" fillId="0" borderId="16" xfId="6" applyFont="1" applyBorder="1" applyAlignment="1">
      <alignment horizontal="center" vertical="center"/>
    </xf>
    <xf numFmtId="0" fontId="12" fillId="0" borderId="16" xfId="6" applyFont="1" applyFill="1" applyBorder="1" applyAlignment="1">
      <alignment wrapText="1"/>
    </xf>
    <xf numFmtId="37" fontId="12" fillId="0" borderId="16" xfId="1" applyNumberFormat="1" applyFont="1" applyBorder="1" applyAlignment="1">
      <alignment horizontal="right"/>
    </xf>
    <xf numFmtId="0" fontId="1" fillId="0" borderId="35" xfId="6" applyBorder="1" applyAlignment="1">
      <alignment wrapText="1"/>
    </xf>
    <xf numFmtId="0" fontId="2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wrapText="1"/>
    </xf>
    <xf numFmtId="164" fontId="2" fillId="0" borderId="35" xfId="6" applyNumberFormat="1" applyFont="1" applyBorder="1" applyAlignment="1">
      <alignment horizontal="center" wrapText="1"/>
    </xf>
    <xf numFmtId="0" fontId="1" fillId="0" borderId="35" xfId="6" applyFill="1" applyBorder="1" applyAlignment="1">
      <alignment wrapText="1"/>
    </xf>
    <xf numFmtId="0" fontId="2" fillId="0" borderId="35" xfId="6" applyFont="1" applyFill="1" applyBorder="1" applyAlignment="1">
      <alignment horizontal="left" wrapText="1"/>
    </xf>
    <xf numFmtId="0" fontId="2" fillId="0" borderId="35" xfId="6" applyFont="1" applyFill="1" applyBorder="1" applyAlignment="1">
      <alignment horizontal="centerContinuous" wrapText="1"/>
    </xf>
    <xf numFmtId="164" fontId="3" fillId="0" borderId="35" xfId="6" applyNumberFormat="1" applyFont="1" applyBorder="1" applyAlignment="1">
      <alignment horizontal="center" wrapText="1"/>
    </xf>
    <xf numFmtId="0" fontId="2" fillId="0" borderId="35" xfId="6" applyFont="1" applyFill="1" applyBorder="1" applyAlignment="1">
      <alignment horizontal="center" wrapText="1"/>
    </xf>
    <xf numFmtId="0" fontId="1" fillId="0" borderId="35" xfId="6" applyFill="1" applyBorder="1" applyAlignment="1">
      <alignment horizontal="center" wrapText="1"/>
    </xf>
    <xf numFmtId="0" fontId="4" fillId="0" borderId="35" xfId="6" applyFont="1" applyFill="1" applyBorder="1" applyAlignment="1">
      <alignment horizontal="center" wrapText="1"/>
    </xf>
    <xf numFmtId="0" fontId="5" fillId="0" borderId="35" xfId="6" applyFont="1" applyFill="1" applyBorder="1" applyAlignment="1">
      <alignment horizontal="center" wrapText="1"/>
    </xf>
    <xf numFmtId="0" fontId="4" fillId="0" borderId="35" xfId="6" applyFont="1" applyFill="1" applyBorder="1" applyAlignment="1">
      <alignment horizontal="left" wrapText="1"/>
    </xf>
    <xf numFmtId="0" fontId="1" fillId="0" borderId="35" xfId="6" applyFont="1" applyFill="1" applyBorder="1" applyAlignment="1">
      <alignment wrapText="1"/>
    </xf>
    <xf numFmtId="0" fontId="3" fillId="0" borderId="35" xfId="6" applyFont="1" applyFill="1" applyBorder="1" applyAlignment="1">
      <alignment horizontal="center" wrapText="1"/>
    </xf>
    <xf numFmtId="0" fontId="1" fillId="0" borderId="35" xfId="6" applyFont="1" applyBorder="1" applyAlignment="1">
      <alignment horizontal="center" wrapText="1"/>
    </xf>
    <xf numFmtId="0" fontId="1" fillId="0" borderId="35" xfId="6" applyFont="1" applyBorder="1" applyAlignment="1">
      <alignment horizontal="left" wrapText="1"/>
    </xf>
    <xf numFmtId="9" fontId="1" fillId="0" borderId="35" xfId="6" applyNumberFormat="1" applyFont="1" applyBorder="1" applyAlignment="1">
      <alignment horizontal="right" wrapText="1"/>
    </xf>
    <xf numFmtId="0" fontId="6" fillId="0" borderId="35" xfId="6" applyFont="1" applyBorder="1" applyAlignment="1">
      <alignment horizontal="center" wrapText="1"/>
    </xf>
    <xf numFmtId="0" fontId="2" fillId="0" borderId="35" xfId="6" applyFont="1" applyBorder="1" applyAlignment="1">
      <alignment horizontal="left" wrapText="1"/>
    </xf>
    <xf numFmtId="5" fontId="3" fillId="0" borderId="35" xfId="6" applyNumberFormat="1" applyFont="1" applyBorder="1" applyAlignment="1">
      <alignment horizontal="right" wrapText="1"/>
    </xf>
    <xf numFmtId="9" fontId="3" fillId="0" borderId="35" xfId="6" applyNumberFormat="1" applyFont="1" applyBorder="1" applyAlignment="1">
      <alignment horizontal="right" wrapText="1"/>
    </xf>
    <xf numFmtId="37" fontId="1" fillId="0" borderId="35" xfId="6" applyNumberFormat="1" applyFont="1" applyBorder="1" applyAlignment="1">
      <alignment horizontal="right" wrapText="1"/>
    </xf>
    <xf numFmtId="0" fontId="3" fillId="0" borderId="35" xfId="6" applyFont="1" applyBorder="1" applyAlignment="1">
      <alignment horizontal="center" wrapText="1"/>
    </xf>
    <xf numFmtId="0" fontId="5" fillId="0" borderId="35" xfId="6" applyFont="1" applyBorder="1" applyAlignment="1">
      <alignment horizontal="left" wrapText="1"/>
    </xf>
    <xf numFmtId="0" fontId="1" fillId="0" borderId="35" xfId="6" applyBorder="1" applyAlignment="1">
      <alignment horizontal="left" wrapText="1"/>
    </xf>
    <xf numFmtId="6" fontId="1" fillId="0" borderId="35" xfId="6" applyNumberFormat="1" applyBorder="1" applyAlignment="1">
      <alignment horizontal="right" wrapText="1"/>
    </xf>
    <xf numFmtId="9" fontId="1" fillId="0" borderId="35" xfId="6" applyNumberFormat="1" applyBorder="1" applyAlignment="1">
      <alignment horizontal="right" wrapText="1"/>
    </xf>
    <xf numFmtId="0" fontId="2" fillId="0" borderId="35" xfId="6" applyFont="1" applyBorder="1" applyAlignment="1">
      <alignment horizontal="center" wrapText="1"/>
    </xf>
    <xf numFmtId="0" fontId="4" fillId="0" borderId="35" xfId="6" applyFont="1" applyBorder="1" applyAlignment="1">
      <alignment horizontal="left" wrapText="1"/>
    </xf>
    <xf numFmtId="0" fontId="6" fillId="0" borderId="35" xfId="6" applyFont="1" applyFill="1" applyBorder="1" applyAlignment="1">
      <alignment horizontal="center" wrapText="1"/>
    </xf>
    <xf numFmtId="0" fontId="6" fillId="0" borderId="35" xfId="6" applyFont="1" applyFill="1" applyBorder="1" applyAlignment="1">
      <alignment horizontal="left" wrapText="1"/>
    </xf>
    <xf numFmtId="9" fontId="6" fillId="0" borderId="35" xfId="6" applyNumberFormat="1" applyFont="1" applyFill="1" applyBorder="1" applyAlignment="1">
      <alignment horizontal="right" wrapText="1"/>
    </xf>
    <xf numFmtId="0" fontId="16" fillId="0" borderId="35" xfId="6" applyFont="1" applyBorder="1" applyAlignment="1">
      <alignment wrapText="1"/>
    </xf>
    <xf numFmtId="5" fontId="6" fillId="0" borderId="35" xfId="6" applyNumberFormat="1" applyFont="1" applyBorder="1" applyAlignment="1">
      <alignment horizontal="right" wrapText="1"/>
    </xf>
    <xf numFmtId="165" fontId="6" fillId="0" borderId="35" xfId="6" applyNumberFormat="1" applyFont="1" applyBorder="1" applyAlignment="1">
      <alignment horizontal="right" wrapText="1"/>
    </xf>
    <xf numFmtId="165" fontId="3" fillId="0" borderId="35" xfId="6" applyNumberFormat="1" applyFont="1" applyBorder="1" applyAlignment="1">
      <alignment horizontal="right" wrapText="1"/>
    </xf>
    <xf numFmtId="0" fontId="1" fillId="0" borderId="35" xfId="6" applyFont="1" applyBorder="1" applyAlignment="1">
      <alignment horizontal="right" wrapText="1"/>
    </xf>
    <xf numFmtId="0" fontId="11" fillId="0" borderId="35" xfId="6" applyFont="1" applyBorder="1" applyAlignment="1">
      <alignment wrapText="1"/>
    </xf>
    <xf numFmtId="164" fontId="5" fillId="0" borderId="35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5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7" xfId="7" applyFont="1" applyFill="1" applyBorder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4" fillId="2" borderId="35" xfId="7" applyFont="1" applyFill="1" applyBorder="1" applyAlignment="1">
      <alignment horizontal="left"/>
    </xf>
    <xf numFmtId="5" fontId="3" fillId="2" borderId="35" xfId="7" applyNumberFormat="1" applyFont="1" applyFill="1" applyBorder="1" applyAlignment="1">
      <alignment horizontal="right"/>
    </xf>
    <xf numFmtId="165" fontId="3" fillId="2" borderId="35" xfId="7" applyNumberFormat="1" applyFont="1" applyFill="1" applyBorder="1" applyAlignment="1">
      <alignment horizontal="right"/>
    </xf>
    <xf numFmtId="0" fontId="5" fillId="2" borderId="35" xfId="7" applyFont="1" applyFill="1" applyBorder="1" applyAlignment="1">
      <alignment horizontal="left"/>
    </xf>
    <xf numFmtId="43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center"/>
    </xf>
    <xf numFmtId="0" fontId="6" fillId="2" borderId="35" xfId="7" applyFont="1" applyFill="1" applyBorder="1" applyAlignment="1">
      <alignment horizontal="left" wrapText="1"/>
    </xf>
    <xf numFmtId="5" fontId="6" fillId="2" borderId="35" xfId="7" applyNumberFormat="1" applyFont="1" applyFill="1" applyBorder="1" applyAlignment="1"/>
    <xf numFmtId="0" fontId="2" fillId="2" borderId="35" xfId="7" applyFont="1" applyFill="1" applyBorder="1" applyAlignment="1">
      <alignment horizontal="left"/>
    </xf>
    <xf numFmtId="164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left"/>
    </xf>
    <xf numFmtId="5" fontId="1" fillId="2" borderId="35" xfId="7" applyNumberFormat="1" applyFont="1" applyFill="1" applyBorder="1" applyAlignment="1"/>
    <xf numFmtId="0" fontId="1" fillId="2" borderId="32" xfId="7" applyFont="1" applyFill="1" applyBorder="1" applyAlignment="1">
      <alignment horizontal="left"/>
    </xf>
    <xf numFmtId="0" fontId="8" fillId="2" borderId="35" xfId="7" applyFill="1" applyBorder="1"/>
    <xf numFmtId="5" fontId="3" fillId="2" borderId="35" xfId="7" applyNumberFormat="1" applyFont="1" applyFill="1" applyBorder="1" applyAlignment="1"/>
    <xf numFmtId="165" fontId="3" fillId="2" borderId="35" xfId="7" applyNumberFormat="1" applyFont="1" applyFill="1" applyBorder="1" applyAlignment="1"/>
    <xf numFmtId="1" fontId="3" fillId="2" borderId="35" xfId="7" applyNumberFormat="1" applyFont="1" applyFill="1" applyBorder="1" applyAlignment="1"/>
    <xf numFmtId="42" fontId="1" fillId="2" borderId="35" xfId="7" applyNumberFormat="1" applyFont="1" applyFill="1" applyBorder="1" applyAlignment="1"/>
    <xf numFmtId="42" fontId="6" fillId="2" borderId="35" xfId="7" applyNumberFormat="1" applyFont="1" applyFill="1" applyBorder="1" applyAlignment="1"/>
    <xf numFmtId="5" fontId="6" fillId="2" borderId="35" xfId="7" applyNumberFormat="1" applyFont="1" applyFill="1" applyBorder="1" applyAlignment="1">
      <alignment horizontal="right"/>
    </xf>
    <xf numFmtId="42" fontId="6" fillId="2" borderId="35" xfId="7" applyNumberFormat="1" applyFont="1" applyFill="1" applyBorder="1" applyAlignment="1">
      <alignment horizontal="right"/>
    </xf>
    <xf numFmtId="1" fontId="3" fillId="2" borderId="35" xfId="7" applyNumberFormat="1" applyFont="1" applyFill="1" applyBorder="1" applyAlignment="1">
      <alignment horizontal="right"/>
    </xf>
    <xf numFmtId="165" fontId="6" fillId="2" borderId="35" xfId="7" applyNumberFormat="1" applyFont="1" applyFill="1" applyBorder="1" applyAlignment="1">
      <alignment horizontal="right"/>
    </xf>
    <xf numFmtId="168" fontId="3" fillId="2" borderId="35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5" xfId="7" applyNumberFormat="1" applyFont="1" applyFill="1" applyBorder="1" applyAlignment="1"/>
    <xf numFmtId="0" fontId="1" fillId="0" borderId="20" xfId="7" applyFont="1" applyBorder="1" applyAlignment="1">
      <alignment horizontal="center"/>
    </xf>
    <xf numFmtId="164" fontId="2" fillId="0" borderId="16" xfId="7" applyNumberFormat="1" applyFont="1" applyBorder="1" applyAlignment="1"/>
    <xf numFmtId="164" fontId="2" fillId="0" borderId="16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20" xfId="7" applyFont="1" applyBorder="1" applyAlignment="1">
      <alignment horizontal="center"/>
    </xf>
    <xf numFmtId="164" fontId="5" fillId="0" borderId="16" xfId="7" applyNumberFormat="1" applyFont="1" applyFill="1" applyBorder="1" applyAlignment="1"/>
    <xf numFmtId="164" fontId="5" fillId="0" borderId="16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16" xfId="7" applyNumberFormat="1" applyFont="1" applyBorder="1" applyAlignment="1">
      <alignment horizontal="center"/>
    </xf>
    <xf numFmtId="0" fontId="6" fillId="0" borderId="20" xfId="7" applyFont="1" applyBorder="1" applyAlignment="1">
      <alignment horizontal="center"/>
    </xf>
    <xf numFmtId="164" fontId="6" fillId="0" borderId="16" xfId="7" applyNumberFormat="1" applyFont="1" applyBorder="1" applyAlignment="1"/>
    <xf numFmtId="3" fontId="1" fillId="0" borderId="16" xfId="7" applyNumberFormat="1" applyFont="1" applyBorder="1" applyAlignment="1">
      <alignment horizontal="right"/>
    </xf>
    <xf numFmtId="1" fontId="1" fillId="0" borderId="16" xfId="7" applyNumberFormat="1" applyFont="1" applyBorder="1" applyAlignment="1">
      <alignment horizontal="right"/>
    </xf>
    <xf numFmtId="167" fontId="1" fillId="0" borderId="16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16" xfId="7" applyNumberFormat="1" applyFont="1" applyBorder="1" applyAlignment="1"/>
    <xf numFmtId="3" fontId="3" fillId="0" borderId="16" xfId="7" applyNumberFormat="1" applyFont="1" applyBorder="1" applyAlignment="1">
      <alignment horizontal="right"/>
    </xf>
    <xf numFmtId="167" fontId="3" fillId="0" borderId="16" xfId="9" applyNumberFormat="1" applyFont="1" applyBorder="1" applyAlignment="1">
      <alignment horizontal="right"/>
    </xf>
    <xf numFmtId="164" fontId="1" fillId="0" borderId="16" xfId="7" applyNumberFormat="1" applyFont="1" applyBorder="1" applyAlignment="1"/>
    <xf numFmtId="3" fontId="2" fillId="0" borderId="16" xfId="7" applyNumberFormat="1" applyFont="1" applyBorder="1" applyAlignment="1">
      <alignment horizontal="right"/>
    </xf>
    <xf numFmtId="167" fontId="2" fillId="0" borderId="16" xfId="9" applyNumberFormat="1" applyFont="1" applyBorder="1" applyAlignment="1">
      <alignment horizontal="right"/>
    </xf>
    <xf numFmtId="1" fontId="2" fillId="0" borderId="16" xfId="7" applyNumberFormat="1" applyFont="1" applyBorder="1" applyAlignment="1">
      <alignment horizontal="right"/>
    </xf>
    <xf numFmtId="167" fontId="2" fillId="0" borderId="16" xfId="7" applyNumberFormat="1" applyFont="1" applyBorder="1" applyAlignment="1">
      <alignment horizontal="right"/>
    </xf>
    <xf numFmtId="37" fontId="2" fillId="0" borderId="16" xfId="7" applyNumberFormat="1" applyFont="1" applyBorder="1" applyAlignment="1">
      <alignment horizontal="right"/>
    </xf>
    <xf numFmtId="9" fontId="2" fillId="0" borderId="16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wrapText="1"/>
    </xf>
    <xf numFmtId="37" fontId="3" fillId="0" borderId="16" xfId="2" applyNumberFormat="1" applyFont="1" applyBorder="1" applyAlignment="1">
      <alignment horizontal="right"/>
    </xf>
    <xf numFmtId="3" fontId="3" fillId="0" borderId="16" xfId="2" applyNumberFormat="1" applyFont="1" applyBorder="1" applyAlignment="1">
      <alignment horizontal="right"/>
    </xf>
    <xf numFmtId="9" fontId="3" fillId="0" borderId="16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9" xfId="7" applyFont="1" applyBorder="1" applyAlignment="1">
      <alignment horizontal="center"/>
    </xf>
    <xf numFmtId="164" fontId="5" fillId="0" borderId="16" xfId="7" applyNumberFormat="1" applyFont="1" applyBorder="1" applyAlignment="1">
      <alignment wrapText="1"/>
    </xf>
    <xf numFmtId="164" fontId="4" fillId="0" borderId="16" xfId="7" applyNumberFormat="1" applyFont="1" applyBorder="1" applyAlignment="1">
      <alignment horizontal="center"/>
    </xf>
    <xf numFmtId="164" fontId="6" fillId="0" borderId="16" xfId="7" applyNumberFormat="1" applyFont="1" applyBorder="1" applyAlignment="1">
      <alignment wrapText="1"/>
    </xf>
    <xf numFmtId="3" fontId="1" fillId="0" borderId="16" xfId="2" applyNumberFormat="1" applyFont="1" applyBorder="1" applyAlignment="1">
      <alignment horizontal="right"/>
    </xf>
    <xf numFmtId="9" fontId="1" fillId="0" borderId="16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16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16" xfId="7" applyNumberFormat="1" applyFont="1" applyBorder="1" applyAlignment="1">
      <alignment horizontal="right"/>
    </xf>
    <xf numFmtId="3" fontId="6" fillId="0" borderId="16" xfId="2" applyNumberFormat="1" applyFont="1" applyBorder="1" applyAlignment="1">
      <alignment horizontal="right"/>
    </xf>
    <xf numFmtId="170" fontId="1" fillId="0" borderId="16" xfId="7" applyNumberFormat="1" applyFont="1" applyBorder="1" applyAlignment="1">
      <alignment horizontal="right"/>
    </xf>
    <xf numFmtId="170" fontId="1" fillId="0" borderId="16" xfId="2" applyNumberFormat="1" applyFont="1" applyBorder="1" applyAlignment="1">
      <alignment horizontal="right"/>
    </xf>
    <xf numFmtId="170" fontId="3" fillId="0" borderId="16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16" xfId="8" applyFont="1" applyBorder="1" applyAlignment="1" applyProtection="1">
      <alignment horizontal="left"/>
      <protection locked="0"/>
    </xf>
    <xf numFmtId="0" fontId="3" fillId="0" borderId="16" xfId="8" applyFont="1" applyBorder="1" applyAlignment="1" applyProtection="1">
      <alignment horizontal="center"/>
      <protection locked="0"/>
    </xf>
    <xf numFmtId="0" fontId="11" fillId="0" borderId="12" xfId="8" applyFont="1" applyBorder="1" applyProtection="1">
      <protection locked="0"/>
    </xf>
    <xf numFmtId="0" fontId="18" fillId="0" borderId="16" xfId="8" applyFont="1" applyBorder="1" applyAlignment="1" applyProtection="1">
      <alignment horizontal="center"/>
      <protection locked="0"/>
    </xf>
    <xf numFmtId="0" fontId="18" fillId="0" borderId="1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30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16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16" xfId="8" applyFont="1" applyBorder="1" applyAlignment="1"/>
    <xf numFmtId="0" fontId="9" fillId="0" borderId="16" xfId="8" applyFont="1" applyBorder="1" applyAlignment="1">
      <alignment horizontal="center" vertical="top"/>
    </xf>
    <xf numFmtId="0" fontId="5" fillId="0" borderId="16" xfId="8" applyFont="1" applyBorder="1" applyAlignment="1"/>
    <xf numFmtId="0" fontId="19" fillId="0" borderId="16" xfId="8" applyFont="1" applyBorder="1" applyAlignment="1" applyProtection="1">
      <alignment horizontal="center"/>
      <protection locked="0"/>
    </xf>
    <xf numFmtId="0" fontId="11" fillId="0" borderId="16" xfId="8" applyFont="1" applyBorder="1" applyAlignment="1">
      <alignment horizontal="center"/>
    </xf>
    <xf numFmtId="0" fontId="11" fillId="0" borderId="16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16" xfId="8" applyFont="1" applyBorder="1" applyAlignment="1">
      <alignment horizontal="center" vertical="top"/>
    </xf>
    <xf numFmtId="0" fontId="20" fillId="0" borderId="16" xfId="8" applyFont="1" applyBorder="1" applyAlignment="1">
      <alignment vertical="top"/>
    </xf>
    <xf numFmtId="0" fontId="11" fillId="0" borderId="16" xfId="8" applyFont="1" applyBorder="1" applyProtection="1">
      <protection locked="0"/>
    </xf>
    <xf numFmtId="0" fontId="11" fillId="0" borderId="16" xfId="8" applyFont="1" applyBorder="1" applyAlignment="1">
      <alignment vertical="top" wrapText="1"/>
    </xf>
    <xf numFmtId="0" fontId="11" fillId="0" borderId="16" xfId="8" applyFont="1" applyBorder="1" applyAlignment="1">
      <alignment horizontal="center" vertical="top"/>
    </xf>
    <xf numFmtId="6" fontId="11" fillId="0" borderId="16" xfId="8" applyNumberFormat="1" applyFont="1" applyBorder="1" applyAlignment="1">
      <alignment horizontal="right" vertical="top"/>
    </xf>
    <xf numFmtId="6" fontId="11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horizontal="right" vertical="top"/>
    </xf>
    <xf numFmtId="0" fontId="18" fillId="0" borderId="16" xfId="8" applyFont="1" applyBorder="1" applyAlignment="1">
      <alignment vertical="top" wrapText="1"/>
    </xf>
    <xf numFmtId="6" fontId="18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vertical="top"/>
    </xf>
    <xf numFmtId="0" fontId="19" fillId="0" borderId="16" xfId="8" applyFont="1" applyBorder="1" applyAlignment="1" applyProtection="1">
      <alignment horizontal="left"/>
      <protection locked="0"/>
    </xf>
    <xf numFmtId="0" fontId="19" fillId="0" borderId="16" xfId="8" applyFont="1" applyBorder="1" applyProtection="1">
      <protection locked="0"/>
    </xf>
    <xf numFmtId="0" fontId="20" fillId="0" borderId="16" xfId="8" applyFont="1" applyBorder="1" applyProtection="1">
      <protection locked="0"/>
    </xf>
    <xf numFmtId="0" fontId="20" fillId="0" borderId="16" xfId="8" applyFont="1" applyBorder="1" applyAlignment="1"/>
    <xf numFmtId="10" fontId="11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>
      <alignment vertical="top"/>
    </xf>
    <xf numFmtId="10" fontId="18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 applyProtection="1">
      <alignment horizontal="center"/>
      <protection locked="0"/>
    </xf>
    <xf numFmtId="0" fontId="18" fillId="0" borderId="16" xfId="8" applyFont="1" applyBorder="1" applyProtection="1">
      <protection locked="0"/>
    </xf>
    <xf numFmtId="167" fontId="11" fillId="0" borderId="16" xfId="11" applyNumberFormat="1" applyFont="1" applyBorder="1" applyAlignment="1">
      <alignment vertical="top"/>
    </xf>
    <xf numFmtId="0" fontId="9" fillId="0" borderId="16" xfId="8" applyFont="1" applyBorder="1" applyAlignment="1" applyProtection="1">
      <alignment horizontal="center"/>
      <protection locked="0"/>
    </xf>
    <xf numFmtId="3" fontId="11" fillId="0" borderId="16" xfId="8" applyNumberFormat="1" applyFont="1" applyBorder="1" applyAlignment="1">
      <alignment horizontal="right" vertical="top"/>
    </xf>
    <xf numFmtId="176" fontId="11" fillId="0" borderId="16" xfId="3" applyNumberFormat="1" applyFont="1" applyBorder="1" applyAlignment="1">
      <alignment vertical="top"/>
    </xf>
    <xf numFmtId="3" fontId="18" fillId="0" borderId="16" xfId="8" applyNumberFormat="1" applyFont="1" applyBorder="1" applyAlignment="1">
      <alignment vertical="top"/>
    </xf>
    <xf numFmtId="176" fontId="18" fillId="0" borderId="16" xfId="3" applyNumberFormat="1" applyFont="1" applyBorder="1" applyAlignment="1">
      <alignment vertical="top"/>
    </xf>
    <xf numFmtId="3" fontId="11" fillId="0" borderId="16" xfId="8" applyNumberFormat="1" applyFont="1" applyBorder="1" applyAlignment="1">
      <alignment vertical="top"/>
    </xf>
    <xf numFmtId="3" fontId="11" fillId="0" borderId="16" xfId="8" applyNumberFormat="1" applyFont="1" applyFill="1" applyBorder="1" applyAlignment="1">
      <alignment vertical="top"/>
    </xf>
    <xf numFmtId="170" fontId="11" fillId="0" borderId="16" xfId="8" applyNumberFormat="1" applyFont="1" applyBorder="1" applyAlignment="1">
      <alignment vertical="top"/>
    </xf>
    <xf numFmtId="174" fontId="11" fillId="0" borderId="16" xfId="3" applyNumberFormat="1" applyFont="1" applyBorder="1" applyAlignment="1">
      <alignment vertical="top"/>
    </xf>
    <xf numFmtId="170" fontId="18" fillId="0" borderId="16" xfId="8" applyNumberFormat="1" applyFont="1" applyBorder="1" applyAlignment="1">
      <alignment vertical="top"/>
    </xf>
    <xf numFmtId="174" fontId="18" fillId="0" borderId="16" xfId="3" applyNumberFormat="1" applyFont="1" applyBorder="1" applyAlignment="1">
      <alignment vertical="top"/>
    </xf>
    <xf numFmtId="174" fontId="11" fillId="0" borderId="16" xfId="8" applyNumberFormat="1" applyFont="1" applyBorder="1" applyAlignment="1">
      <alignment vertical="top"/>
    </xf>
    <xf numFmtId="180" fontId="11" fillId="0" borderId="16" xfId="8" applyNumberFormat="1" applyFont="1" applyBorder="1" applyAlignment="1">
      <alignment horizontal="right" vertical="top"/>
    </xf>
    <xf numFmtId="172" fontId="11" fillId="0" borderId="16" xfId="3" applyNumberFormat="1" applyFont="1" applyBorder="1" applyAlignment="1">
      <alignment vertical="top"/>
    </xf>
    <xf numFmtId="180" fontId="18" fillId="0" borderId="16" xfId="8" applyNumberFormat="1" applyFont="1" applyBorder="1" applyAlignment="1">
      <alignment horizontal="right" vertical="top"/>
    </xf>
    <xf numFmtId="172" fontId="18" fillId="0" borderId="16" xfId="3" applyNumberFormat="1" applyFont="1" applyBorder="1" applyAlignment="1">
      <alignment vertical="top"/>
    </xf>
    <xf numFmtId="0" fontId="11" fillId="0" borderId="16" xfId="8" applyFont="1" applyBorder="1" applyAlignment="1">
      <alignment horizontal="right" vertical="top"/>
    </xf>
    <xf numFmtId="6" fontId="11" fillId="0" borderId="16" xfId="8" applyNumberFormat="1" applyFont="1" applyBorder="1" applyProtection="1">
      <protection locked="0"/>
    </xf>
    <xf numFmtId="10" fontId="11" fillId="0" borderId="16" xfId="11" applyNumberFormat="1" applyFont="1" applyBorder="1" applyProtection="1">
      <protection locked="0"/>
    </xf>
    <xf numFmtId="0" fontId="27" fillId="0" borderId="16" xfId="8" applyFont="1" applyFill="1" applyBorder="1" applyAlignment="1">
      <alignment vertical="top" wrapText="1"/>
    </xf>
    <xf numFmtId="6" fontId="11" fillId="0" borderId="16" xfId="8" applyNumberFormat="1" applyFont="1" applyFill="1" applyBorder="1" applyProtection="1">
      <protection locked="0"/>
    </xf>
    <xf numFmtId="0" fontId="5" fillId="0" borderId="16" xfId="8" applyFont="1" applyBorder="1" applyAlignment="1">
      <alignment vertical="top"/>
    </xf>
    <xf numFmtId="0" fontId="11" fillId="0" borderId="16" xfId="8" applyFont="1" applyBorder="1" applyAlignment="1" applyProtection="1">
      <alignment horizontal="left"/>
      <protection locked="0"/>
    </xf>
    <xf numFmtId="0" fontId="18" fillId="0" borderId="16" xfId="8" applyFont="1" applyBorder="1" applyAlignment="1" applyProtection="1">
      <alignment horizontal="left"/>
      <protection locked="0"/>
    </xf>
    <xf numFmtId="169" fontId="11" fillId="0" borderId="16" xfId="3" applyNumberFormat="1" applyFont="1" applyBorder="1" applyProtection="1">
      <protection locked="0"/>
    </xf>
    <xf numFmtId="169" fontId="11" fillId="0" borderId="16" xfId="8" applyNumberFormat="1" applyFont="1" applyBorder="1" applyProtection="1">
      <protection locked="0"/>
    </xf>
    <xf numFmtId="169" fontId="18" fillId="0" borderId="16" xfId="3" applyNumberFormat="1" applyFont="1" applyBorder="1" applyProtection="1">
      <protection locked="0"/>
    </xf>
    <xf numFmtId="169" fontId="18" fillId="0" borderId="16" xfId="8" applyNumberFormat="1" applyFont="1" applyBorder="1" applyProtection="1">
      <protection locked="0"/>
    </xf>
    <xf numFmtId="181" fontId="11" fillId="0" borderId="16" xfId="8" applyNumberFormat="1" applyFont="1" applyBorder="1" applyProtection="1">
      <protection locked="0"/>
    </xf>
    <xf numFmtId="181" fontId="18" fillId="0" borderId="16" xfId="8" applyNumberFormat="1" applyFont="1" applyBorder="1" applyProtection="1">
      <protection locked="0"/>
    </xf>
    <xf numFmtId="182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Protection="1">
      <protection locked="0"/>
    </xf>
    <xf numFmtId="8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Alignment="1" applyProtection="1">
      <alignment horizontal="right"/>
      <protection locked="0"/>
    </xf>
    <xf numFmtId="8" fontId="18" fillId="0" borderId="16" xfId="8" applyNumberFormat="1" applyFont="1" applyBorder="1" applyAlignment="1" applyProtection="1">
      <alignment horizontal="right"/>
      <protection locked="0"/>
    </xf>
    <xf numFmtId="6" fontId="18" fillId="0" borderId="16" xfId="8" applyNumberFormat="1" applyFont="1" applyBorder="1" applyProtection="1">
      <protection locked="0"/>
    </xf>
    <xf numFmtId="6" fontId="29" fillId="0" borderId="16" xfId="8" applyNumberFormat="1" applyFont="1" applyBorder="1" applyProtection="1">
      <protection locked="0"/>
    </xf>
    <xf numFmtId="183" fontId="11" fillId="0" borderId="16" xfId="3" applyNumberFormat="1" applyFont="1" applyBorder="1" applyProtection="1">
      <protection locked="0"/>
    </xf>
    <xf numFmtId="184" fontId="11" fillId="0" borderId="16" xfId="8" applyNumberFormat="1" applyFont="1" applyBorder="1" applyProtection="1">
      <protection locked="0"/>
    </xf>
    <xf numFmtId="6" fontId="11" fillId="0" borderId="23" xfId="8" applyNumberFormat="1" applyFont="1" applyBorder="1" applyProtection="1">
      <protection locked="0"/>
    </xf>
    <xf numFmtId="0" fontId="11" fillId="0" borderId="16" xfId="8" applyFont="1" applyFill="1" applyBorder="1" applyAlignment="1">
      <alignment horizontal="center" vertical="top"/>
    </xf>
    <xf numFmtId="0" fontId="11" fillId="0" borderId="16" xfId="8" applyFont="1" applyFill="1" applyBorder="1" applyAlignment="1">
      <alignment vertical="top"/>
    </xf>
    <xf numFmtId="6" fontId="29" fillId="0" borderId="16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16" xfId="8" applyFont="1" applyBorder="1" applyAlignment="1">
      <alignment vertical="top"/>
    </xf>
    <xf numFmtId="10" fontId="11" fillId="0" borderId="16" xfId="8" applyNumberFormat="1" applyFont="1" applyBorder="1" applyProtection="1">
      <protection locked="0"/>
    </xf>
    <xf numFmtId="10" fontId="18" fillId="0" borderId="16" xfId="11" applyNumberFormat="1" applyFont="1" applyBorder="1" applyProtection="1">
      <protection locked="0"/>
    </xf>
    <xf numFmtId="10" fontId="18" fillId="0" borderId="16" xfId="8" applyNumberFormat="1" applyFont="1" applyBorder="1" applyProtection="1">
      <protection locked="0"/>
    </xf>
    <xf numFmtId="0" fontId="3" fillId="0" borderId="16" xfId="8" applyFont="1" applyBorder="1" applyAlignment="1"/>
    <xf numFmtId="6" fontId="11" fillId="0" borderId="16" xfId="8" applyNumberFormat="1" applyFont="1" applyFill="1" applyBorder="1" applyAlignment="1">
      <alignment horizontal="right" vertical="top"/>
    </xf>
    <xf numFmtId="6" fontId="11" fillId="0" borderId="16" xfId="8" applyNumberFormat="1" applyFont="1" applyFill="1" applyBorder="1" applyAlignment="1">
      <alignment vertical="top"/>
    </xf>
    <xf numFmtId="6" fontId="18" fillId="0" borderId="16" xfId="8" applyNumberFormat="1" applyFont="1" applyFill="1" applyBorder="1" applyAlignment="1">
      <alignment vertical="top"/>
    </xf>
    <xf numFmtId="6" fontId="18" fillId="0" borderId="16" xfId="8" applyNumberFormat="1" applyFont="1" applyBorder="1" applyAlignment="1">
      <alignment horizontal="right" vertical="top"/>
    </xf>
    <xf numFmtId="6" fontId="18" fillId="0" borderId="16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16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16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16" xfId="8" applyFont="1" applyBorder="1" applyAlignment="1">
      <alignment vertical="top"/>
    </xf>
    <xf numFmtId="0" fontId="6" fillId="0" borderId="16" xfId="8" applyFont="1" applyBorder="1" applyProtection="1">
      <protection locked="0"/>
    </xf>
    <xf numFmtId="0" fontId="6" fillId="0" borderId="16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16" xfId="8" applyNumberFormat="1" applyFont="1" applyBorder="1" applyAlignment="1">
      <alignment horizontal="right" vertical="top"/>
    </xf>
    <xf numFmtId="10" fontId="11" fillId="0" borderId="16" xfId="8" applyNumberFormat="1" applyFont="1" applyBorder="1" applyAlignment="1">
      <alignment horizontal="right" vertical="top"/>
    </xf>
    <xf numFmtId="185" fontId="11" fillId="0" borderId="16" xfId="8" applyNumberFormat="1" applyFont="1" applyBorder="1" applyProtection="1">
      <protection locked="0"/>
    </xf>
    <xf numFmtId="0" fontId="6" fillId="0" borderId="16" xfId="8" applyFont="1" applyFill="1" applyBorder="1" applyAlignment="1">
      <alignment vertical="top"/>
    </xf>
    <xf numFmtId="0" fontId="6" fillId="0" borderId="16" xfId="8" applyFont="1" applyBorder="1" applyAlignment="1" applyProtection="1">
      <alignment horizontal="center"/>
      <protection locked="0"/>
    </xf>
    <xf numFmtId="6" fontId="11" fillId="0" borderId="30" xfId="8" applyNumberFormat="1" applyFont="1" applyBorder="1" applyAlignment="1">
      <alignment horizontal="right" vertical="top"/>
    </xf>
    <xf numFmtId="6" fontId="11" fillId="0" borderId="30" xfId="8" applyNumberFormat="1" applyFont="1" applyBorder="1" applyAlignment="1">
      <alignment vertical="top"/>
    </xf>
    <xf numFmtId="6" fontId="18" fillId="0" borderId="30" xfId="8" applyNumberFormat="1" applyFont="1" applyBorder="1" applyAlignment="1">
      <alignment horizontal="right" vertical="top"/>
    </xf>
    <xf numFmtId="0" fontId="1" fillId="0" borderId="35" xfId="7" applyFont="1" applyBorder="1"/>
    <xf numFmtId="0" fontId="3" fillId="0" borderId="0" xfId="7" applyFont="1" applyBorder="1" applyAlignment="1">
      <alignment horizontal="right"/>
    </xf>
    <xf numFmtId="37" fontId="2" fillId="0" borderId="35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5" xfId="7" applyFont="1" applyBorder="1" applyAlignment="1">
      <alignment horizontal="center"/>
    </xf>
    <xf numFmtId="0" fontId="5" fillId="0" borderId="35" xfId="7" applyFont="1" applyBorder="1"/>
    <xf numFmtId="0" fontId="4" fillId="0" borderId="35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5" xfId="7" applyFont="1" applyBorder="1"/>
    <xf numFmtId="43" fontId="6" fillId="0" borderId="35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5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5" xfId="7" applyNumberFormat="1" applyFont="1" applyBorder="1" applyAlignment="1">
      <alignment horizontal="right"/>
    </xf>
    <xf numFmtId="43" fontId="6" fillId="0" borderId="35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5" xfId="2" applyFont="1" applyFill="1" applyBorder="1" applyAlignment="1" applyProtection="1">
      <alignment horizontal="left" wrapText="1"/>
      <protection locked="0"/>
    </xf>
    <xf numFmtId="0" fontId="6" fillId="0" borderId="35" xfId="7" applyFont="1" applyBorder="1"/>
    <xf numFmtId="43" fontId="3" fillId="0" borderId="35" xfId="2" applyFont="1" applyBorder="1" applyAlignment="1" applyProtection="1">
      <alignment horizontal="left"/>
      <protection locked="0"/>
    </xf>
    <xf numFmtId="37" fontId="10" fillId="0" borderId="35" xfId="7" applyNumberFormat="1" applyFont="1" applyBorder="1" applyAlignment="1">
      <alignment horizontal="right"/>
    </xf>
    <xf numFmtId="9" fontId="10" fillId="0" borderId="35" xfId="7" applyNumberFormat="1" applyFont="1" applyBorder="1" applyAlignment="1">
      <alignment horizontal="right"/>
    </xf>
    <xf numFmtId="0" fontId="30" fillId="0" borderId="35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5" xfId="7" applyFont="1" applyBorder="1" applyAlignment="1">
      <alignment horizontal="left" wrapText="1"/>
    </xf>
    <xf numFmtId="167" fontId="3" fillId="0" borderId="35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5" xfId="7" applyNumberFormat="1" applyFont="1" applyBorder="1" applyAlignment="1">
      <alignment horizontal="right"/>
    </xf>
    <xf numFmtId="0" fontId="2" fillId="0" borderId="35" xfId="7" applyFont="1" applyBorder="1" applyAlignment="1"/>
    <xf numFmtId="0" fontId="31" fillId="0" borderId="35" xfId="7" applyFont="1" applyBorder="1" applyAlignment="1">
      <alignment horizontal="left"/>
    </xf>
    <xf numFmtId="5" fontId="31" fillId="0" borderId="35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5" xfId="7" applyFont="1" applyBorder="1" applyAlignment="1">
      <alignment horizontal="left"/>
    </xf>
    <xf numFmtId="43" fontId="11" fillId="0" borderId="35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2" xfId="6" applyFont="1" applyBorder="1" applyAlignment="1">
      <alignment horizontal="center"/>
    </xf>
    <xf numFmtId="0" fontId="2" fillId="0" borderId="33" xfId="6" applyFont="1" applyBorder="1" applyAlignment="1">
      <alignment horizontal="center"/>
    </xf>
    <xf numFmtId="0" fontId="2" fillId="0" borderId="34" xfId="6" applyFont="1" applyBorder="1" applyAlignment="1">
      <alignment horizontal="center"/>
    </xf>
    <xf numFmtId="0" fontId="3" fillId="0" borderId="32" xfId="7" applyFont="1" applyBorder="1" applyAlignment="1">
      <alignment horizontal="center"/>
    </xf>
    <xf numFmtId="0" fontId="3" fillId="0" borderId="33" xfId="7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164" fontId="3" fillId="0" borderId="1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1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13" xfId="6" applyNumberFormat="1" applyFont="1" applyBorder="1" applyAlignment="1">
      <alignment horizontal="center"/>
    </xf>
    <xf numFmtId="5" fontId="6" fillId="0" borderId="14" xfId="6" applyNumberFormat="1" applyFont="1" applyBorder="1" applyAlignment="1">
      <alignment horizontal="center"/>
    </xf>
    <xf numFmtId="5" fontId="6" fillId="0" borderId="15" xfId="6" applyNumberFormat="1" applyFont="1" applyBorder="1" applyAlignment="1">
      <alignment horizontal="center"/>
    </xf>
    <xf numFmtId="5" fontId="6" fillId="0" borderId="9" xfId="6" applyNumberFormat="1" applyFont="1" applyBorder="1" applyAlignment="1">
      <alignment horizontal="center"/>
    </xf>
    <xf numFmtId="5" fontId="6" fillId="0" borderId="10" xfId="6" applyNumberFormat="1" applyFont="1" applyBorder="1" applyAlignment="1">
      <alignment horizontal="center"/>
    </xf>
    <xf numFmtId="5" fontId="6" fillId="0" borderId="11" xfId="6" applyNumberFormat="1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9" xfId="6" applyNumberFormat="1" applyFont="1" applyFill="1" applyBorder="1" applyAlignment="1">
      <alignment horizontal="center" wrapText="1"/>
    </xf>
    <xf numFmtId="164" fontId="3" fillId="3" borderId="10" xfId="6" applyNumberFormat="1" applyFont="1" applyFill="1" applyBorder="1" applyAlignment="1">
      <alignment horizontal="center" wrapText="1"/>
    </xf>
    <xf numFmtId="164" fontId="3" fillId="3" borderId="11" xfId="6" applyNumberFormat="1" applyFont="1" applyFill="1" applyBorder="1" applyAlignment="1">
      <alignment horizontal="center" wrapText="1"/>
    </xf>
    <xf numFmtId="0" fontId="3" fillId="0" borderId="20" xfId="7" applyFont="1" applyBorder="1" applyAlignment="1">
      <alignment horizontal="center"/>
    </xf>
    <xf numFmtId="0" fontId="3" fillId="0" borderId="21" xfId="7" applyFont="1" applyBorder="1" applyAlignment="1">
      <alignment horizontal="center"/>
    </xf>
    <xf numFmtId="0" fontId="3" fillId="0" borderId="22" xfId="7" applyFont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7" xfId="6" applyNumberFormat="1" applyFont="1" applyFill="1" applyBorder="1" applyAlignment="1">
      <alignment horizontal="center" wrapText="1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0" fontId="14" fillId="0" borderId="23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23" xfId="6" applyFont="1" applyBorder="1" applyAlignment="1"/>
    <xf numFmtId="0" fontId="15" fillId="0" borderId="8" xfId="6" applyFont="1" applyBorder="1" applyAlignment="1"/>
    <xf numFmtId="164" fontId="12" fillId="0" borderId="30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164" fontId="12" fillId="0" borderId="9" xfId="6" applyNumberFormat="1" applyFont="1" applyBorder="1" applyAlignment="1">
      <alignment horizontal="center" wrapText="1"/>
    </xf>
    <xf numFmtId="164" fontId="12" fillId="0" borderId="10" xfId="6" applyNumberFormat="1" applyFont="1" applyBorder="1" applyAlignment="1">
      <alignment horizontal="center" wrapText="1"/>
    </xf>
    <xf numFmtId="164" fontId="12" fillId="0" borderId="11" xfId="6" applyNumberFormat="1" applyFont="1" applyBorder="1" applyAlignment="1">
      <alignment horizontal="center" wrapText="1"/>
    </xf>
    <xf numFmtId="0" fontId="14" fillId="0" borderId="12" xfId="6" applyFont="1" applyBorder="1" applyAlignment="1">
      <alignment horizontal="center"/>
    </xf>
    <xf numFmtId="0" fontId="15" fillId="0" borderId="1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13" xfId="6" applyNumberFormat="1" applyFont="1" applyBorder="1" applyAlignment="1">
      <alignment horizontal="center" wrapText="1"/>
    </xf>
    <xf numFmtId="164" fontId="12" fillId="0" borderId="14" xfId="6" applyNumberFormat="1" applyFont="1" applyBorder="1" applyAlignment="1">
      <alignment horizontal="center" wrapText="1"/>
    </xf>
    <xf numFmtId="164" fontId="12" fillId="0" borderId="15" xfId="6" applyNumberFormat="1" applyFont="1" applyBorder="1" applyAlignment="1">
      <alignment horizontal="center" wrapText="1"/>
    </xf>
    <xf numFmtId="0" fontId="2" fillId="0" borderId="32" xfId="6" applyFont="1" applyBorder="1" applyAlignment="1">
      <alignment horizontal="center" wrapText="1"/>
    </xf>
    <xf numFmtId="0" fontId="2" fillId="0" borderId="33" xfId="6" applyFont="1" applyBorder="1" applyAlignment="1">
      <alignment horizontal="center" wrapText="1"/>
    </xf>
    <xf numFmtId="0" fontId="2" fillId="0" borderId="34" xfId="6" applyFont="1" applyBorder="1" applyAlignment="1">
      <alignment horizontal="center" wrapText="1"/>
    </xf>
    <xf numFmtId="164" fontId="3" fillId="0" borderId="20" xfId="7" applyNumberFormat="1" applyFont="1" applyBorder="1" applyAlignment="1">
      <alignment wrapText="1"/>
    </xf>
    <xf numFmtId="164" fontId="3" fillId="0" borderId="21" xfId="7" applyNumberFormat="1" applyFont="1" applyBorder="1" applyAlignment="1">
      <alignment wrapText="1"/>
    </xf>
    <xf numFmtId="164" fontId="3" fillId="0" borderId="22" xfId="7" applyNumberFormat="1" applyFont="1" applyBorder="1" applyAlignment="1">
      <alignment wrapText="1"/>
    </xf>
    <xf numFmtId="0" fontId="2" fillId="0" borderId="20" xfId="7" applyFont="1" applyBorder="1" applyAlignment="1">
      <alignment horizontal="center"/>
    </xf>
    <xf numFmtId="0" fontId="2" fillId="0" borderId="21" xfId="7" applyFont="1" applyBorder="1" applyAlignment="1">
      <alignment horizontal="center"/>
    </xf>
    <xf numFmtId="0" fontId="2" fillId="0" borderId="22" xfId="7" applyFont="1" applyBorder="1" applyAlignment="1">
      <alignment horizontal="center"/>
    </xf>
    <xf numFmtId="0" fontId="3" fillId="0" borderId="0" xfId="8" applyFont="1" applyAlignment="1" applyProtection="1">
      <alignment horizontal="center"/>
      <protection locked="0"/>
    </xf>
    <xf numFmtId="0" fontId="3" fillId="0" borderId="20" xfId="8" applyFont="1" applyBorder="1" applyAlignment="1" applyProtection="1">
      <alignment horizontal="center"/>
      <protection locked="0"/>
    </xf>
    <xf numFmtId="0" fontId="3" fillId="0" borderId="21" xfId="8" applyFont="1" applyBorder="1" applyAlignment="1" applyProtection="1">
      <alignment horizontal="center"/>
      <protection locked="0"/>
    </xf>
    <xf numFmtId="0" fontId="3" fillId="0" borderId="22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20" xfId="8" applyNumberFormat="1" applyFont="1" applyBorder="1" applyAlignment="1" applyProtection="1">
      <alignment horizontal="center"/>
      <protection locked="0"/>
    </xf>
    <xf numFmtId="164" fontId="3" fillId="0" borderId="21" xfId="8" applyNumberFormat="1" applyFont="1" applyBorder="1" applyAlignment="1" applyProtection="1">
      <alignment horizontal="center"/>
      <protection locked="0"/>
    </xf>
    <xf numFmtId="164" fontId="3" fillId="0" borderId="22" xfId="8" applyNumberFormat="1" applyFont="1" applyBorder="1" applyAlignment="1" applyProtection="1">
      <alignment horizontal="center"/>
      <protection locked="0"/>
    </xf>
    <xf numFmtId="0" fontId="3" fillId="0" borderId="32" xfId="7" applyFont="1" applyBorder="1" applyAlignment="1">
      <alignment horizontal="left"/>
    </xf>
    <xf numFmtId="0" fontId="3" fillId="0" borderId="33" xfId="7" applyFont="1" applyBorder="1" applyAlignment="1">
      <alignment horizontal="left"/>
    </xf>
    <xf numFmtId="0" fontId="3" fillId="0" borderId="34" xfId="7" applyFont="1" applyBorder="1" applyAlignment="1">
      <alignment horizontal="left"/>
    </xf>
    <xf numFmtId="0" fontId="1" fillId="0" borderId="32" xfId="7" applyFont="1" applyBorder="1"/>
    <xf numFmtId="0" fontId="1" fillId="0" borderId="33" xfId="7" applyFont="1" applyBorder="1"/>
    <xf numFmtId="0" fontId="1" fillId="0" borderId="34" xfId="7" applyFont="1" applyBorder="1"/>
    <xf numFmtId="0" fontId="2" fillId="0" borderId="32" xfId="7" applyFont="1" applyBorder="1" applyAlignment="1">
      <alignment horizontal="center"/>
    </xf>
    <xf numFmtId="0" fontId="2" fillId="0" borderId="33" xfId="7" applyFont="1" applyBorder="1" applyAlignment="1">
      <alignment horizontal="center"/>
    </xf>
    <xf numFmtId="0" fontId="2" fillId="0" borderId="34" xfId="7" applyFont="1" applyBorder="1" applyAlignment="1">
      <alignment horizontal="center"/>
    </xf>
    <xf numFmtId="0" fontId="3" fillId="0" borderId="32" xfId="7" applyFont="1" applyBorder="1" applyAlignment="1">
      <alignment horizontal="left" wrapText="1"/>
    </xf>
    <xf numFmtId="0" fontId="3" fillId="0" borderId="33" xfId="7" applyFont="1" applyBorder="1" applyAlignment="1">
      <alignment horizontal="left" wrapText="1"/>
    </xf>
    <xf numFmtId="0" fontId="3" fillId="0" borderId="34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tabSelected="1" zoomScale="75" zoomScaleSheetLayoutView="75" workbookViewId="0">
      <selection sqref="A1:F1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7.7109375" style="1" bestFit="1" customWidth="1"/>
    <col min="5" max="5" width="16.7109375" style="55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79838027</v>
      </c>
      <c r="D13" s="22">
        <v>73750817</v>
      </c>
      <c r="E13" s="22">
        <f t="shared" ref="E13:E22" si="0">D13-C13</f>
        <v>-6087210</v>
      </c>
      <c r="F13" s="23">
        <f t="shared" ref="F13:F22" si="1">IF(C13=0,0,E13/C13)</f>
        <v>-7.6244494368579524E-2</v>
      </c>
    </row>
    <row r="14" spans="1:8" ht="24" customHeight="1" x14ac:dyDescent="0.2">
      <c r="A14" s="20">
        <v>2</v>
      </c>
      <c r="B14" s="21" t="s">
        <v>17</v>
      </c>
      <c r="C14" s="22">
        <v>8710885</v>
      </c>
      <c r="D14" s="22">
        <v>8738868</v>
      </c>
      <c r="E14" s="22">
        <f t="shared" si="0"/>
        <v>27983</v>
      </c>
      <c r="F14" s="23">
        <f t="shared" si="1"/>
        <v>3.2124175672161898E-3</v>
      </c>
    </row>
    <row r="15" spans="1:8" ht="24" customHeight="1" x14ac:dyDescent="0.2">
      <c r="A15" s="20">
        <v>3</v>
      </c>
      <c r="B15" s="21" t="s">
        <v>18</v>
      </c>
      <c r="C15" s="22">
        <v>30103755</v>
      </c>
      <c r="D15" s="22">
        <v>26795462</v>
      </c>
      <c r="E15" s="22">
        <f t="shared" si="0"/>
        <v>-3308293</v>
      </c>
      <c r="F15" s="23">
        <f t="shared" si="1"/>
        <v>-0.10989635678339796</v>
      </c>
    </row>
    <row r="16" spans="1:8" ht="24" customHeight="1" x14ac:dyDescent="0.2">
      <c r="A16" s="20">
        <v>4</v>
      </c>
      <c r="B16" s="21" t="s">
        <v>19</v>
      </c>
      <c r="C16" s="22">
        <v>278083</v>
      </c>
      <c r="D16" s="22">
        <v>0</v>
      </c>
      <c r="E16" s="22">
        <f t="shared" si="0"/>
        <v>-278083</v>
      </c>
      <c r="F16" s="23">
        <f t="shared" si="1"/>
        <v>-1</v>
      </c>
    </row>
    <row r="17" spans="1:11" ht="24" customHeight="1" x14ac:dyDescent="0.2">
      <c r="A17" s="20">
        <v>5</v>
      </c>
      <c r="B17" s="21" t="s">
        <v>20</v>
      </c>
      <c r="C17" s="22">
        <v>4330064</v>
      </c>
      <c r="D17" s="22">
        <v>1346260</v>
      </c>
      <c r="E17" s="22">
        <f t="shared" si="0"/>
        <v>-2983804</v>
      </c>
      <c r="F17" s="23">
        <f t="shared" si="1"/>
        <v>-0.68909004578223321</v>
      </c>
    </row>
    <row r="18" spans="1:11" ht="24" customHeight="1" x14ac:dyDescent="0.2">
      <c r="A18" s="20">
        <v>6</v>
      </c>
      <c r="B18" s="21" t="s">
        <v>21</v>
      </c>
      <c r="C18" s="22">
        <v>2368715</v>
      </c>
      <c r="D18" s="22">
        <v>0</v>
      </c>
      <c r="E18" s="22">
        <f t="shared" si="0"/>
        <v>-2368715</v>
      </c>
      <c r="F18" s="23">
        <f t="shared" si="1"/>
        <v>-1</v>
      </c>
    </row>
    <row r="19" spans="1:11" ht="24" customHeight="1" x14ac:dyDescent="0.2">
      <c r="A19" s="20">
        <v>7</v>
      </c>
      <c r="B19" s="21" t="s">
        <v>22</v>
      </c>
      <c r="C19" s="22">
        <v>1860656</v>
      </c>
      <c r="D19" s="22">
        <v>1845044</v>
      </c>
      <c r="E19" s="22">
        <f t="shared" si="0"/>
        <v>-15612</v>
      </c>
      <c r="F19" s="23">
        <f t="shared" si="1"/>
        <v>-8.3905891255557172E-3</v>
      </c>
    </row>
    <row r="20" spans="1:11" ht="24" customHeight="1" x14ac:dyDescent="0.2">
      <c r="A20" s="20">
        <v>8</v>
      </c>
      <c r="B20" s="21" t="s">
        <v>23</v>
      </c>
      <c r="C20" s="22">
        <v>2373762</v>
      </c>
      <c r="D20" s="22">
        <v>1589839</v>
      </c>
      <c r="E20" s="22">
        <f t="shared" si="0"/>
        <v>-783923</v>
      </c>
      <c r="F20" s="23">
        <f t="shared" si="1"/>
        <v>-0.33024498664988317</v>
      </c>
    </row>
    <row r="21" spans="1:11" ht="24" customHeight="1" x14ac:dyDescent="0.2">
      <c r="A21" s="20">
        <v>9</v>
      </c>
      <c r="B21" s="21" t="s">
        <v>24</v>
      </c>
      <c r="C21" s="22">
        <v>389206</v>
      </c>
      <c r="D21" s="22">
        <v>3410889</v>
      </c>
      <c r="E21" s="22">
        <f t="shared" si="0"/>
        <v>3021683</v>
      </c>
      <c r="F21" s="23">
        <f t="shared" si="1"/>
        <v>7.7637112480280361</v>
      </c>
    </row>
    <row r="22" spans="1:11" ht="24" customHeight="1" x14ac:dyDescent="0.25">
      <c r="A22" s="24"/>
      <c r="B22" s="25" t="s">
        <v>25</v>
      </c>
      <c r="C22" s="26">
        <f>SUM(C13:C21)</f>
        <v>130253153</v>
      </c>
      <c r="D22" s="26">
        <f>SUM(D13:D21)</f>
        <v>117477179</v>
      </c>
      <c r="E22" s="26">
        <f t="shared" si="0"/>
        <v>-12775974</v>
      </c>
      <c r="F22" s="27">
        <f t="shared" si="1"/>
        <v>-9.8085717740744441E-2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2366125</v>
      </c>
      <c r="D25" s="22">
        <v>59708986</v>
      </c>
      <c r="E25" s="22">
        <f>D25-C25</f>
        <v>57342861</v>
      </c>
      <c r="F25" s="23">
        <f>IF(C25=0,0,E25/C25)</f>
        <v>24.23492461302763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0</v>
      </c>
      <c r="D26" s="22">
        <v>0</v>
      </c>
      <c r="E26" s="22">
        <f>D26-C26</f>
        <v>0</v>
      </c>
      <c r="F26" s="23">
        <f>IF(C26=0,0,E26/C26)</f>
        <v>0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0</v>
      </c>
      <c r="D27" s="22">
        <v>0</v>
      </c>
      <c r="E27" s="22">
        <f>D27-C27</f>
        <v>0</v>
      </c>
      <c r="F27" s="23">
        <f>IF(C27=0,0,E27/C27)</f>
        <v>0</v>
      </c>
    </row>
    <row r="28" spans="1:11" ht="24" customHeight="1" x14ac:dyDescent="0.2">
      <c r="A28" s="20">
        <v>4</v>
      </c>
      <c r="B28" s="21" t="s">
        <v>31</v>
      </c>
      <c r="C28" s="22">
        <v>2450281</v>
      </c>
      <c r="D28" s="22">
        <v>327</v>
      </c>
      <c r="E28" s="22">
        <f>D28-C28</f>
        <v>-2449954</v>
      </c>
      <c r="F28" s="23">
        <f>IF(C28=0,0,E28/C28)</f>
        <v>-0.99986654591861102</v>
      </c>
    </row>
    <row r="29" spans="1:11" ht="24" customHeight="1" x14ac:dyDescent="0.25">
      <c r="A29" s="24"/>
      <c r="B29" s="25" t="s">
        <v>32</v>
      </c>
      <c r="C29" s="26">
        <f>SUM(C25:C28)</f>
        <v>4816406</v>
      </c>
      <c r="D29" s="26">
        <f>SUM(D25:D28)</f>
        <v>59709313</v>
      </c>
      <c r="E29" s="26">
        <f>D29-C29</f>
        <v>54892907</v>
      </c>
      <c r="F29" s="27">
        <f>IF(C29=0,0,E29/C29)</f>
        <v>11.397068062783744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49220441</v>
      </c>
      <c r="D31" s="22">
        <v>45162957</v>
      </c>
      <c r="E31" s="22">
        <f>D31-C31</f>
        <v>-4057484</v>
      </c>
      <c r="F31" s="23">
        <f>IF(C31=0,0,E31/C31)</f>
        <v>-8.2434937955960214E-2</v>
      </c>
    </row>
    <row r="32" spans="1:11" ht="24" customHeight="1" x14ac:dyDescent="0.2">
      <c r="A32" s="20">
        <v>6</v>
      </c>
      <c r="B32" s="21" t="s">
        <v>34</v>
      </c>
      <c r="C32" s="22">
        <v>46403962</v>
      </c>
      <c r="D32" s="22">
        <v>80922925</v>
      </c>
      <c r="E32" s="22">
        <f>D32-C32</f>
        <v>34518963</v>
      </c>
      <c r="F32" s="23">
        <f>IF(C32=0,0,E32/C32)</f>
        <v>0.74387964975921672</v>
      </c>
    </row>
    <row r="33" spans="1:8" ht="24" customHeight="1" x14ac:dyDescent="0.2">
      <c r="A33" s="20">
        <v>7</v>
      </c>
      <c r="B33" s="21" t="s">
        <v>35</v>
      </c>
      <c r="C33" s="22">
        <v>71688804</v>
      </c>
      <c r="D33" s="22">
        <v>77286903</v>
      </c>
      <c r="E33" s="22">
        <f>D33-C33</f>
        <v>5598099</v>
      </c>
      <c r="F33" s="23">
        <f>IF(C33=0,0,E33/C33)</f>
        <v>7.8088888189570022E-2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420531198</v>
      </c>
      <c r="D36" s="22">
        <v>436266355</v>
      </c>
      <c r="E36" s="22">
        <f>D36-C36</f>
        <v>15735157</v>
      </c>
      <c r="F36" s="23">
        <f>IF(C36=0,0,E36/C36)</f>
        <v>3.7417335681239991E-2</v>
      </c>
    </row>
    <row r="37" spans="1:8" ht="24" customHeight="1" x14ac:dyDescent="0.2">
      <c r="A37" s="20">
        <v>2</v>
      </c>
      <c r="B37" s="21" t="s">
        <v>39</v>
      </c>
      <c r="C37" s="22">
        <v>292559901</v>
      </c>
      <c r="D37" s="22">
        <v>310387551</v>
      </c>
      <c r="E37" s="22">
        <f>D37-C37</f>
        <v>17827650</v>
      </c>
      <c r="F37" s="23">
        <f>IF(C37=0,0,E37/C37)</f>
        <v>6.0936751547506163E-2</v>
      </c>
    </row>
    <row r="38" spans="1:8" ht="24" customHeight="1" x14ac:dyDescent="0.25">
      <c r="A38" s="24"/>
      <c r="B38" s="25" t="s">
        <v>40</v>
      </c>
      <c r="C38" s="26">
        <f>C36-C37</f>
        <v>127971297</v>
      </c>
      <c r="D38" s="26">
        <f>D36-D37</f>
        <v>125878804</v>
      </c>
      <c r="E38" s="26">
        <f>D38-C38</f>
        <v>-2092493</v>
      </c>
      <c r="F38" s="27">
        <f>IF(C38=0,0,E38/C38)</f>
        <v>-1.635126820665106E-2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8602012</v>
      </c>
      <c r="D40" s="22">
        <v>34252962</v>
      </c>
      <c r="E40" s="22">
        <f>D40-C40</f>
        <v>25650950</v>
      </c>
      <c r="F40" s="23">
        <f>IF(C40=0,0,E40/C40)</f>
        <v>2.9819709621423454</v>
      </c>
    </row>
    <row r="41" spans="1:8" ht="24" customHeight="1" x14ac:dyDescent="0.25">
      <c r="A41" s="24"/>
      <c r="B41" s="25" t="s">
        <v>42</v>
      </c>
      <c r="C41" s="26">
        <f>+C38+C40</f>
        <v>136573309</v>
      </c>
      <c r="D41" s="26">
        <f>+D38+D40</f>
        <v>160131766</v>
      </c>
      <c r="E41" s="26">
        <f>D41-C41</f>
        <v>23558457</v>
      </c>
      <c r="F41" s="27">
        <f>IF(C41=0,0,E41/C41)</f>
        <v>0.17249678705522176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438956075</v>
      </c>
      <c r="D43" s="26">
        <f>D22+D29+D31+D32+D33+D41</f>
        <v>540691043</v>
      </c>
      <c r="E43" s="26">
        <f>D43-C43</f>
        <v>101734968</v>
      </c>
      <c r="F43" s="27">
        <f>IF(C43=0,0,E43/C43)</f>
        <v>0.23176571368786728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25888666</v>
      </c>
      <c r="D49" s="22">
        <v>29302635</v>
      </c>
      <c r="E49" s="22">
        <f t="shared" ref="E49:E56" si="2">D49-C49</f>
        <v>3413969</v>
      </c>
      <c r="F49" s="23">
        <f t="shared" ref="F49:F56" si="3">IF(C49=0,0,E49/C49)</f>
        <v>0.13187118254760596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17881149</v>
      </c>
      <c r="D50" s="22">
        <v>22048375</v>
      </c>
      <c r="E50" s="22">
        <f t="shared" si="2"/>
        <v>4167226</v>
      </c>
      <c r="F50" s="23">
        <f t="shared" si="3"/>
        <v>0.23305135480947001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4906972</v>
      </c>
      <c r="D51" s="22">
        <v>4893626</v>
      </c>
      <c r="E51" s="22">
        <f t="shared" si="2"/>
        <v>-13346</v>
      </c>
      <c r="F51" s="23">
        <f t="shared" si="3"/>
        <v>-2.7198035774404256E-3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4561656</v>
      </c>
      <c r="D52" s="22">
        <v>851758</v>
      </c>
      <c r="E52" s="22">
        <f t="shared" si="2"/>
        <v>-3709898</v>
      </c>
      <c r="F52" s="23">
        <f t="shared" si="3"/>
        <v>-0.81327877419954508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3820000</v>
      </c>
      <c r="D53" s="22">
        <v>3265000</v>
      </c>
      <c r="E53" s="22">
        <f t="shared" si="2"/>
        <v>-555000</v>
      </c>
      <c r="F53" s="23">
        <f t="shared" si="3"/>
        <v>-0.14528795811518325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1205862</v>
      </c>
      <c r="D54" s="22">
        <v>1243589</v>
      </c>
      <c r="E54" s="22">
        <f t="shared" si="2"/>
        <v>37727</v>
      </c>
      <c r="F54" s="23">
        <f t="shared" si="3"/>
        <v>3.1286332930302141E-2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764862</v>
      </c>
      <c r="D55" s="22">
        <v>818694</v>
      </c>
      <c r="E55" s="22">
        <f t="shared" si="2"/>
        <v>53832</v>
      </c>
      <c r="F55" s="23">
        <f t="shared" si="3"/>
        <v>7.0381323689763645E-2</v>
      </c>
    </row>
    <row r="56" spans="1:6" ht="24" customHeight="1" x14ac:dyDescent="0.25">
      <c r="A56" s="24"/>
      <c r="B56" s="25" t="s">
        <v>54</v>
      </c>
      <c r="C56" s="26">
        <f>SUM(C49:C55)</f>
        <v>59029167</v>
      </c>
      <c r="D56" s="26">
        <f>SUM(D49:D55)</f>
        <v>62423677</v>
      </c>
      <c r="E56" s="26">
        <f t="shared" si="2"/>
        <v>3394510</v>
      </c>
      <c r="F56" s="27">
        <f t="shared" si="3"/>
        <v>5.7505639542567148E-2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48575000</v>
      </c>
      <c r="D59" s="22">
        <v>119435000</v>
      </c>
      <c r="E59" s="22">
        <f>D59-C59</f>
        <v>70860000</v>
      </c>
      <c r="F59" s="23">
        <f>IF(C59=0,0,E59/C59)</f>
        <v>1.4587750900669068</v>
      </c>
    </row>
    <row r="60" spans="1:6" ht="24" customHeight="1" x14ac:dyDescent="0.2">
      <c r="A60" s="20">
        <v>2</v>
      </c>
      <c r="B60" s="21" t="s">
        <v>57</v>
      </c>
      <c r="C60" s="22">
        <v>4169956</v>
      </c>
      <c r="D60" s="22">
        <v>2926397</v>
      </c>
      <c r="E60" s="22">
        <f>D60-C60</f>
        <v>-1243559</v>
      </c>
      <c r="F60" s="23">
        <f>IF(C60=0,0,E60/C60)</f>
        <v>-0.29821873420247119</v>
      </c>
    </row>
    <row r="61" spans="1:6" ht="24" customHeight="1" x14ac:dyDescent="0.25">
      <c r="A61" s="24"/>
      <c r="B61" s="25" t="s">
        <v>58</v>
      </c>
      <c r="C61" s="26">
        <f>SUM(C59:C60)</f>
        <v>52744956</v>
      </c>
      <c r="D61" s="26">
        <f>SUM(D59:D60)</f>
        <v>122361397</v>
      </c>
      <c r="E61" s="26">
        <f>D61-C61</f>
        <v>69616441</v>
      </c>
      <c r="F61" s="27">
        <f>IF(C61=0,0,E61/C61)</f>
        <v>1.3198691643614224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64741651</v>
      </c>
      <c r="D63" s="22">
        <v>13061730</v>
      </c>
      <c r="E63" s="22">
        <f>D63-C63</f>
        <v>-51679921</v>
      </c>
      <c r="F63" s="23">
        <f>IF(C63=0,0,E63/C63)</f>
        <v>-0.79824842588583356</v>
      </c>
    </row>
    <row r="64" spans="1:6" ht="24" customHeight="1" x14ac:dyDescent="0.2">
      <c r="A64" s="20">
        <v>4</v>
      </c>
      <c r="B64" s="21" t="s">
        <v>60</v>
      </c>
      <c r="C64" s="22">
        <v>95747309</v>
      </c>
      <c r="D64" s="22">
        <v>95631123</v>
      </c>
      <c r="E64" s="22">
        <f>D64-C64</f>
        <v>-116186</v>
      </c>
      <c r="F64" s="23">
        <f>IF(C64=0,0,E64/C64)</f>
        <v>-1.213464913149674E-3</v>
      </c>
    </row>
    <row r="65" spans="1:6" ht="24" customHeight="1" x14ac:dyDescent="0.25">
      <c r="A65" s="24"/>
      <c r="B65" s="25" t="s">
        <v>61</v>
      </c>
      <c r="C65" s="26">
        <f>SUM(C61:C64)</f>
        <v>213233916</v>
      </c>
      <c r="D65" s="26">
        <f>SUM(D61:D64)</f>
        <v>231054250</v>
      </c>
      <c r="E65" s="26">
        <f>D65-C65</f>
        <v>17820334</v>
      </c>
      <c r="F65" s="27">
        <f>IF(C65=0,0,E65/C65)</f>
        <v>8.3571761632891456E-2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123000420</v>
      </c>
      <c r="D70" s="22">
        <v>207578029</v>
      </c>
      <c r="E70" s="22">
        <f>D70-C70</f>
        <v>84577609</v>
      </c>
      <c r="F70" s="23">
        <f>IF(C70=0,0,E70/C70)</f>
        <v>0.68762048942597109</v>
      </c>
    </row>
    <row r="71" spans="1:6" ht="24" customHeight="1" x14ac:dyDescent="0.2">
      <c r="A71" s="20">
        <v>2</v>
      </c>
      <c r="B71" s="21" t="s">
        <v>65</v>
      </c>
      <c r="C71" s="22">
        <v>34246719</v>
      </c>
      <c r="D71" s="22">
        <v>30180235</v>
      </c>
      <c r="E71" s="22">
        <f>D71-C71</f>
        <v>-4066484</v>
      </c>
      <c r="F71" s="23">
        <f>IF(C71=0,0,E71/C71)</f>
        <v>-0.11874083470594658</v>
      </c>
    </row>
    <row r="72" spans="1:6" ht="24" customHeight="1" x14ac:dyDescent="0.2">
      <c r="A72" s="20">
        <v>3</v>
      </c>
      <c r="B72" s="21" t="s">
        <v>66</v>
      </c>
      <c r="C72" s="22">
        <v>9445853</v>
      </c>
      <c r="D72" s="22">
        <v>9454852</v>
      </c>
      <c r="E72" s="22">
        <f>D72-C72</f>
        <v>8999</v>
      </c>
      <c r="F72" s="23">
        <f>IF(C72=0,0,E72/C72)</f>
        <v>9.5269320833174097E-4</v>
      </c>
    </row>
    <row r="73" spans="1:6" ht="24" customHeight="1" x14ac:dyDescent="0.25">
      <c r="A73" s="20"/>
      <c r="B73" s="25" t="s">
        <v>67</v>
      </c>
      <c r="C73" s="26">
        <f>SUM(C70:C72)</f>
        <v>166692992</v>
      </c>
      <c r="D73" s="26">
        <f>SUM(D70:D72)</f>
        <v>247213116</v>
      </c>
      <c r="E73" s="26">
        <f>D73-C73</f>
        <v>80520124</v>
      </c>
      <c r="F73" s="27">
        <f>IF(C73=0,0,E73/C73)</f>
        <v>0.48304444616363956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438956075</v>
      </c>
      <c r="D75" s="26">
        <f>D56+D65+D67+D73</f>
        <v>540691043</v>
      </c>
      <c r="E75" s="26">
        <f>D75-C75</f>
        <v>101734968</v>
      </c>
      <c r="F75" s="27">
        <f>IF(C75=0,0,E75/C75)</f>
        <v>0.23176571368786728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0" fitToHeight="0" orientation="portrait" horizontalDpi="1200" verticalDpi="1200" r:id="rId1"/>
  <headerFooter>
    <oddHeader>&amp;LOFFICE OF HEALTH CARE ACCESS&amp;CTWELVE MONTHS ACTUAL FILING&amp;RNORWALK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zoomScale="70" zoomScaleSheetLayoutView="75" workbookViewId="0">
      <selection sqref="A1:F1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6" width="19" style="225" customWidth="1"/>
    <col min="7" max="7" width="18.7109375" style="56" customWidth="1"/>
    <col min="8" max="16384" width="9.140625" style="56"/>
  </cols>
  <sheetData>
    <row r="1" spans="1:6" ht="24" customHeight="1" x14ac:dyDescent="0.25">
      <c r="A1" s="766" t="s">
        <v>500</v>
      </c>
      <c r="B1" s="767"/>
      <c r="C1" s="767"/>
      <c r="D1" s="767"/>
      <c r="E1" s="768"/>
    </row>
    <row r="2" spans="1:6" ht="24" customHeight="1" x14ac:dyDescent="0.25">
      <c r="A2" s="766" t="s">
        <v>1</v>
      </c>
      <c r="B2" s="767"/>
      <c r="C2" s="767"/>
      <c r="D2" s="767"/>
      <c r="E2" s="768"/>
    </row>
    <row r="3" spans="1:6" ht="24" customHeight="1" x14ac:dyDescent="0.25">
      <c r="A3" s="766" t="s">
        <v>2</v>
      </c>
      <c r="B3" s="767"/>
      <c r="C3" s="767"/>
      <c r="D3" s="767"/>
      <c r="E3" s="768"/>
    </row>
    <row r="4" spans="1:6" ht="24" customHeight="1" x14ac:dyDescent="0.25">
      <c r="A4" s="766" t="s">
        <v>504</v>
      </c>
      <c r="B4" s="767"/>
      <c r="C4" s="767"/>
      <c r="D4" s="767"/>
      <c r="E4" s="768"/>
    </row>
    <row r="5" spans="1:6" ht="24" customHeight="1" x14ac:dyDescent="0.25">
      <c r="A5" s="766"/>
      <c r="B5" s="767"/>
      <c r="C5" s="767"/>
      <c r="D5" s="767"/>
      <c r="E5" s="768"/>
    </row>
    <row r="6" spans="1:6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25">
      <c r="A8" s="61" t="s">
        <v>8</v>
      </c>
      <c r="B8" s="62" t="s">
        <v>9</v>
      </c>
      <c r="C8" s="328" t="s">
        <v>505</v>
      </c>
      <c r="D8" s="328" t="s">
        <v>4</v>
      </c>
      <c r="E8" s="328" t="s">
        <v>5</v>
      </c>
      <c r="F8" s="64"/>
    </row>
    <row r="9" spans="1:6" ht="24" customHeight="1" x14ac:dyDescent="0.25">
      <c r="B9" s="62"/>
      <c r="C9" s="68"/>
      <c r="D9" s="68"/>
      <c r="E9" s="73"/>
      <c r="F9" s="73"/>
    </row>
    <row r="10" spans="1:6" ht="24" customHeight="1" x14ac:dyDescent="0.25">
      <c r="A10" s="329" t="s">
        <v>14</v>
      </c>
      <c r="B10" s="210" t="s">
        <v>506</v>
      </c>
      <c r="C10" s="79"/>
      <c r="D10" s="79"/>
      <c r="E10" s="88"/>
      <c r="F10" s="80"/>
    </row>
    <row r="11" spans="1:6" ht="24" customHeight="1" x14ac:dyDescent="0.25">
      <c r="A11" s="85">
        <v>1</v>
      </c>
      <c r="B11" s="75" t="s">
        <v>507</v>
      </c>
      <c r="C11" s="76">
        <v>374982882</v>
      </c>
      <c r="D11" s="76">
        <v>388662545</v>
      </c>
      <c r="E11" s="76">
        <v>364800437</v>
      </c>
      <c r="F11" s="80"/>
    </row>
    <row r="12" spans="1:6" ht="24" customHeight="1" x14ac:dyDescent="0.25">
      <c r="A12" s="85">
        <v>2</v>
      </c>
      <c r="B12" s="75" t="s">
        <v>78</v>
      </c>
      <c r="C12" s="185">
        <v>23390919</v>
      </c>
      <c r="D12" s="185">
        <v>23548515</v>
      </c>
      <c r="E12" s="185">
        <v>18994632</v>
      </c>
      <c r="F12" s="80"/>
    </row>
    <row r="13" spans="1:6" s="225" customFormat="1" ht="24" customHeight="1" x14ac:dyDescent="0.2">
      <c r="A13" s="85">
        <v>3</v>
      </c>
      <c r="B13" s="75" t="s">
        <v>80</v>
      </c>
      <c r="C13" s="76">
        <f>+C11+C12</f>
        <v>398373801</v>
      </c>
      <c r="D13" s="76">
        <f>+D11+D12</f>
        <v>412211060</v>
      </c>
      <c r="E13" s="76">
        <f>+E11+E12</f>
        <v>383795069</v>
      </c>
      <c r="F13" s="77"/>
    </row>
    <row r="14" spans="1:6" s="225" customFormat="1" ht="24" customHeight="1" x14ac:dyDescent="0.2">
      <c r="A14" s="85">
        <v>4</v>
      </c>
      <c r="B14" s="75" t="s">
        <v>91</v>
      </c>
      <c r="C14" s="185">
        <v>382748783</v>
      </c>
      <c r="D14" s="185">
        <v>392112422</v>
      </c>
      <c r="E14" s="185">
        <v>369760151</v>
      </c>
      <c r="F14" s="77"/>
    </row>
    <row r="15" spans="1:6" s="225" customFormat="1" ht="24" customHeight="1" x14ac:dyDescent="0.2">
      <c r="A15" s="85">
        <v>5</v>
      </c>
      <c r="B15" s="75" t="s">
        <v>92</v>
      </c>
      <c r="C15" s="76">
        <f>+C13-C14</f>
        <v>15625018</v>
      </c>
      <c r="D15" s="76">
        <f>+D13-D14</f>
        <v>20098638</v>
      </c>
      <c r="E15" s="76">
        <f>+E13-E14</f>
        <v>14034918</v>
      </c>
      <c r="F15" s="77"/>
    </row>
    <row r="16" spans="1:6" s="225" customFormat="1" ht="24" customHeight="1" x14ac:dyDescent="0.2">
      <c r="A16" s="85">
        <v>6</v>
      </c>
      <c r="B16" s="75" t="s">
        <v>97</v>
      </c>
      <c r="C16" s="185">
        <v>-4026811</v>
      </c>
      <c r="D16" s="185">
        <v>6256474</v>
      </c>
      <c r="E16" s="185">
        <v>10731419</v>
      </c>
      <c r="F16" s="77"/>
    </row>
    <row r="17" spans="1:14" s="225" customFormat="1" ht="24" customHeight="1" x14ac:dyDescent="0.2">
      <c r="A17" s="85">
        <v>7</v>
      </c>
      <c r="B17" s="330" t="s">
        <v>321</v>
      </c>
      <c r="C17" s="76">
        <f>C15+C16</f>
        <v>11598207</v>
      </c>
      <c r="D17" s="76">
        <f>D15+D16</f>
        <v>26355112</v>
      </c>
      <c r="E17" s="76">
        <f>E15+E16</f>
        <v>24766337</v>
      </c>
      <c r="F17" s="77"/>
    </row>
    <row r="18" spans="1:14" ht="24" customHeight="1" x14ac:dyDescent="0.25">
      <c r="A18" s="85"/>
      <c r="B18" s="330"/>
      <c r="C18" s="187"/>
      <c r="D18" s="187"/>
      <c r="E18" s="188"/>
      <c r="F18" s="80"/>
    </row>
    <row r="19" spans="1:14" ht="24" customHeight="1" x14ac:dyDescent="0.25">
      <c r="A19" s="329" t="s">
        <v>26</v>
      </c>
      <c r="B19" s="72" t="s">
        <v>508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25">
      <c r="A20" s="332">
        <v>1</v>
      </c>
      <c r="B20" s="330" t="s">
        <v>509</v>
      </c>
      <c r="C20" s="189">
        <f>IF(+C27=0,0,+C24/+C27)</f>
        <v>3.9622511129094706E-2</v>
      </c>
      <c r="D20" s="189">
        <f>IF(+D27=0,0,+D24/+D27)</f>
        <v>4.8029145314771302E-2</v>
      </c>
      <c r="E20" s="189">
        <f>IF(+E27=0,0,+E24/+E27)</f>
        <v>3.5574082924439789E-2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25">
      <c r="A21" s="332">
        <v>2</v>
      </c>
      <c r="B21" s="330" t="s">
        <v>510</v>
      </c>
      <c r="C21" s="189">
        <f>IF(+C27=0,0,+C26/+C27)</f>
        <v>-1.0211339510921588E-2</v>
      </c>
      <c r="D21" s="189">
        <f>IF(+D27=0,0,+D26/+D27)</f>
        <v>1.4950918510203947E-2</v>
      </c>
      <c r="E21" s="189">
        <f>IF(+E27=0,0,+E26/+E27)</f>
        <v>2.7200756670107282E-2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25">
      <c r="A22" s="332">
        <v>3</v>
      </c>
      <c r="B22" s="330" t="s">
        <v>511</v>
      </c>
      <c r="C22" s="189">
        <f>IF(+C27=0,0,+C28/+C27)</f>
        <v>2.9411171618173124E-2</v>
      </c>
      <c r="D22" s="189">
        <f>IF(+D27=0,0,+D28/+D27)</f>
        <v>6.2980063824975244E-2</v>
      </c>
      <c r="E22" s="189">
        <f>IF(+E27=0,0,+E28/+E27)</f>
        <v>6.2774839594547077E-2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25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25">
      <c r="A24" s="226">
        <v>4</v>
      </c>
      <c r="B24" s="75" t="s">
        <v>92</v>
      </c>
      <c r="C24" s="76">
        <f>+C15</f>
        <v>15625018</v>
      </c>
      <c r="D24" s="76">
        <f>+D15</f>
        <v>20098638</v>
      </c>
      <c r="E24" s="76">
        <f>+E15</f>
        <v>14034918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25">
      <c r="A25" s="226">
        <v>5</v>
      </c>
      <c r="B25" s="75" t="s">
        <v>80</v>
      </c>
      <c r="C25" s="76">
        <f>+C13</f>
        <v>398373801</v>
      </c>
      <c r="D25" s="76">
        <f>+D13</f>
        <v>412211060</v>
      </c>
      <c r="E25" s="76">
        <f>+E13</f>
        <v>383795069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25">
      <c r="A26" s="226">
        <v>6</v>
      </c>
      <c r="B26" s="75" t="s">
        <v>97</v>
      </c>
      <c r="C26" s="76">
        <f>+C16</f>
        <v>-4026811</v>
      </c>
      <c r="D26" s="76">
        <f>+D16</f>
        <v>6256474</v>
      </c>
      <c r="E26" s="76">
        <f>+E16</f>
        <v>10731419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25">
      <c r="A27" s="226">
        <v>7</v>
      </c>
      <c r="B27" s="75" t="s">
        <v>326</v>
      </c>
      <c r="C27" s="76">
        <f>SUM(C25:C26)</f>
        <v>394346990</v>
      </c>
      <c r="D27" s="76">
        <f>SUM(D25:D26)</f>
        <v>418467534</v>
      </c>
      <c r="E27" s="76">
        <f>SUM(E25:E26)</f>
        <v>394526488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25">
      <c r="A28" s="226">
        <v>8</v>
      </c>
      <c r="B28" s="330" t="s">
        <v>321</v>
      </c>
      <c r="C28" s="76">
        <f>+C17</f>
        <v>11598207</v>
      </c>
      <c r="D28" s="76">
        <f>+D17</f>
        <v>26355112</v>
      </c>
      <c r="E28" s="76">
        <f>+E17</f>
        <v>24766337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25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25">
      <c r="A30" s="179" t="s">
        <v>36</v>
      </c>
      <c r="B30" s="191" t="s">
        <v>512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25">
      <c r="A31" s="85">
        <v>1</v>
      </c>
      <c r="B31" s="75" t="s">
        <v>513</v>
      </c>
      <c r="C31" s="76">
        <v>126940368</v>
      </c>
      <c r="D31" s="76">
        <v>147589726</v>
      </c>
      <c r="E31" s="76">
        <v>239539585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25">
      <c r="A32" s="74">
        <v>2</v>
      </c>
      <c r="B32" s="75" t="s">
        <v>514</v>
      </c>
      <c r="C32" s="76">
        <v>169919697</v>
      </c>
      <c r="D32" s="76">
        <v>204138724</v>
      </c>
      <c r="E32" s="76">
        <v>292364747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25">
      <c r="A33" s="74">
        <v>3</v>
      </c>
      <c r="B33" s="330" t="s">
        <v>515</v>
      </c>
      <c r="C33" s="76">
        <v>-4775433</v>
      </c>
      <c r="D33" s="76">
        <f>+D32-C32</f>
        <v>34219027</v>
      </c>
      <c r="E33" s="76">
        <f>+E32-D32</f>
        <v>88226023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25">
      <c r="A34" s="74">
        <v>4</v>
      </c>
      <c r="B34" s="330" t="s">
        <v>516</v>
      </c>
      <c r="C34" s="193">
        <v>0.97260000000000002</v>
      </c>
      <c r="D34" s="193">
        <f>IF(C32=0,0,+D33/C32)</f>
        <v>0.20138352177028659</v>
      </c>
      <c r="E34" s="193">
        <f>IF(D32=0,0,+E33/D32)</f>
        <v>0.43218660953323096</v>
      </c>
      <c r="F34" s="80"/>
    </row>
    <row r="35" spans="1:14" ht="24" customHeight="1" x14ac:dyDescent="0.25">
      <c r="E35" s="56"/>
      <c r="F35" s="80"/>
    </row>
    <row r="36" spans="1:14" ht="15.75" customHeight="1" x14ac:dyDescent="0.25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25">
      <c r="A37" s="333"/>
      <c r="B37" s="334"/>
      <c r="C37" s="335"/>
      <c r="D37" s="335"/>
      <c r="E37" s="336"/>
      <c r="F37" s="80"/>
    </row>
    <row r="38" spans="1:14" ht="24" customHeight="1" x14ac:dyDescent="0.25">
      <c r="A38" s="333">
        <v>1</v>
      </c>
      <c r="B38" s="337" t="s">
        <v>353</v>
      </c>
      <c r="C38" s="338">
        <f>IF(+C40=0,0,+C39/+C40)</f>
        <v>2.4118318503665144</v>
      </c>
      <c r="D38" s="338">
        <f>IF(+D40=0,0,+D39/+D40)</f>
        <v>2.9299077507142437</v>
      </c>
      <c r="E38" s="338">
        <f>IF(+E40=0,0,+E39/+E40)</f>
        <v>2.2835409937702309</v>
      </c>
      <c r="F38" s="80"/>
    </row>
    <row r="39" spans="1:14" ht="24" customHeight="1" x14ac:dyDescent="0.25">
      <c r="A39" s="339">
        <v>2</v>
      </c>
      <c r="B39" s="340" t="s">
        <v>25</v>
      </c>
      <c r="C39" s="341">
        <v>162996642</v>
      </c>
      <c r="D39" s="341">
        <v>175407392</v>
      </c>
      <c r="E39" s="341">
        <v>156109818</v>
      </c>
      <c r="F39" s="80"/>
    </row>
    <row r="40" spans="1:14" ht="24" customHeight="1" x14ac:dyDescent="0.2">
      <c r="A40" s="339">
        <v>3</v>
      </c>
      <c r="B40" s="340" t="s">
        <v>54</v>
      </c>
      <c r="C40" s="341">
        <v>67582092</v>
      </c>
      <c r="D40" s="341">
        <v>59867889</v>
      </c>
      <c r="E40" s="341">
        <v>68363046</v>
      </c>
    </row>
    <row r="41" spans="1:14" ht="24" customHeight="1" x14ac:dyDescent="0.25">
      <c r="A41" s="339"/>
      <c r="B41" s="342"/>
      <c r="C41" s="335"/>
      <c r="D41" s="335"/>
      <c r="E41" s="336"/>
    </row>
    <row r="42" spans="1:14" ht="24" customHeight="1" x14ac:dyDescent="0.25">
      <c r="A42" s="333">
        <v>4</v>
      </c>
      <c r="B42" s="337" t="s">
        <v>354</v>
      </c>
      <c r="C42" s="343">
        <f>IF((C48/365)=0,0,+C45/(C48/365))</f>
        <v>116.79998383404558</v>
      </c>
      <c r="D42" s="343">
        <f>IF((D48/365)=0,0,+D45/(D48/365))</f>
        <v>128.74436050146915</v>
      </c>
      <c r="E42" s="343">
        <f>IF((E48/365)=0,0,+E45/(E48/365))</f>
        <v>120.81831489969881</v>
      </c>
    </row>
    <row r="43" spans="1:14" ht="24" customHeight="1" x14ac:dyDescent="0.2">
      <c r="A43" s="339">
        <v>5</v>
      </c>
      <c r="B43" s="344" t="s">
        <v>16</v>
      </c>
      <c r="C43" s="345">
        <v>77594791</v>
      </c>
      <c r="D43" s="345">
        <v>85492679</v>
      </c>
      <c r="E43" s="345">
        <v>82407195</v>
      </c>
    </row>
    <row r="44" spans="1:14" ht="24" customHeight="1" x14ac:dyDescent="0.2">
      <c r="A44" s="339">
        <v>6</v>
      </c>
      <c r="B44" s="346" t="s">
        <v>17</v>
      </c>
      <c r="C44" s="345">
        <v>38584167</v>
      </c>
      <c r="D44" s="345">
        <v>45487085</v>
      </c>
      <c r="E44" s="345">
        <v>33656759</v>
      </c>
    </row>
    <row r="45" spans="1:14" ht="24" customHeight="1" x14ac:dyDescent="0.2">
      <c r="A45" s="339">
        <v>7</v>
      </c>
      <c r="B45" s="340" t="s">
        <v>355</v>
      </c>
      <c r="C45" s="341">
        <f>+C43+C44</f>
        <v>116178958</v>
      </c>
      <c r="D45" s="341">
        <f>+D43+D44</f>
        <v>130979764</v>
      </c>
      <c r="E45" s="341">
        <f>+E43+E44</f>
        <v>116063954</v>
      </c>
    </row>
    <row r="46" spans="1:14" ht="24" customHeight="1" x14ac:dyDescent="0.2">
      <c r="A46" s="339">
        <v>8</v>
      </c>
      <c r="B46" s="340" t="s">
        <v>334</v>
      </c>
      <c r="C46" s="341">
        <f>+C14</f>
        <v>382748783</v>
      </c>
      <c r="D46" s="341">
        <f>+D14</f>
        <v>392112422</v>
      </c>
      <c r="E46" s="341">
        <f>+E14</f>
        <v>369760151</v>
      </c>
    </row>
    <row r="47" spans="1:14" ht="24" customHeight="1" x14ac:dyDescent="0.2">
      <c r="A47" s="339">
        <v>9</v>
      </c>
      <c r="B47" s="340" t="s">
        <v>356</v>
      </c>
      <c r="C47" s="341">
        <v>19689489</v>
      </c>
      <c r="D47" s="341">
        <v>20774884</v>
      </c>
      <c r="E47" s="341">
        <v>19123385</v>
      </c>
    </row>
    <row r="48" spans="1:14" ht="24" customHeight="1" x14ac:dyDescent="0.2">
      <c r="A48" s="339">
        <v>10</v>
      </c>
      <c r="B48" s="340" t="s">
        <v>357</v>
      </c>
      <c r="C48" s="341">
        <f>+C46-C47</f>
        <v>363059294</v>
      </c>
      <c r="D48" s="341">
        <f>+D46-D47</f>
        <v>371337538</v>
      </c>
      <c r="E48" s="341">
        <f>+E46-E47</f>
        <v>350636766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33.136372235786482</v>
      </c>
      <c r="D50" s="350">
        <f>IF((D55/365)=0,0,+D54/(D55/365))</f>
        <v>27.870350125968535</v>
      </c>
      <c r="E50" s="350">
        <f>IF((E55/365)=0,0,+E54/(E55/365))</f>
        <v>23.877913199977883</v>
      </c>
    </row>
    <row r="51" spans="1:5" ht="24" customHeight="1" x14ac:dyDescent="0.2">
      <c r="A51" s="339">
        <v>12</v>
      </c>
      <c r="B51" s="344" t="s">
        <v>359</v>
      </c>
      <c r="C51" s="351">
        <v>38601542</v>
      </c>
      <c r="D51" s="351">
        <v>32330519</v>
      </c>
      <c r="E51" s="351">
        <v>28873592</v>
      </c>
    </row>
    <row r="52" spans="1:5" ht="24" customHeight="1" x14ac:dyDescent="0.2">
      <c r="A52" s="339">
        <v>13</v>
      </c>
      <c r="B52" s="344" t="s">
        <v>21</v>
      </c>
      <c r="C52" s="341">
        <v>81421</v>
      </c>
      <c r="D52" s="341">
        <v>2368715</v>
      </c>
      <c r="E52" s="341">
        <v>0</v>
      </c>
    </row>
    <row r="53" spans="1:5" ht="24" customHeight="1" x14ac:dyDescent="0.2">
      <c r="A53" s="339">
        <v>14</v>
      </c>
      <c r="B53" s="344" t="s">
        <v>49</v>
      </c>
      <c r="C53" s="341">
        <v>4640299</v>
      </c>
      <c r="D53" s="341">
        <v>5022080</v>
      </c>
      <c r="E53" s="341">
        <v>5008734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34042664</v>
      </c>
      <c r="D54" s="352">
        <f>+D51+D52-D53</f>
        <v>29677154</v>
      </c>
      <c r="E54" s="352">
        <f>+E51+E52-E53</f>
        <v>23864858</v>
      </c>
    </row>
    <row r="55" spans="1:5" ht="24" customHeight="1" x14ac:dyDescent="0.2">
      <c r="A55" s="339">
        <v>16</v>
      </c>
      <c r="B55" s="340" t="s">
        <v>75</v>
      </c>
      <c r="C55" s="341">
        <f>+C11</f>
        <v>374982882</v>
      </c>
      <c r="D55" s="341">
        <f>+D11</f>
        <v>388662545</v>
      </c>
      <c r="E55" s="341">
        <f>+E11</f>
        <v>364800437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67.943346961942808</v>
      </c>
      <c r="D57" s="355">
        <f>IF((D61/365)=0,0,+D58/(D61/365))</f>
        <v>58.846136597695654</v>
      </c>
      <c r="E57" s="355">
        <f>IF((E61/365)=0,0,+E58/(E61/365))</f>
        <v>71.163420980217467</v>
      </c>
    </row>
    <row r="58" spans="1:5" ht="24" customHeight="1" x14ac:dyDescent="0.2">
      <c r="A58" s="339">
        <v>18</v>
      </c>
      <c r="B58" s="340" t="s">
        <v>54</v>
      </c>
      <c r="C58" s="353">
        <f>+C40</f>
        <v>67582092</v>
      </c>
      <c r="D58" s="353">
        <f>+D40</f>
        <v>59867889</v>
      </c>
      <c r="E58" s="353">
        <f>+E40</f>
        <v>68363046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382748783</v>
      </c>
      <c r="D59" s="353">
        <f t="shared" si="0"/>
        <v>392112422</v>
      </c>
      <c r="E59" s="353">
        <f t="shared" si="0"/>
        <v>369760151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19689489</v>
      </c>
      <c r="D60" s="356">
        <f t="shared" si="0"/>
        <v>20774884</v>
      </c>
      <c r="E60" s="356">
        <f t="shared" si="0"/>
        <v>19123385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363059294</v>
      </c>
      <c r="D61" s="353">
        <f>+D59-D60</f>
        <v>371337538</v>
      </c>
      <c r="E61" s="353">
        <f>+E59-E60</f>
        <v>350636766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39.382058659069102</v>
      </c>
      <c r="D65" s="357">
        <f>IF(D67=0,0,(D66/D67)*100)</f>
        <v>42.227327774015237</v>
      </c>
      <c r="E65" s="357">
        <f>IF(E67=0,0,(E66/E67)*100)</f>
        <v>49.017712213089979</v>
      </c>
    </row>
    <row r="66" spans="1:5" ht="24" customHeight="1" x14ac:dyDescent="0.2">
      <c r="A66" s="339">
        <v>2</v>
      </c>
      <c r="B66" s="340" t="s">
        <v>67</v>
      </c>
      <c r="C66" s="353">
        <f>+C32</f>
        <v>169919697</v>
      </c>
      <c r="D66" s="353">
        <f>+D32</f>
        <v>204138724</v>
      </c>
      <c r="E66" s="353">
        <f>+E32</f>
        <v>292364747</v>
      </c>
    </row>
    <row r="67" spans="1:5" ht="24" customHeight="1" x14ac:dyDescent="0.2">
      <c r="A67" s="339">
        <v>3</v>
      </c>
      <c r="B67" s="340" t="s">
        <v>43</v>
      </c>
      <c r="C67" s="353">
        <v>431464740</v>
      </c>
      <c r="D67" s="353">
        <v>483427995</v>
      </c>
      <c r="E67" s="353">
        <v>596447149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24.197764353264034</v>
      </c>
      <c r="D69" s="357">
        <f>IF(D75=0,0,(D72/D75)*100)</f>
        <v>40.641818971026666</v>
      </c>
      <c r="E69" s="357">
        <f>IF(E75=0,0,(E72/E75)*100)</f>
        <v>22.694535960865334</v>
      </c>
    </row>
    <row r="70" spans="1:5" ht="24" customHeight="1" x14ac:dyDescent="0.2">
      <c r="A70" s="339">
        <v>5</v>
      </c>
      <c r="B70" s="340" t="s">
        <v>366</v>
      </c>
      <c r="C70" s="353">
        <f>+C28</f>
        <v>11598207</v>
      </c>
      <c r="D70" s="353">
        <f>+D28</f>
        <v>26355112</v>
      </c>
      <c r="E70" s="353">
        <f>+E28</f>
        <v>24766337</v>
      </c>
    </row>
    <row r="71" spans="1:5" ht="24" customHeight="1" x14ac:dyDescent="0.2">
      <c r="A71" s="339">
        <v>6</v>
      </c>
      <c r="B71" s="340" t="s">
        <v>356</v>
      </c>
      <c r="C71" s="356">
        <f>+C47</f>
        <v>19689489</v>
      </c>
      <c r="D71" s="356">
        <f>+D47</f>
        <v>20774884</v>
      </c>
      <c r="E71" s="356">
        <f>+E47</f>
        <v>19123385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31287696</v>
      </c>
      <c r="D72" s="353">
        <f>+D70+D71</f>
        <v>47129996</v>
      </c>
      <c r="E72" s="353">
        <f>+E70+E71</f>
        <v>43889722</v>
      </c>
    </row>
    <row r="73" spans="1:5" ht="24" customHeight="1" x14ac:dyDescent="0.2">
      <c r="A73" s="339">
        <v>8</v>
      </c>
      <c r="B73" s="340" t="s">
        <v>54</v>
      </c>
      <c r="C73" s="341">
        <f>+C40</f>
        <v>67582092</v>
      </c>
      <c r="D73" s="341">
        <f>+D40</f>
        <v>59867889</v>
      </c>
      <c r="E73" s="341">
        <f>+E40</f>
        <v>68363046</v>
      </c>
    </row>
    <row r="74" spans="1:5" ht="24" customHeight="1" x14ac:dyDescent="0.2">
      <c r="A74" s="339">
        <v>9</v>
      </c>
      <c r="B74" s="340" t="s">
        <v>58</v>
      </c>
      <c r="C74" s="353">
        <v>61717853</v>
      </c>
      <c r="D74" s="353">
        <v>56096399</v>
      </c>
      <c r="E74" s="353">
        <v>125030298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129299945</v>
      </c>
      <c r="D75" s="341">
        <f>+D73+D74</f>
        <v>115964288</v>
      </c>
      <c r="E75" s="341">
        <f>+E73+E74</f>
        <v>193393344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26.644148584717808</v>
      </c>
      <c r="D77" s="359">
        <f>IF(D80=0,0,(D78/D80)*100)</f>
        <v>21.556044531314093</v>
      </c>
      <c r="E77" s="359">
        <f>IF(E80=0,0,(E78/E80)*100)</f>
        <v>29.954907107246566</v>
      </c>
    </row>
    <row r="78" spans="1:5" ht="24" customHeight="1" x14ac:dyDescent="0.2">
      <c r="A78" s="339">
        <v>12</v>
      </c>
      <c r="B78" s="340" t="s">
        <v>58</v>
      </c>
      <c r="C78" s="341">
        <f>+C74</f>
        <v>61717853</v>
      </c>
      <c r="D78" s="341">
        <f>+D74</f>
        <v>56096399</v>
      </c>
      <c r="E78" s="341">
        <f>+E74</f>
        <v>125030298</v>
      </c>
    </row>
    <row r="79" spans="1:5" ht="24" customHeight="1" x14ac:dyDescent="0.2">
      <c r="A79" s="339">
        <v>13</v>
      </c>
      <c r="B79" s="340" t="s">
        <v>67</v>
      </c>
      <c r="C79" s="341">
        <f>+C32</f>
        <v>169919697</v>
      </c>
      <c r="D79" s="341">
        <f>+D32</f>
        <v>204138724</v>
      </c>
      <c r="E79" s="341">
        <f>+E32</f>
        <v>292364747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231637550</v>
      </c>
      <c r="D80" s="341">
        <f>+D78+D79</f>
        <v>260235123</v>
      </c>
      <c r="E80" s="341">
        <f>+E78+E79</f>
        <v>417395045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scale="78" fitToHeight="0" orientation="portrait" horizontalDpi="1200" verticalDpi="1200" r:id="rId1"/>
  <headerFooter>
    <oddHeader>&amp;LOFFICE OF HEALTH CARE ACCESS&amp;CTWELVE MONTHS ACTUAL FILING&amp;RNORWALK HOSPITAL</oddHeader>
    <oddFooter>&amp;LREPORT 100&amp;CPAGE &amp;P of &amp;N&amp;R&amp;D, 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/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517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518</v>
      </c>
      <c r="E6" s="362" t="s">
        <v>519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520</v>
      </c>
      <c r="I7" s="362" t="s">
        <v>520</v>
      </c>
      <c r="J7" s="367"/>
      <c r="K7" s="368"/>
    </row>
    <row r="8" spans="1:11" ht="15.75" customHeight="1" x14ac:dyDescent="0.25">
      <c r="A8" s="360"/>
      <c r="B8" s="361"/>
      <c r="C8" s="362" t="s">
        <v>521</v>
      </c>
      <c r="D8" s="362" t="s">
        <v>522</v>
      </c>
      <c r="E8" s="362" t="s">
        <v>523</v>
      </c>
      <c r="F8" s="362" t="s">
        <v>524</v>
      </c>
      <c r="G8" s="362" t="s">
        <v>525</v>
      </c>
      <c r="H8" s="362" t="s">
        <v>526</v>
      </c>
      <c r="I8" s="362" t="s">
        <v>527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528</v>
      </c>
      <c r="D9" s="371" t="s">
        <v>529</v>
      </c>
      <c r="E9" s="371" t="s">
        <v>530</v>
      </c>
      <c r="F9" s="371" t="s">
        <v>531</v>
      </c>
      <c r="G9" s="371" t="s">
        <v>532</v>
      </c>
      <c r="H9" s="371" t="s">
        <v>531</v>
      </c>
      <c r="I9" s="371" t="s">
        <v>532</v>
      </c>
      <c r="J9" s="367"/>
      <c r="K9" s="372"/>
    </row>
    <row r="10" spans="1:11" ht="15.75" customHeight="1" x14ac:dyDescent="0.25">
      <c r="A10" s="136" t="s">
        <v>530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533</v>
      </c>
      <c r="C11" s="376">
        <v>31337</v>
      </c>
      <c r="D11" s="376">
        <v>8905</v>
      </c>
      <c r="E11" s="376">
        <v>7137</v>
      </c>
      <c r="F11" s="377">
        <v>86</v>
      </c>
      <c r="G11" s="377">
        <v>155</v>
      </c>
      <c r="H11" s="378">
        <f>IF(F11=0,0,$C11/(F11*365))</f>
        <v>0.99831156419241796</v>
      </c>
      <c r="I11" s="378">
        <f>IF(G11=0,0,$C11/(G11*365))</f>
        <v>0.55390190013256735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534</v>
      </c>
      <c r="C13" s="376">
        <v>12009</v>
      </c>
      <c r="D13" s="376">
        <v>1782</v>
      </c>
      <c r="E13" s="376">
        <v>0</v>
      </c>
      <c r="F13" s="377">
        <v>33</v>
      </c>
      <c r="G13" s="377">
        <v>49</v>
      </c>
      <c r="H13" s="378">
        <f>IF(F13=0,0,$C13/(F13*365))</f>
        <v>0.99701120797011211</v>
      </c>
      <c r="I13" s="378">
        <f>IF(G13=0,0,$C13/(G13*365))</f>
        <v>0.67145652781660614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535</v>
      </c>
      <c r="C15" s="376">
        <v>10</v>
      </c>
      <c r="D15" s="376">
        <v>1</v>
      </c>
      <c r="E15" s="376">
        <v>1</v>
      </c>
      <c r="F15" s="377">
        <v>1</v>
      </c>
      <c r="G15" s="377">
        <v>1</v>
      </c>
      <c r="H15" s="378">
        <f t="shared" ref="H15:I17" si="0">IF(F15=0,0,$C15/(F15*365))</f>
        <v>2.7397260273972601E-2</v>
      </c>
      <c r="I15" s="378">
        <f t="shared" si="0"/>
        <v>2.7397260273972601E-2</v>
      </c>
      <c r="J15" s="367"/>
      <c r="K15" s="379"/>
    </row>
    <row r="16" spans="1:11" ht="15" customHeight="1" x14ac:dyDescent="0.2">
      <c r="A16" s="374">
        <v>4</v>
      </c>
      <c r="B16" s="375" t="s">
        <v>536</v>
      </c>
      <c r="C16" s="376">
        <v>3194</v>
      </c>
      <c r="D16" s="376">
        <v>472</v>
      </c>
      <c r="E16" s="376">
        <v>473</v>
      </c>
      <c r="F16" s="377">
        <v>9</v>
      </c>
      <c r="G16" s="377">
        <v>19</v>
      </c>
      <c r="H16" s="378">
        <f t="shared" si="0"/>
        <v>0.97229832572298325</v>
      </c>
      <c r="I16" s="378">
        <f t="shared" si="0"/>
        <v>0.46056236481614998</v>
      </c>
      <c r="J16" s="367"/>
      <c r="K16" s="379"/>
    </row>
    <row r="17" spans="1:11" ht="15.75" customHeight="1" x14ac:dyDescent="0.25">
      <c r="A17" s="136"/>
      <c r="B17" s="380" t="s">
        <v>537</v>
      </c>
      <c r="C17" s="381">
        <f>SUM(C15:C16)</f>
        <v>3204</v>
      </c>
      <c r="D17" s="381">
        <f>SUM(D15:D16)</f>
        <v>473</v>
      </c>
      <c r="E17" s="381">
        <f>SUM(E15:E16)</f>
        <v>474</v>
      </c>
      <c r="F17" s="381">
        <f>SUM(F15:F16)</f>
        <v>10</v>
      </c>
      <c r="G17" s="381">
        <f>SUM(G15:G16)</f>
        <v>20</v>
      </c>
      <c r="H17" s="382">
        <f t="shared" si="0"/>
        <v>0.87780821917808216</v>
      </c>
      <c r="I17" s="382">
        <f t="shared" si="0"/>
        <v>0.43890410958904108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538</v>
      </c>
      <c r="C19" s="376">
        <v>2295</v>
      </c>
      <c r="D19" s="376">
        <v>202</v>
      </c>
      <c r="E19" s="376">
        <v>168</v>
      </c>
      <c r="F19" s="377">
        <v>7</v>
      </c>
      <c r="G19" s="377">
        <v>25</v>
      </c>
      <c r="H19" s="378">
        <f>IF(F19=0,0,$C19/(F19*365))</f>
        <v>0.89823874755381605</v>
      </c>
      <c r="I19" s="378">
        <f>IF(G19=0,0,$C19/(G19*365))</f>
        <v>0.2515068493150685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539</v>
      </c>
      <c r="C21" s="376">
        <v>4328</v>
      </c>
      <c r="D21" s="376">
        <v>1478</v>
      </c>
      <c r="E21" s="376">
        <v>1475</v>
      </c>
      <c r="F21" s="377">
        <v>12</v>
      </c>
      <c r="G21" s="377">
        <v>32</v>
      </c>
      <c r="H21" s="378">
        <f>IF(F21=0,0,$C21/(F21*365))</f>
        <v>0.98812785388127855</v>
      </c>
      <c r="I21" s="378">
        <f>IF(G21=0,0,$C21/(G21*365))</f>
        <v>0.37054794520547946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540</v>
      </c>
      <c r="C23" s="376">
        <v>3318</v>
      </c>
      <c r="D23" s="376">
        <v>1298</v>
      </c>
      <c r="E23" s="376">
        <v>1293</v>
      </c>
      <c r="F23" s="377">
        <v>10</v>
      </c>
      <c r="G23" s="377">
        <v>20</v>
      </c>
      <c r="H23" s="378">
        <f>IF(F23=0,0,$C23/(F23*365))</f>
        <v>0.90904109589041093</v>
      </c>
      <c r="I23" s="378">
        <f>IF(G23=0,0,$C23/(G23*365))</f>
        <v>0.45452054794520547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541</v>
      </c>
      <c r="C25" s="376">
        <v>2018</v>
      </c>
      <c r="D25" s="376">
        <v>167</v>
      </c>
      <c r="E25" s="376">
        <v>0</v>
      </c>
      <c r="F25" s="377">
        <v>6</v>
      </c>
      <c r="G25" s="377">
        <v>16</v>
      </c>
      <c r="H25" s="378">
        <f>IF(F25=0,0,$C25/(F25*365))</f>
        <v>0.9214611872146119</v>
      </c>
      <c r="I25" s="378">
        <f>IF(G25=0,0,$C25/(G25*365))</f>
        <v>0.34554794520547943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542</v>
      </c>
      <c r="C27" s="376">
        <v>1102</v>
      </c>
      <c r="D27" s="376">
        <v>522</v>
      </c>
      <c r="E27" s="376">
        <v>518</v>
      </c>
      <c r="F27" s="377">
        <v>4</v>
      </c>
      <c r="G27" s="377">
        <v>17</v>
      </c>
      <c r="H27" s="378">
        <f>IF(F27=0,0,$C27/(F27*365))</f>
        <v>0.75479452054794516</v>
      </c>
      <c r="I27" s="378">
        <f>IF(G27=0,0,$C27/(G27*365))</f>
        <v>0.17759871071716357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543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544</v>
      </c>
      <c r="C31" s="384">
        <f>SUM(C10:C29)-C17-C23</f>
        <v>56293</v>
      </c>
      <c r="D31" s="384">
        <f>SUM(D10:D29)-D13-D17-D23</f>
        <v>11747</v>
      </c>
      <c r="E31" s="384">
        <f>SUM(E10:E29)-E17-E23</f>
        <v>9772</v>
      </c>
      <c r="F31" s="384">
        <f>SUM(F10:F29)-F17-F23</f>
        <v>158</v>
      </c>
      <c r="G31" s="384">
        <f>SUM(G10:G29)-G17-G23</f>
        <v>314</v>
      </c>
      <c r="H31" s="385">
        <f>IF(F31=0,0,$C31/(F31*365))</f>
        <v>0.97612276747008841</v>
      </c>
      <c r="I31" s="385">
        <f>IF(G31=0,0,$C31/(G31*365))</f>
        <v>0.49117005496902538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545</v>
      </c>
      <c r="C33" s="384">
        <f>SUM(C10:C29)-C17</f>
        <v>59611</v>
      </c>
      <c r="D33" s="384">
        <f>SUM(D10:D29)-D13-D17</f>
        <v>13045</v>
      </c>
      <c r="E33" s="384">
        <f>SUM(E10:E29)-E17</f>
        <v>11065</v>
      </c>
      <c r="F33" s="384">
        <f>SUM(F10:F29)-F17</f>
        <v>168</v>
      </c>
      <c r="G33" s="384">
        <f>SUM(G10:G29)-G17</f>
        <v>334</v>
      </c>
      <c r="H33" s="385">
        <f>IF(F33=0,0,$C33/(F33*365))</f>
        <v>0.97212981082844097</v>
      </c>
      <c r="I33" s="385">
        <f>IF(G33=0,0,$C33/(G33*365))</f>
        <v>0.48897547371011402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546</v>
      </c>
      <c r="C36" s="384">
        <f t="shared" ref="C36:I36" si="1">+C33</f>
        <v>59611</v>
      </c>
      <c r="D36" s="384">
        <f t="shared" si="1"/>
        <v>13045</v>
      </c>
      <c r="E36" s="384">
        <f t="shared" si="1"/>
        <v>11065</v>
      </c>
      <c r="F36" s="384">
        <f t="shared" si="1"/>
        <v>168</v>
      </c>
      <c r="G36" s="384">
        <f t="shared" si="1"/>
        <v>334</v>
      </c>
      <c r="H36" s="387">
        <f t="shared" si="1"/>
        <v>0.97212981082844097</v>
      </c>
      <c r="I36" s="387">
        <f t="shared" si="1"/>
        <v>0.48897547371011402</v>
      </c>
      <c r="J36" s="367"/>
      <c r="K36" s="379"/>
    </row>
    <row r="37" spans="1:11" ht="15.75" customHeight="1" x14ac:dyDescent="0.25">
      <c r="A37" s="136"/>
      <c r="B37" s="361" t="s">
        <v>547</v>
      </c>
      <c r="C37" s="384">
        <v>67341</v>
      </c>
      <c r="D37" s="384">
        <v>15003</v>
      </c>
      <c r="E37" s="384">
        <v>12632</v>
      </c>
      <c r="F37" s="386">
        <v>193</v>
      </c>
      <c r="G37" s="386">
        <v>320</v>
      </c>
      <c r="H37" s="385">
        <f>IF(F37=0,0,$C37/(F37*365))</f>
        <v>0.95593725601533108</v>
      </c>
      <c r="I37" s="385">
        <f>IF(G37=0,0,$C37/(G37*365))</f>
        <v>0.57654965753424658</v>
      </c>
      <c r="J37" s="367"/>
      <c r="K37" s="379"/>
    </row>
    <row r="38" spans="1:11" ht="15.75" customHeight="1" x14ac:dyDescent="0.25">
      <c r="A38" s="136"/>
      <c r="B38" s="361" t="s">
        <v>548</v>
      </c>
      <c r="C38" s="384">
        <f t="shared" ref="C38:I38" si="2">+C36-C37</f>
        <v>-7730</v>
      </c>
      <c r="D38" s="384">
        <f t="shared" si="2"/>
        <v>-1958</v>
      </c>
      <c r="E38" s="384">
        <f t="shared" si="2"/>
        <v>-1567</v>
      </c>
      <c r="F38" s="384">
        <f t="shared" si="2"/>
        <v>-25</v>
      </c>
      <c r="G38" s="384">
        <f t="shared" si="2"/>
        <v>14</v>
      </c>
      <c r="H38" s="387">
        <f t="shared" si="2"/>
        <v>1.6192554813109883E-2</v>
      </c>
      <c r="I38" s="387">
        <f t="shared" si="2"/>
        <v>-8.7574183824132568E-2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549</v>
      </c>
      <c r="C40" s="389">
        <f t="shared" ref="C40:I40" si="3">IF(C37=0,0,C38/C37)</f>
        <v>-0.11478891017359409</v>
      </c>
      <c r="D40" s="389">
        <f t="shared" si="3"/>
        <v>-0.13050723188695595</v>
      </c>
      <c r="E40" s="389">
        <f t="shared" si="3"/>
        <v>-0.12405003166561114</v>
      </c>
      <c r="F40" s="389">
        <f t="shared" si="3"/>
        <v>-0.12953367875647667</v>
      </c>
      <c r="G40" s="389">
        <f t="shared" si="3"/>
        <v>4.3749999999999997E-2</v>
      </c>
      <c r="H40" s="389">
        <f t="shared" si="3"/>
        <v>1.6938930574383001E-2</v>
      </c>
      <c r="I40" s="389">
        <f t="shared" si="3"/>
        <v>-0.15189356663338358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550</v>
      </c>
      <c r="C42" s="375">
        <v>366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551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530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552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gridLines="1"/>
  <pageMargins left="0.25" right="0.25" top="0.5" bottom="0.5" header="0.25" footer="0.25"/>
  <pageSetup scale="74" fitToHeight="0" orientation="landscape" horizontalDpi="1200" verticalDpi="1200" r:id="rId1"/>
  <headerFooter>
    <oddHeader>&amp;LOFFICE OF HEALTH CARE ACCESS&amp;CTWELVE MONTHS ACTUAL FILING&amp;RNORWALK HOSPITAL</oddHeader>
    <oddFooter>&amp;LREPORT 100&amp;CPAGE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1"/>
  <sheetViews>
    <sheetView zoomScaleSheetLayoutView="90" workbookViewId="0">
      <selection sqref="A1:F1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9" style="365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3" t="s">
        <v>0</v>
      </c>
      <c r="B1" s="814"/>
      <c r="C1" s="814"/>
      <c r="D1" s="814"/>
      <c r="E1" s="814"/>
      <c r="F1" s="815"/>
    </row>
    <row r="2" spans="1:16" ht="15.75" customHeight="1" x14ac:dyDescent="0.25">
      <c r="A2" s="813" t="s">
        <v>1</v>
      </c>
      <c r="B2" s="814"/>
      <c r="C2" s="814"/>
      <c r="D2" s="814"/>
      <c r="E2" s="814"/>
      <c r="F2" s="815"/>
    </row>
    <row r="3" spans="1:16" ht="15.75" customHeight="1" x14ac:dyDescent="0.25">
      <c r="A3" s="813" t="s">
        <v>2</v>
      </c>
      <c r="B3" s="814"/>
      <c r="C3" s="814"/>
      <c r="D3" s="814"/>
      <c r="E3" s="814"/>
      <c r="F3" s="815"/>
    </row>
    <row r="4" spans="1:16" ht="15.75" customHeight="1" x14ac:dyDescent="0.25">
      <c r="A4" s="813" t="s">
        <v>553</v>
      </c>
      <c r="B4" s="814"/>
      <c r="C4" s="814"/>
      <c r="D4" s="814"/>
      <c r="E4" s="814"/>
      <c r="F4" s="815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554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555</v>
      </c>
      <c r="C12" s="409">
        <v>8135</v>
      </c>
      <c r="D12" s="409">
        <v>7458</v>
      </c>
      <c r="E12" s="409">
        <f>+D12-C12</f>
        <v>-677</v>
      </c>
      <c r="F12" s="410">
        <f>IF(C12=0,0,+E12/C12)</f>
        <v>-8.3220651505838961E-2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556</v>
      </c>
      <c r="C13" s="409">
        <v>12900</v>
      </c>
      <c r="D13" s="409">
        <v>11858</v>
      </c>
      <c r="E13" s="409">
        <f>+D13-C13</f>
        <v>-1042</v>
      </c>
      <c r="F13" s="410">
        <f>IF(C13=0,0,+E13/C13)</f>
        <v>-8.0775193798449607E-2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557</v>
      </c>
      <c r="C14" s="409">
        <v>6548</v>
      </c>
      <c r="D14" s="409">
        <v>8560</v>
      </c>
      <c r="E14" s="409">
        <f>+D14-C14</f>
        <v>2012</v>
      </c>
      <c r="F14" s="410">
        <f>IF(C14=0,0,+E14/C14)</f>
        <v>0.30726939523518632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558</v>
      </c>
      <c r="C15" s="409">
        <v>0</v>
      </c>
      <c r="D15" s="409">
        <v>0</v>
      </c>
      <c r="E15" s="409">
        <f>+D15-C15</f>
        <v>0</v>
      </c>
      <c r="F15" s="410">
        <f>IF(C15=0,0,+E15/C15)</f>
        <v>0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559</v>
      </c>
      <c r="C16" s="401">
        <f>SUM(C12:C15)</f>
        <v>27583</v>
      </c>
      <c r="D16" s="401">
        <f>SUM(D12:D15)</f>
        <v>27876</v>
      </c>
      <c r="E16" s="401">
        <f>+D16-C16</f>
        <v>293</v>
      </c>
      <c r="F16" s="402">
        <f>IF(C16=0,0,+E16/C16)</f>
        <v>1.0622484863865425E-2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560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555</v>
      </c>
      <c r="C19" s="409">
        <v>1174</v>
      </c>
      <c r="D19" s="409">
        <v>1072</v>
      </c>
      <c r="E19" s="409">
        <f>+D19-C19</f>
        <v>-102</v>
      </c>
      <c r="F19" s="410">
        <f>IF(C19=0,0,+E19/C19)</f>
        <v>-8.6882453151618397E-2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556</v>
      </c>
      <c r="C20" s="409">
        <v>10408</v>
      </c>
      <c r="D20" s="409">
        <v>10362</v>
      </c>
      <c r="E20" s="409">
        <f>+D20-C20</f>
        <v>-46</v>
      </c>
      <c r="F20" s="410">
        <f>IF(C20=0,0,+E20/C20)</f>
        <v>-4.4196771714066106E-3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557</v>
      </c>
      <c r="C21" s="409">
        <v>284</v>
      </c>
      <c r="D21" s="409">
        <v>197</v>
      </c>
      <c r="E21" s="409">
        <f>+D21-C21</f>
        <v>-87</v>
      </c>
      <c r="F21" s="410">
        <f>IF(C21=0,0,+E21/C21)</f>
        <v>-0.30633802816901406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558</v>
      </c>
      <c r="C22" s="409">
        <v>0</v>
      </c>
      <c r="D22" s="409">
        <v>0</v>
      </c>
      <c r="E22" s="409">
        <f>+D22-C22</f>
        <v>0</v>
      </c>
      <c r="F22" s="410">
        <f>IF(C22=0,0,+E22/C22)</f>
        <v>0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561</v>
      </c>
      <c r="C23" s="401">
        <f>SUM(C19:C22)</f>
        <v>11866</v>
      </c>
      <c r="D23" s="401">
        <f>SUM(D19:D22)</f>
        <v>11631</v>
      </c>
      <c r="E23" s="401">
        <f>+D23-C23</f>
        <v>-235</v>
      </c>
      <c r="F23" s="402">
        <f>IF(C23=0,0,+E23/C23)</f>
        <v>-1.9804483397943703E-2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562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555</v>
      </c>
      <c r="C26" s="409">
        <v>1</v>
      </c>
      <c r="D26" s="409">
        <v>1</v>
      </c>
      <c r="E26" s="409">
        <f>+D26-C26</f>
        <v>0</v>
      </c>
      <c r="F26" s="410">
        <f>IF(C26=0,0,+E26/C26)</f>
        <v>0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556</v>
      </c>
      <c r="C27" s="409">
        <v>568</v>
      </c>
      <c r="D27" s="409">
        <v>480</v>
      </c>
      <c r="E27" s="409">
        <f>+D27-C27</f>
        <v>-88</v>
      </c>
      <c r="F27" s="410">
        <f>IF(C27=0,0,+E27/C27)</f>
        <v>-0.15492957746478872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557</v>
      </c>
      <c r="C28" s="409">
        <v>0</v>
      </c>
      <c r="D28" s="409">
        <v>0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558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563</v>
      </c>
      <c r="C30" s="401">
        <f>SUM(C26:C29)</f>
        <v>569</v>
      </c>
      <c r="D30" s="401">
        <f>SUM(D26:D29)</f>
        <v>481</v>
      </c>
      <c r="E30" s="401">
        <f>+D30-C30</f>
        <v>-88</v>
      </c>
      <c r="F30" s="402">
        <f>IF(C30=0,0,+E30/C30)</f>
        <v>-0.15465729349736379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564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555</v>
      </c>
      <c r="C33" s="409">
        <v>0</v>
      </c>
      <c r="D33" s="409">
        <v>0</v>
      </c>
      <c r="E33" s="409">
        <f>+D33-C33</f>
        <v>0</v>
      </c>
      <c r="F33" s="410">
        <f>IF(C33=0,0,+E33/C33)</f>
        <v>0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556</v>
      </c>
      <c r="C34" s="409">
        <v>0</v>
      </c>
      <c r="D34" s="409">
        <v>0</v>
      </c>
      <c r="E34" s="409">
        <f>+D34-C34</f>
        <v>0</v>
      </c>
      <c r="F34" s="410">
        <f>IF(C34=0,0,+E34/C34)</f>
        <v>0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557</v>
      </c>
      <c r="C35" s="409">
        <v>0</v>
      </c>
      <c r="D35" s="409">
        <v>0</v>
      </c>
      <c r="E35" s="409">
        <f>+D35-C35</f>
        <v>0</v>
      </c>
      <c r="F35" s="410">
        <f>IF(C35=0,0,+E35/C35)</f>
        <v>0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558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565</v>
      </c>
      <c r="C37" s="401">
        <f>SUM(C33:C36)</f>
        <v>0</v>
      </c>
      <c r="D37" s="401">
        <f>SUM(D33:D36)</f>
        <v>0</v>
      </c>
      <c r="E37" s="401">
        <f>+D37-C37</f>
        <v>0</v>
      </c>
      <c r="F37" s="402">
        <f>IF(C37=0,0,+E37/C37)</f>
        <v>0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0" t="s">
        <v>566</v>
      </c>
      <c r="C39" s="811"/>
      <c r="D39" s="811"/>
      <c r="E39" s="811"/>
      <c r="F39" s="812"/>
    </row>
    <row r="40" spans="1:16" ht="15.75" customHeight="1" x14ac:dyDescent="0.25">
      <c r="A40" s="136"/>
      <c r="B40" s="810" t="s">
        <v>567</v>
      </c>
      <c r="C40" s="811"/>
      <c r="D40" s="811"/>
      <c r="E40" s="811"/>
      <c r="F40" s="812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568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569</v>
      </c>
      <c r="C43" s="409">
        <v>339</v>
      </c>
      <c r="D43" s="409">
        <v>182</v>
      </c>
      <c r="E43" s="409">
        <f>+D43-C43</f>
        <v>-157</v>
      </c>
      <c r="F43" s="410">
        <f>IF(C43=0,0,+E43/C43)</f>
        <v>-0.46312684365781709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570</v>
      </c>
      <c r="C44" s="409">
        <v>6978</v>
      </c>
      <c r="D44" s="409">
        <v>7362</v>
      </c>
      <c r="E44" s="409">
        <f>+D44-C44</f>
        <v>384</v>
      </c>
      <c r="F44" s="410">
        <f>IF(C44=0,0,+E44/C44)</f>
        <v>5.5030094582975066E-2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571</v>
      </c>
      <c r="C45" s="401">
        <f>SUM(C43:C44)</f>
        <v>7317</v>
      </c>
      <c r="D45" s="401">
        <f>SUM(D43:D44)</f>
        <v>7544</v>
      </c>
      <c r="E45" s="401">
        <f>+D45-C45</f>
        <v>227</v>
      </c>
      <c r="F45" s="402">
        <f>IF(C45=0,0,+E45/C45)</f>
        <v>3.1023643569769031E-2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572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569</v>
      </c>
      <c r="C48" s="409">
        <v>101</v>
      </c>
      <c r="D48" s="409">
        <v>124</v>
      </c>
      <c r="E48" s="409">
        <f>+D48-C48</f>
        <v>23</v>
      </c>
      <c r="F48" s="410">
        <f>IF(C48=0,0,+E48/C48)</f>
        <v>0.22772277227722773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570</v>
      </c>
      <c r="C49" s="409">
        <v>37</v>
      </c>
      <c r="D49" s="409">
        <v>34</v>
      </c>
      <c r="E49" s="409">
        <f>+D49-C49</f>
        <v>-3</v>
      </c>
      <c r="F49" s="410">
        <f>IF(C49=0,0,+E49/C49)</f>
        <v>-8.1081081081081086E-2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573</v>
      </c>
      <c r="C50" s="401">
        <f>SUM(C48:C49)</f>
        <v>138</v>
      </c>
      <c r="D50" s="401">
        <f>SUM(D48:D49)</f>
        <v>158</v>
      </c>
      <c r="E50" s="401">
        <f>+D50-C50</f>
        <v>20</v>
      </c>
      <c r="F50" s="402">
        <f>IF(C50=0,0,+E50/C50)</f>
        <v>0.14492753623188406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574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575</v>
      </c>
      <c r="C53" s="409">
        <v>50</v>
      </c>
      <c r="D53" s="409">
        <v>53</v>
      </c>
      <c r="E53" s="409">
        <f>+D53-C53</f>
        <v>3</v>
      </c>
      <c r="F53" s="410">
        <f>IF(C53=0,0,+E53/C53)</f>
        <v>0.06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576</v>
      </c>
      <c r="C54" s="409">
        <v>0</v>
      </c>
      <c r="D54" s="409">
        <v>0</v>
      </c>
      <c r="E54" s="409">
        <f>+D54-C54</f>
        <v>0</v>
      </c>
      <c r="F54" s="410">
        <f>IF(C54=0,0,+E54/C54)</f>
        <v>0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577</v>
      </c>
      <c r="C55" s="401">
        <f>SUM(C53:C54)</f>
        <v>50</v>
      </c>
      <c r="D55" s="401">
        <f>SUM(D53:D54)</f>
        <v>53</v>
      </c>
      <c r="E55" s="401">
        <f>+D55-C55</f>
        <v>3</v>
      </c>
      <c r="F55" s="402">
        <f>IF(C55=0,0,+E55/C55)</f>
        <v>0.06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578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579</v>
      </c>
      <c r="C58" s="409">
        <v>100</v>
      </c>
      <c r="D58" s="409">
        <v>99</v>
      </c>
      <c r="E58" s="409">
        <f>+D58-C58</f>
        <v>-1</v>
      </c>
      <c r="F58" s="410">
        <f>IF(C58=0,0,+E58/C58)</f>
        <v>-0.01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580</v>
      </c>
      <c r="C59" s="409">
        <v>185</v>
      </c>
      <c r="D59" s="409">
        <v>212</v>
      </c>
      <c r="E59" s="409">
        <f>+D59-C59</f>
        <v>27</v>
      </c>
      <c r="F59" s="410">
        <f>IF(C59=0,0,+E59/C59)</f>
        <v>0.14594594594594595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581</v>
      </c>
      <c r="C60" s="401">
        <f>SUM(C58:C59)</f>
        <v>285</v>
      </c>
      <c r="D60" s="401">
        <f>SUM(D58:D59)</f>
        <v>311</v>
      </c>
      <c r="E60" s="401">
        <f>SUM(E58:E59)</f>
        <v>26</v>
      </c>
      <c r="F60" s="402">
        <f>IF(C60=0,0,+E60/C60)</f>
        <v>9.1228070175438603E-2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582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583</v>
      </c>
      <c r="C63" s="409">
        <v>3248</v>
      </c>
      <c r="D63" s="409">
        <v>2792</v>
      </c>
      <c r="E63" s="409">
        <f>+D63-C63</f>
        <v>-456</v>
      </c>
      <c r="F63" s="410">
        <f>IF(C63=0,0,+E63/C63)</f>
        <v>-0.14039408866995073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584</v>
      </c>
      <c r="C64" s="409">
        <v>8886</v>
      </c>
      <c r="D64" s="409">
        <v>7972</v>
      </c>
      <c r="E64" s="409">
        <f>+D64-C64</f>
        <v>-914</v>
      </c>
      <c r="F64" s="410">
        <f>IF(C64=0,0,+E64/C64)</f>
        <v>-0.10285842898942156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585</v>
      </c>
      <c r="C65" s="401">
        <f>SUM(C63:C64)</f>
        <v>12134</v>
      </c>
      <c r="D65" s="401">
        <f>SUM(D63:D64)</f>
        <v>10764</v>
      </c>
      <c r="E65" s="401">
        <f>+D65-C65</f>
        <v>-1370</v>
      </c>
      <c r="F65" s="402">
        <f>IF(C65=0,0,+E65/C65)</f>
        <v>-0.11290588429207186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586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587</v>
      </c>
      <c r="C68" s="409">
        <v>706</v>
      </c>
      <c r="D68" s="409">
        <v>584</v>
      </c>
      <c r="E68" s="409">
        <f>+D68-C68</f>
        <v>-122</v>
      </c>
      <c r="F68" s="410">
        <f>IF(C68=0,0,+E68/C68)</f>
        <v>-0.17280453257790368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588</v>
      </c>
      <c r="C69" s="409">
        <v>8683</v>
      </c>
      <c r="D69" s="409">
        <v>6638</v>
      </c>
      <c r="E69" s="409">
        <f>+D69-C69</f>
        <v>-2045</v>
      </c>
      <c r="F69" s="412">
        <f>IF(C69=0,0,+E69/C69)</f>
        <v>-0.23551767822181274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589</v>
      </c>
      <c r="C70" s="401">
        <f>SUM(C68:C69)</f>
        <v>9389</v>
      </c>
      <c r="D70" s="401">
        <f>SUM(D68:D69)</f>
        <v>7222</v>
      </c>
      <c r="E70" s="401">
        <f>+D70-C70</f>
        <v>-2167</v>
      </c>
      <c r="F70" s="402">
        <f>IF(C70=0,0,+E70/C70)</f>
        <v>-0.23080200234316753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590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591</v>
      </c>
      <c r="C73" s="376">
        <v>9699</v>
      </c>
      <c r="D73" s="376">
        <v>8469</v>
      </c>
      <c r="E73" s="409">
        <f>+D73-C73</f>
        <v>-1230</v>
      </c>
      <c r="F73" s="410">
        <f>IF(C73=0,0,+E73/C73)</f>
        <v>-0.12681719764924218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592</v>
      </c>
      <c r="C74" s="376">
        <v>39550</v>
      </c>
      <c r="D74" s="376">
        <v>39838</v>
      </c>
      <c r="E74" s="409">
        <f>+D74-C74</f>
        <v>288</v>
      </c>
      <c r="F74" s="410">
        <f>IF(C74=0,0,+E74/C74)</f>
        <v>7.2819216182048044E-3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49249</v>
      </c>
      <c r="D75" s="401">
        <f>SUM(D73:D74)</f>
        <v>48307</v>
      </c>
      <c r="E75" s="401">
        <f>SUM(E73:E74)</f>
        <v>-942</v>
      </c>
      <c r="F75" s="402">
        <f>IF(C75=0,0,+E75/C75)</f>
        <v>-1.912729192470913E-2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593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594</v>
      </c>
      <c r="C79" s="376">
        <v>0</v>
      </c>
      <c r="D79" s="376">
        <v>0</v>
      </c>
      <c r="E79" s="409">
        <f t="shared" ref="E79:E92" si="0">+D79-C79</f>
        <v>0</v>
      </c>
      <c r="F79" s="410">
        <f t="shared" ref="F79:F92" si="1">IF(C79=0,0,+E79/C79)</f>
        <v>0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595</v>
      </c>
      <c r="C80" s="376">
        <v>1308</v>
      </c>
      <c r="D80" s="376">
        <v>1381</v>
      </c>
      <c r="E80" s="409">
        <f t="shared" si="0"/>
        <v>73</v>
      </c>
      <c r="F80" s="410">
        <f t="shared" si="1"/>
        <v>5.581039755351682E-2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596</v>
      </c>
      <c r="C81" s="376">
        <v>11371</v>
      </c>
      <c r="D81" s="376">
        <v>9887</v>
      </c>
      <c r="E81" s="409">
        <f t="shared" si="0"/>
        <v>-1484</v>
      </c>
      <c r="F81" s="410">
        <f t="shared" si="1"/>
        <v>-0.13050743118459238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597</v>
      </c>
      <c r="C82" s="376">
        <v>0</v>
      </c>
      <c r="D82" s="376">
        <v>0</v>
      </c>
      <c r="E82" s="409">
        <f t="shared" si="0"/>
        <v>0</v>
      </c>
      <c r="F82" s="410">
        <f t="shared" si="1"/>
        <v>0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598</v>
      </c>
      <c r="C83" s="376">
        <v>0</v>
      </c>
      <c r="D83" s="376">
        <v>0</v>
      </c>
      <c r="E83" s="409">
        <f t="shared" si="0"/>
        <v>0</v>
      </c>
      <c r="F83" s="410">
        <f t="shared" si="1"/>
        <v>0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599</v>
      </c>
      <c r="C84" s="376">
        <v>0</v>
      </c>
      <c r="D84" s="376">
        <v>0</v>
      </c>
      <c r="E84" s="409">
        <f t="shared" si="0"/>
        <v>0</v>
      </c>
      <c r="F84" s="410">
        <f t="shared" si="1"/>
        <v>0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600</v>
      </c>
      <c r="C85" s="376">
        <v>0</v>
      </c>
      <c r="D85" s="376">
        <v>0</v>
      </c>
      <c r="E85" s="409">
        <f t="shared" si="0"/>
        <v>0</v>
      </c>
      <c r="F85" s="410">
        <f t="shared" si="1"/>
        <v>0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601</v>
      </c>
      <c r="C86" s="376">
        <v>0</v>
      </c>
      <c r="D86" s="376">
        <v>0</v>
      </c>
      <c r="E86" s="409">
        <f t="shared" si="0"/>
        <v>0</v>
      </c>
      <c r="F86" s="410">
        <f t="shared" si="1"/>
        <v>0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602</v>
      </c>
      <c r="C87" s="376">
        <v>10928</v>
      </c>
      <c r="D87" s="376">
        <v>0</v>
      </c>
      <c r="E87" s="409">
        <f t="shared" si="0"/>
        <v>-10928</v>
      </c>
      <c r="F87" s="410">
        <f t="shared" si="1"/>
        <v>-1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603</v>
      </c>
      <c r="C88" s="376">
        <v>0</v>
      </c>
      <c r="D88" s="376">
        <v>0</v>
      </c>
      <c r="E88" s="409">
        <f t="shared" si="0"/>
        <v>0</v>
      </c>
      <c r="F88" s="410">
        <f t="shared" si="1"/>
        <v>0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604</v>
      </c>
      <c r="C89" s="376">
        <v>0</v>
      </c>
      <c r="D89" s="376">
        <v>0</v>
      </c>
      <c r="E89" s="409">
        <f t="shared" si="0"/>
        <v>0</v>
      </c>
      <c r="F89" s="410">
        <f t="shared" si="1"/>
        <v>0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605</v>
      </c>
      <c r="C90" s="376">
        <v>0</v>
      </c>
      <c r="D90" s="376">
        <v>0</v>
      </c>
      <c r="E90" s="409">
        <f t="shared" si="0"/>
        <v>0</v>
      </c>
      <c r="F90" s="410">
        <f t="shared" si="1"/>
        <v>0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606</v>
      </c>
      <c r="C91" s="376">
        <v>0</v>
      </c>
      <c r="D91" s="376">
        <v>8284</v>
      </c>
      <c r="E91" s="409">
        <f t="shared" si="0"/>
        <v>8284</v>
      </c>
      <c r="F91" s="410">
        <f t="shared" si="1"/>
        <v>0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607</v>
      </c>
      <c r="C92" s="381">
        <f>SUM(C79:C91)</f>
        <v>23607</v>
      </c>
      <c r="D92" s="381">
        <f>SUM(D79:D91)</f>
        <v>19552</v>
      </c>
      <c r="E92" s="401">
        <f t="shared" si="0"/>
        <v>-4055</v>
      </c>
      <c r="F92" s="402">
        <f t="shared" si="1"/>
        <v>-0.17177108484771467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608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609</v>
      </c>
      <c r="C95" s="414">
        <v>8493</v>
      </c>
      <c r="D95" s="414">
        <v>9130</v>
      </c>
      <c r="E95" s="415">
        <f t="shared" ref="E95:E100" si="2">+D95-C95</f>
        <v>637</v>
      </c>
      <c r="F95" s="412">
        <f t="shared" ref="F95:F100" si="3">IF(C95=0,0,+E95/C95)</f>
        <v>7.5002943600612271E-2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610</v>
      </c>
      <c r="C96" s="414">
        <v>773</v>
      </c>
      <c r="D96" s="414">
        <v>487</v>
      </c>
      <c r="E96" s="409">
        <f t="shared" si="2"/>
        <v>-286</v>
      </c>
      <c r="F96" s="410">
        <f t="shared" si="3"/>
        <v>-0.36998706338939197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611</v>
      </c>
      <c r="C97" s="414">
        <v>450</v>
      </c>
      <c r="D97" s="414">
        <v>457</v>
      </c>
      <c r="E97" s="409">
        <f t="shared" si="2"/>
        <v>7</v>
      </c>
      <c r="F97" s="410">
        <f t="shared" si="3"/>
        <v>1.5555555555555555E-2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612</v>
      </c>
      <c r="C98" s="414">
        <v>9411</v>
      </c>
      <c r="D98" s="414">
        <v>7419</v>
      </c>
      <c r="E98" s="409">
        <f t="shared" si="2"/>
        <v>-1992</v>
      </c>
      <c r="F98" s="410">
        <f t="shared" si="3"/>
        <v>-0.21166719795983424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613</v>
      </c>
      <c r="C99" s="414">
        <v>165160</v>
      </c>
      <c r="D99" s="414">
        <v>169456</v>
      </c>
      <c r="E99" s="409">
        <f t="shared" si="2"/>
        <v>4296</v>
      </c>
      <c r="F99" s="410">
        <f t="shared" si="3"/>
        <v>2.6011140712036813E-2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614</v>
      </c>
      <c r="C100" s="381">
        <f>SUM(C95:C99)</f>
        <v>184287</v>
      </c>
      <c r="D100" s="381">
        <f>SUM(D95:D99)</f>
        <v>186949</v>
      </c>
      <c r="E100" s="401">
        <f t="shared" si="2"/>
        <v>2662</v>
      </c>
      <c r="F100" s="402">
        <f t="shared" si="3"/>
        <v>1.444486046221383E-2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615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616</v>
      </c>
      <c r="C104" s="416">
        <v>453.2</v>
      </c>
      <c r="D104" s="416">
        <v>450.4</v>
      </c>
      <c r="E104" s="417">
        <f>+D104-C104</f>
        <v>-2.8000000000000114</v>
      </c>
      <c r="F104" s="410">
        <f>IF(C104=0,0,+E104/C104)</f>
        <v>-6.1782877316858154E-3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617</v>
      </c>
      <c r="C105" s="416">
        <v>90.7</v>
      </c>
      <c r="D105" s="416">
        <v>91.8</v>
      </c>
      <c r="E105" s="417">
        <f>+D105-C105</f>
        <v>1.0999999999999943</v>
      </c>
      <c r="F105" s="410">
        <f>IF(C105=0,0,+E105/C105)</f>
        <v>1.2127894156560026E-2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618</v>
      </c>
      <c r="C106" s="416">
        <v>1154.9000000000001</v>
      </c>
      <c r="D106" s="416">
        <v>1143.2</v>
      </c>
      <c r="E106" s="417">
        <f>+D106-C106</f>
        <v>-11.700000000000045</v>
      </c>
      <c r="F106" s="410">
        <f>IF(C106=0,0,+E106/C106)</f>
        <v>-1.0130747250844268E-2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619</v>
      </c>
      <c r="C107" s="418">
        <f>SUM(C104:C106)</f>
        <v>1698.8000000000002</v>
      </c>
      <c r="D107" s="418">
        <f>SUM(D104:D106)</f>
        <v>1685.4</v>
      </c>
      <c r="E107" s="418">
        <f>+D107-C107</f>
        <v>-13.400000000000091</v>
      </c>
      <c r="F107" s="402">
        <f>IF(C107=0,0,+E107/C107)</f>
        <v>-7.8879208853308742E-3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B40:F40"/>
    <mergeCell ref="A1:F1"/>
    <mergeCell ref="A2:F2"/>
    <mergeCell ref="A3:F3"/>
    <mergeCell ref="A4:F4"/>
    <mergeCell ref="B39:F39"/>
  </mergeCells>
  <printOptions gridLines="1"/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FILING&amp;RNORWALK HOSPITAL</oddHeader>
    <oddFooter>&amp;LREPORT 100&amp;CPAGE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zoomScale="75" zoomScaleSheetLayoutView="90" workbookViewId="0">
      <selection sqref="A1:F1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5.7109375" style="365" customWidth="1"/>
    <col min="6" max="6" width="15.85546875" style="365" customWidth="1"/>
    <col min="7" max="16384" width="9.140625" style="365"/>
  </cols>
  <sheetData>
    <row r="1" spans="1:6" ht="15.75" customHeight="1" x14ac:dyDescent="0.25">
      <c r="A1" s="813" t="s">
        <v>0</v>
      </c>
      <c r="B1" s="814"/>
      <c r="C1" s="814"/>
      <c r="D1" s="814"/>
      <c r="E1" s="814"/>
      <c r="F1" s="815"/>
    </row>
    <row r="2" spans="1:6" ht="15.75" customHeight="1" x14ac:dyDescent="0.25">
      <c r="A2" s="813" t="s">
        <v>1</v>
      </c>
      <c r="B2" s="814"/>
      <c r="C2" s="814"/>
      <c r="D2" s="814"/>
      <c r="E2" s="814"/>
      <c r="F2" s="815"/>
    </row>
    <row r="3" spans="1:6" ht="15.75" customHeight="1" x14ac:dyDescent="0.25">
      <c r="A3" s="813" t="s">
        <v>2</v>
      </c>
      <c r="B3" s="814"/>
      <c r="C3" s="814"/>
      <c r="D3" s="814"/>
      <c r="E3" s="814"/>
      <c r="F3" s="815"/>
    </row>
    <row r="4" spans="1:6" ht="15.75" customHeight="1" x14ac:dyDescent="0.25">
      <c r="A4" s="813" t="s">
        <v>620</v>
      </c>
      <c r="B4" s="814"/>
      <c r="C4" s="814"/>
      <c r="D4" s="814"/>
      <c r="E4" s="814"/>
      <c r="F4" s="815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584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621</v>
      </c>
      <c r="C12" s="409">
        <v>8886</v>
      </c>
      <c r="D12" s="409">
        <v>7972</v>
      </c>
      <c r="E12" s="409">
        <f>+D12-C12</f>
        <v>-914</v>
      </c>
      <c r="F12" s="410">
        <f>IF(C12=0,0,+E12/C12)</f>
        <v>-0.10285842898942156</v>
      </c>
    </row>
    <row r="13" spans="1:6" ht="15.75" customHeight="1" x14ac:dyDescent="0.25">
      <c r="A13" s="374"/>
      <c r="B13" s="399" t="s">
        <v>622</v>
      </c>
      <c r="C13" s="401">
        <f>SUM(C11:C12)</f>
        <v>8886</v>
      </c>
      <c r="D13" s="401">
        <f>SUM(D11:D12)</f>
        <v>7972</v>
      </c>
      <c r="E13" s="401">
        <f>+D13-C13</f>
        <v>-914</v>
      </c>
      <c r="F13" s="402">
        <f>IF(C13=0,0,+E13/C13)</f>
        <v>-0.10285842898942156</v>
      </c>
    </row>
    <row r="14" spans="1:6" ht="15.75" customHeight="1" x14ac:dyDescent="0.25">
      <c r="A14" s="136"/>
      <c r="B14" s="399"/>
      <c r="C14" s="401"/>
      <c r="D14" s="401"/>
      <c r="E14" s="401"/>
      <c r="F14" s="402"/>
    </row>
    <row r="15" spans="1:6" ht="15.75" customHeight="1" x14ac:dyDescent="0.25">
      <c r="A15" s="136" t="s">
        <v>26</v>
      </c>
      <c r="B15" s="406" t="s">
        <v>588</v>
      </c>
      <c r="C15" s="409"/>
      <c r="D15" s="409"/>
      <c r="E15" s="409"/>
      <c r="F15" s="410"/>
    </row>
    <row r="16" spans="1:6" ht="15.75" customHeight="1" x14ac:dyDescent="0.2">
      <c r="A16" s="374">
        <v>1</v>
      </c>
      <c r="B16" s="408" t="s">
        <v>621</v>
      </c>
      <c r="C16" s="409">
        <v>8683</v>
      </c>
      <c r="D16" s="409">
        <v>6638</v>
      </c>
      <c r="E16" s="409">
        <f>+D16-C16</f>
        <v>-2045</v>
      </c>
      <c r="F16" s="410">
        <f>IF(C16=0,0,+E16/C16)</f>
        <v>-0.23551767822181274</v>
      </c>
    </row>
    <row r="17" spans="1:6" ht="15.75" customHeight="1" x14ac:dyDescent="0.25">
      <c r="A17" s="374"/>
      <c r="B17" s="399" t="s">
        <v>623</v>
      </c>
      <c r="C17" s="401">
        <f>SUM(C15:C16)</f>
        <v>8683</v>
      </c>
      <c r="D17" s="401">
        <f>SUM(D15:D16)</f>
        <v>6638</v>
      </c>
      <c r="E17" s="401">
        <f>+D17-C17</f>
        <v>-2045</v>
      </c>
      <c r="F17" s="402">
        <f>IF(C17=0,0,+E17/C17)</f>
        <v>-0.23551767822181274</v>
      </c>
    </row>
    <row r="18" spans="1:6" ht="15.75" customHeight="1" x14ac:dyDescent="0.25">
      <c r="A18" s="136"/>
      <c r="B18" s="399"/>
      <c r="C18" s="401"/>
      <c r="D18" s="401"/>
      <c r="E18" s="401"/>
      <c r="F18" s="402"/>
    </row>
    <row r="19" spans="1:6" ht="15.75" customHeight="1" x14ac:dyDescent="0.25">
      <c r="A19" s="136" t="s">
        <v>36</v>
      </c>
      <c r="B19" s="406" t="s">
        <v>624</v>
      </c>
      <c r="C19" s="409"/>
      <c r="D19" s="409"/>
      <c r="E19" s="409"/>
      <c r="F19" s="410"/>
    </row>
    <row r="20" spans="1:6" ht="15.75" customHeight="1" x14ac:dyDescent="0.2">
      <c r="A20" s="374">
        <v>1</v>
      </c>
      <c r="B20" s="408" t="s">
        <v>621</v>
      </c>
      <c r="C20" s="409">
        <v>39550</v>
      </c>
      <c r="D20" s="409">
        <v>39838</v>
      </c>
      <c r="E20" s="409">
        <f>+D20-C20</f>
        <v>288</v>
      </c>
      <c r="F20" s="410">
        <f>IF(C20=0,0,+E20/C20)</f>
        <v>7.2819216182048044E-3</v>
      </c>
    </row>
    <row r="21" spans="1:6" ht="15.75" customHeight="1" x14ac:dyDescent="0.25">
      <c r="A21" s="374"/>
      <c r="B21" s="399" t="s">
        <v>625</v>
      </c>
      <c r="C21" s="401">
        <f>SUM(C19:C20)</f>
        <v>39550</v>
      </c>
      <c r="D21" s="401">
        <f>SUM(D19:D20)</f>
        <v>39838</v>
      </c>
      <c r="E21" s="401">
        <f>+D21-C21</f>
        <v>288</v>
      </c>
      <c r="F21" s="402">
        <f>IF(C21=0,0,+E21/C21)</f>
        <v>7.2819216182048044E-3</v>
      </c>
    </row>
    <row r="22" spans="1:6" ht="15.75" customHeight="1" x14ac:dyDescent="0.25">
      <c r="A22" s="136"/>
      <c r="B22" s="399"/>
      <c r="C22" s="401"/>
      <c r="D22" s="401"/>
      <c r="E22" s="401"/>
      <c r="F22" s="402"/>
    </row>
    <row r="23" spans="1:6" ht="15.75" customHeight="1" x14ac:dyDescent="0.25">
      <c r="B23" s="810" t="s">
        <v>626</v>
      </c>
      <c r="C23" s="811"/>
      <c r="D23" s="811"/>
      <c r="E23" s="811"/>
      <c r="F23" s="812"/>
    </row>
    <row r="24" spans="1:6" ht="15.75" customHeight="1" x14ac:dyDescent="0.25">
      <c r="A24" s="392"/>
    </row>
    <row r="25" spans="1:6" ht="15.75" customHeight="1" x14ac:dyDescent="0.25">
      <c r="B25" s="810" t="s">
        <v>627</v>
      </c>
      <c r="C25" s="811"/>
      <c r="D25" s="811"/>
      <c r="E25" s="811"/>
      <c r="F25" s="812"/>
    </row>
    <row r="26" spans="1:6" ht="15.75" customHeight="1" x14ac:dyDescent="0.25">
      <c r="A26" s="392"/>
    </row>
    <row r="27" spans="1:6" ht="15.75" customHeight="1" x14ac:dyDescent="0.25">
      <c r="B27" s="810" t="s">
        <v>628</v>
      </c>
      <c r="C27" s="811"/>
      <c r="D27" s="811"/>
      <c r="E27" s="811"/>
      <c r="F27" s="812"/>
    </row>
    <row r="28" spans="1:6" ht="15.75" customHeight="1" x14ac:dyDescent="0.25">
      <c r="A28" s="392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5" bottom="0.5" header="0.25" footer="0.25"/>
  <pageSetup scale="82" fitToHeight="0" orientation="portrait" horizontalDpi="1200" verticalDpi="1200" r:id="rId1"/>
  <headerFooter>
    <oddHeader>&amp;LOFFICE OF HEALTH CARE ACCESS&amp;CTWELVE MONTHS ACTUAL FILING&amp;RNORWALK HOSPITAL</oddHeader>
    <oddFooter>&amp;LREPORT 100&amp;CPAGE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72"/>
  <sheetViews>
    <sheetView zoomScale="85" zoomScaleSheetLayoutView="80" workbookViewId="0">
      <selection sqref="A1:F1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4" style="42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629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630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631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632</v>
      </c>
      <c r="D7" s="426" t="s">
        <v>632</v>
      </c>
      <c r="E7" s="426" t="s">
        <v>633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634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635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636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637</v>
      </c>
      <c r="C15" s="448">
        <v>249956905</v>
      </c>
      <c r="D15" s="448">
        <v>243146941</v>
      </c>
      <c r="E15" s="448">
        <f t="shared" ref="E15:E24" si="0">D15-C15</f>
        <v>-6809964</v>
      </c>
      <c r="F15" s="449">
        <f t="shared" ref="F15:F24" si="1">IF(C15=0,0,E15/C15)</f>
        <v>-2.724455241594546E-2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638</v>
      </c>
      <c r="C16" s="448">
        <v>75932454</v>
      </c>
      <c r="D16" s="448">
        <v>72173862</v>
      </c>
      <c r="E16" s="448">
        <f t="shared" si="0"/>
        <v>-3758592</v>
      </c>
      <c r="F16" s="449">
        <f t="shared" si="1"/>
        <v>-4.9499150916418426E-2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639</v>
      </c>
      <c r="C17" s="453">
        <f>IF(C15=0,0,C16/C15)</f>
        <v>0.30378218197252843</v>
      </c>
      <c r="D17" s="453">
        <f>IF(LN_IA1=0,0,LN_IA2/LN_IA1)</f>
        <v>0.29683228463894185</v>
      </c>
      <c r="E17" s="454">
        <f t="shared" si="0"/>
        <v>-6.9498973335865855E-3</v>
      </c>
      <c r="F17" s="449">
        <f t="shared" si="1"/>
        <v>-2.2877896552257554E-2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6147</v>
      </c>
      <c r="D18" s="456">
        <v>5319</v>
      </c>
      <c r="E18" s="456">
        <f t="shared" si="0"/>
        <v>-828</v>
      </c>
      <c r="F18" s="449">
        <f t="shared" si="1"/>
        <v>-0.13469985358711567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640</v>
      </c>
      <c r="C19" s="459">
        <v>1.3455999999999999</v>
      </c>
      <c r="D19" s="459">
        <v>1.4406000000000001</v>
      </c>
      <c r="E19" s="460">
        <f t="shared" si="0"/>
        <v>9.5000000000000195E-2</v>
      </c>
      <c r="F19" s="449">
        <f t="shared" si="1"/>
        <v>7.0600475624256989E-2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641</v>
      </c>
      <c r="C20" s="463">
        <f>C18*C19</f>
        <v>8271.4031999999988</v>
      </c>
      <c r="D20" s="463">
        <f>LN_IA4*LN_IA5</f>
        <v>7662.5514000000003</v>
      </c>
      <c r="E20" s="463">
        <f t="shared" si="0"/>
        <v>-608.85179999999855</v>
      </c>
      <c r="F20" s="449">
        <f t="shared" si="1"/>
        <v>-7.360925169262679E-2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642</v>
      </c>
      <c r="C21" s="465">
        <f>IF(C20=0,0,C16/C20)</f>
        <v>9180.1175887544705</v>
      </c>
      <c r="D21" s="465">
        <f>IF(LN_IA6=0,0,LN_IA2/LN_IA6)</f>
        <v>9419.0378938273734</v>
      </c>
      <c r="E21" s="465">
        <f t="shared" si="0"/>
        <v>238.92030507290292</v>
      </c>
      <c r="F21" s="449">
        <f t="shared" si="1"/>
        <v>2.6025843652109349E-2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35256</v>
      </c>
      <c r="D22" s="456">
        <v>31377</v>
      </c>
      <c r="E22" s="456">
        <f t="shared" si="0"/>
        <v>-3879</v>
      </c>
      <c r="F22" s="449">
        <f t="shared" si="1"/>
        <v>-0.11002382573179033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643</v>
      </c>
      <c r="C23" s="465">
        <f>IF(C22=0,0,C16/C22)</f>
        <v>2153.7455752212391</v>
      </c>
      <c r="D23" s="465">
        <f>IF(LN_IA8=0,0,LN_IA2/LN_IA8)</f>
        <v>2300.2155081747778</v>
      </c>
      <c r="E23" s="465">
        <f t="shared" si="0"/>
        <v>146.46993295353877</v>
      </c>
      <c r="F23" s="449">
        <f t="shared" si="1"/>
        <v>6.8007073183884756E-2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644</v>
      </c>
      <c r="C24" s="466">
        <f>IF(C18=0,0,C22/C18)</f>
        <v>5.7354807223035627</v>
      </c>
      <c r="D24" s="466">
        <f>IF(LN_IA4=0,0,LN_IA8/LN_IA4)</f>
        <v>5.899041173152848</v>
      </c>
      <c r="E24" s="466">
        <f t="shared" si="0"/>
        <v>0.16356045084928539</v>
      </c>
      <c r="F24" s="449">
        <f t="shared" si="1"/>
        <v>2.8517304611145829E-2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645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646</v>
      </c>
      <c r="C27" s="448">
        <v>123833405</v>
      </c>
      <c r="D27" s="448">
        <v>139541554</v>
      </c>
      <c r="E27" s="448">
        <f t="shared" ref="E27:E32" si="2">D27-C27</f>
        <v>15708149</v>
      </c>
      <c r="F27" s="449">
        <f t="shared" ref="F27:F32" si="3">IF(C27=0,0,E27/C27)</f>
        <v>0.12684904368090338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647</v>
      </c>
      <c r="C28" s="448">
        <v>21742314</v>
      </c>
      <c r="D28" s="448">
        <v>28335378</v>
      </c>
      <c r="E28" s="448">
        <f t="shared" si="2"/>
        <v>6593064</v>
      </c>
      <c r="F28" s="449">
        <f t="shared" si="3"/>
        <v>0.30323653682860069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648</v>
      </c>
      <c r="C29" s="453">
        <f>IF(C27=0,0,C28/C27)</f>
        <v>0.17557713122723226</v>
      </c>
      <c r="D29" s="453">
        <f>IF(LN_IA11=0,0,LN_IA12/LN_IA11)</f>
        <v>0.20306050196345096</v>
      </c>
      <c r="E29" s="454">
        <f t="shared" si="2"/>
        <v>2.7483370736218704E-2</v>
      </c>
      <c r="F29" s="449">
        <f t="shared" si="3"/>
        <v>0.15653160832574303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649</v>
      </c>
      <c r="C30" s="453">
        <f>IF(C15=0,0,C27/C15)</f>
        <v>0.4954190203307246</v>
      </c>
      <c r="D30" s="453">
        <f>IF(LN_IA1=0,0,LN_IA11/LN_IA1)</f>
        <v>0.57389804463959926</v>
      </c>
      <c r="E30" s="454">
        <f t="shared" si="2"/>
        <v>7.8479024308874656E-2</v>
      </c>
      <c r="F30" s="449">
        <f t="shared" si="3"/>
        <v>0.15840938899859916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650</v>
      </c>
      <c r="C31" s="463">
        <f>C30*C18</f>
        <v>3045.3407179729643</v>
      </c>
      <c r="D31" s="463">
        <f>LN_IA14*LN_IA4</f>
        <v>3052.5636994380284</v>
      </c>
      <c r="E31" s="463">
        <f t="shared" si="2"/>
        <v>7.2229814650640947</v>
      </c>
      <c r="F31" s="449">
        <f t="shared" si="3"/>
        <v>2.3718139065476542E-3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651</v>
      </c>
      <c r="C32" s="465">
        <f>IF(C31=0,0,C28/C31)</f>
        <v>7139.5341321519163</v>
      </c>
      <c r="D32" s="465">
        <f>IF(LN_IA15=0,0,LN_IA12/LN_IA15)</f>
        <v>9282.4854089749188</v>
      </c>
      <c r="E32" s="465">
        <f t="shared" si="2"/>
        <v>2142.9512768230024</v>
      </c>
      <c r="F32" s="449">
        <f t="shared" si="3"/>
        <v>0.30015281629826718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652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653</v>
      </c>
      <c r="C35" s="448">
        <f>C15+C27</f>
        <v>373790310</v>
      </c>
      <c r="D35" s="448">
        <f>LN_IA1+LN_IA11</f>
        <v>382688495</v>
      </c>
      <c r="E35" s="448">
        <f>D35-C35</f>
        <v>8898185</v>
      </c>
      <c r="F35" s="449">
        <f>IF(C35=0,0,E35/C35)</f>
        <v>2.380528537510777E-2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654</v>
      </c>
      <c r="C36" s="448">
        <f>C16+C28</f>
        <v>97674768</v>
      </c>
      <c r="D36" s="448">
        <f>LN_IA2+LN_IA12</f>
        <v>100509240</v>
      </c>
      <c r="E36" s="448">
        <f>D36-C36</f>
        <v>2834472</v>
      </c>
      <c r="F36" s="449">
        <f>IF(C36=0,0,E36/C36)</f>
        <v>2.90194904788512E-2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655</v>
      </c>
      <c r="C37" s="448">
        <f>C35-C36</f>
        <v>276115542</v>
      </c>
      <c r="D37" s="448">
        <f>LN_IA17-LN_IA18</f>
        <v>282179255</v>
      </c>
      <c r="E37" s="448">
        <f>D37-C37</f>
        <v>6063713</v>
      </c>
      <c r="F37" s="449">
        <f>IF(C37=0,0,E37/C37)</f>
        <v>2.196078118630497E-2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656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657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637</v>
      </c>
      <c r="C42" s="448">
        <v>146446753</v>
      </c>
      <c r="D42" s="448">
        <v>132429295</v>
      </c>
      <c r="E42" s="448">
        <f t="shared" ref="E42:E53" si="4">D42-C42</f>
        <v>-14017458</v>
      </c>
      <c r="F42" s="449">
        <f t="shared" ref="F42:F53" si="5">IF(C42=0,0,E42/C42)</f>
        <v>-9.5717096575026139E-2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638</v>
      </c>
      <c r="C43" s="448">
        <v>75378318</v>
      </c>
      <c r="D43" s="448">
        <v>75483598</v>
      </c>
      <c r="E43" s="448">
        <f t="shared" si="4"/>
        <v>105280</v>
      </c>
      <c r="F43" s="449">
        <f t="shared" si="5"/>
        <v>1.396688103334967E-3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639</v>
      </c>
      <c r="C44" s="453">
        <f>IF(C42=0,0,C43/C42)</f>
        <v>0.51471484656269573</v>
      </c>
      <c r="D44" s="453">
        <f>IF(LN_IB1=0,0,LN_IB2/LN_IB1)</f>
        <v>0.56999169254808768</v>
      </c>
      <c r="E44" s="454">
        <f t="shared" si="4"/>
        <v>5.5276845985391954E-2</v>
      </c>
      <c r="F44" s="449">
        <f t="shared" si="5"/>
        <v>0.10739314467910702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5799</v>
      </c>
      <c r="D45" s="456">
        <v>4907</v>
      </c>
      <c r="E45" s="456">
        <f t="shared" si="4"/>
        <v>-892</v>
      </c>
      <c r="F45" s="449">
        <f t="shared" si="5"/>
        <v>-0.15381962407311606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640</v>
      </c>
      <c r="C46" s="459">
        <v>1.0031000000000001</v>
      </c>
      <c r="D46" s="459">
        <v>1.075</v>
      </c>
      <c r="E46" s="460">
        <f t="shared" si="4"/>
        <v>7.1899999999999853E-2</v>
      </c>
      <c r="F46" s="449">
        <f t="shared" si="5"/>
        <v>7.1677798823646541E-2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641</v>
      </c>
      <c r="C47" s="463">
        <f>C45*C46</f>
        <v>5816.9769000000006</v>
      </c>
      <c r="D47" s="463">
        <f>LN_IB4*LN_IB5</f>
        <v>5275.0249999999996</v>
      </c>
      <c r="E47" s="463">
        <f t="shared" si="4"/>
        <v>-541.95190000000093</v>
      </c>
      <c r="F47" s="449">
        <f t="shared" si="5"/>
        <v>-9.3167277318911279E-2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642</v>
      </c>
      <c r="C48" s="465">
        <f>IF(C47=0,0,C43/C47)</f>
        <v>12958.332016068345</v>
      </c>
      <c r="D48" s="465">
        <f>IF(LN_IB6=0,0,LN_IB2/LN_IB6)</f>
        <v>14309.619006544994</v>
      </c>
      <c r="E48" s="465">
        <f t="shared" si="4"/>
        <v>1351.2869904766485</v>
      </c>
      <c r="F48" s="449">
        <f t="shared" si="5"/>
        <v>0.1042793925021408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658</v>
      </c>
      <c r="C49" s="465">
        <f>C21-C48</f>
        <v>-3778.2144273138747</v>
      </c>
      <c r="D49" s="465">
        <f>LN_IA7-LN_IB7</f>
        <v>-4890.5811127176203</v>
      </c>
      <c r="E49" s="465">
        <f t="shared" si="4"/>
        <v>-1112.3666854037456</v>
      </c>
      <c r="F49" s="449">
        <f t="shared" si="5"/>
        <v>0.2944159752718386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659</v>
      </c>
      <c r="C50" s="479">
        <f>C49*C47</f>
        <v>-21977786.046931539</v>
      </c>
      <c r="D50" s="479">
        <f>LN_IB8*LN_IB6</f>
        <v>-25797937.634113263</v>
      </c>
      <c r="E50" s="479">
        <f t="shared" si="4"/>
        <v>-3820151.5871817246</v>
      </c>
      <c r="F50" s="449">
        <f t="shared" si="5"/>
        <v>0.17381876313765829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20211</v>
      </c>
      <c r="D51" s="456">
        <v>17156</v>
      </c>
      <c r="E51" s="456">
        <f t="shared" si="4"/>
        <v>-3055</v>
      </c>
      <c r="F51" s="449">
        <f t="shared" si="5"/>
        <v>-0.15115531146405423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643</v>
      </c>
      <c r="C52" s="465">
        <f>IF(C51=0,0,C43/C51)</f>
        <v>3729.5689476027906</v>
      </c>
      <c r="D52" s="465">
        <f>IF(LN_IB10=0,0,LN_IB2/LN_IB10)</f>
        <v>4399.836675215668</v>
      </c>
      <c r="E52" s="465">
        <f t="shared" si="4"/>
        <v>670.26772761287748</v>
      </c>
      <c r="F52" s="449">
        <f t="shared" si="5"/>
        <v>0.17971721049524966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644</v>
      </c>
      <c r="C53" s="466">
        <f>IF(C45=0,0,C51/C45)</f>
        <v>3.4852560786342472</v>
      </c>
      <c r="D53" s="466">
        <f>IF(LN_IB4=0,0,LN_IB10/LN_IB4)</f>
        <v>3.496229875687793</v>
      </c>
      <c r="E53" s="466">
        <f t="shared" si="4"/>
        <v>1.0973797053545731E-2</v>
      </c>
      <c r="F53" s="449">
        <f t="shared" si="5"/>
        <v>3.1486343631444112E-3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660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646</v>
      </c>
      <c r="C56" s="448">
        <v>252731072</v>
      </c>
      <c r="D56" s="448">
        <v>252355457</v>
      </c>
      <c r="E56" s="448">
        <f t="shared" ref="E56:E63" si="6">D56-C56</f>
        <v>-375615</v>
      </c>
      <c r="F56" s="449">
        <f t="shared" ref="F56:F63" si="7">IF(C56=0,0,E56/C56)</f>
        <v>-1.4862240603323994E-3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647</v>
      </c>
      <c r="C57" s="448">
        <v>126071470</v>
      </c>
      <c r="D57" s="448">
        <v>126499308</v>
      </c>
      <c r="E57" s="448">
        <f t="shared" si="6"/>
        <v>427838</v>
      </c>
      <c r="F57" s="449">
        <f t="shared" si="7"/>
        <v>3.3936147488404793E-3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648</v>
      </c>
      <c r="C58" s="453">
        <f>IF(C56=0,0,C57/C56)</f>
        <v>0.49883644698820412</v>
      </c>
      <c r="D58" s="453">
        <f>IF(LN_IB13=0,0,LN_IB14/LN_IB13)</f>
        <v>0.50127431165477032</v>
      </c>
      <c r="E58" s="454">
        <f t="shared" si="6"/>
        <v>2.4378646665662029E-3</v>
      </c>
      <c r="F58" s="449">
        <f t="shared" si="7"/>
        <v>4.8871021379555506E-3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649</v>
      </c>
      <c r="C59" s="453">
        <f>IF(C42=0,0,C56/C42)</f>
        <v>1.7257540151812039</v>
      </c>
      <c r="D59" s="453">
        <f>IF(LN_IB1=0,0,LN_IB13/LN_IB1)</f>
        <v>1.9055863508145989</v>
      </c>
      <c r="E59" s="454">
        <f t="shared" si="6"/>
        <v>0.17983233563339507</v>
      </c>
      <c r="F59" s="449">
        <f t="shared" si="7"/>
        <v>0.10420508024401885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650</v>
      </c>
      <c r="C60" s="463">
        <f>C59*C45</f>
        <v>10007.647534035801</v>
      </c>
      <c r="D60" s="463">
        <f>LN_IB16*LN_IB4</f>
        <v>9350.7122234472372</v>
      </c>
      <c r="E60" s="463">
        <f t="shared" si="6"/>
        <v>-656.93531058856388</v>
      </c>
      <c r="F60" s="449">
        <f t="shared" si="7"/>
        <v>-6.5643330098741043E-2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651</v>
      </c>
      <c r="C61" s="465">
        <f>IF(C60=0,0,C57/C60)</f>
        <v>12597.513009049684</v>
      </c>
      <c r="D61" s="465">
        <f>IF(LN_IB17=0,0,LN_IB14/LN_IB17)</f>
        <v>13528.307253729676</v>
      </c>
      <c r="E61" s="465">
        <f t="shared" si="6"/>
        <v>930.79424467999161</v>
      </c>
      <c r="F61" s="449">
        <f t="shared" si="7"/>
        <v>7.3887142963165536E-2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661</v>
      </c>
      <c r="C62" s="465">
        <f>C32-C61</f>
        <v>-5457.9788768977678</v>
      </c>
      <c r="D62" s="465">
        <f>LN_IA16-LN_IB18</f>
        <v>-4245.821844754757</v>
      </c>
      <c r="E62" s="465">
        <f t="shared" si="6"/>
        <v>1212.1570321430108</v>
      </c>
      <c r="F62" s="449">
        <f t="shared" si="7"/>
        <v>-0.22208899291892872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662</v>
      </c>
      <c r="C63" s="448">
        <f>C62*C60</f>
        <v>-54621528.84820544</v>
      </c>
      <c r="D63" s="448">
        <f>LN_IB19*LN_IB17</f>
        <v>-39701458.222327605</v>
      </c>
      <c r="E63" s="448">
        <f t="shared" si="6"/>
        <v>14920070.625877835</v>
      </c>
      <c r="F63" s="449">
        <f t="shared" si="7"/>
        <v>-0.27315366194419555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663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653</v>
      </c>
      <c r="C66" s="448">
        <f>C42+C56</f>
        <v>399177825</v>
      </c>
      <c r="D66" s="448">
        <f>LN_IB1+LN_IB13</f>
        <v>384784752</v>
      </c>
      <c r="E66" s="448">
        <f>D66-C66</f>
        <v>-14393073</v>
      </c>
      <c r="F66" s="449">
        <f>IF(C66=0,0,E66/C66)</f>
        <v>-3.6056794988549273E-2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654</v>
      </c>
      <c r="C67" s="448">
        <f>C43+C57</f>
        <v>201449788</v>
      </c>
      <c r="D67" s="448">
        <f>LN_IB2+LN_IB14</f>
        <v>201982906</v>
      </c>
      <c r="E67" s="448">
        <f>D67-C67</f>
        <v>533118</v>
      </c>
      <c r="F67" s="449">
        <f>IF(C67=0,0,E67/C67)</f>
        <v>2.6464063590873571E-3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655</v>
      </c>
      <c r="C68" s="448">
        <f>C66-C67</f>
        <v>197728037</v>
      </c>
      <c r="D68" s="448">
        <f>LN_IB21-LN_IB22</f>
        <v>182801846</v>
      </c>
      <c r="E68" s="448">
        <f>D68-C68</f>
        <v>-14926191</v>
      </c>
      <c r="F68" s="449">
        <f>IF(C68=0,0,E68/C68)</f>
        <v>-7.5488490284258469E-2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664</v>
      </c>
      <c r="C70" s="441">
        <f>C50+C63</f>
        <v>-76599314.895136982</v>
      </c>
      <c r="D70" s="441">
        <f>LN_IB9+LN_IB20</f>
        <v>-65499395.856440872</v>
      </c>
      <c r="E70" s="448">
        <f>D70-C70</f>
        <v>11099919.03869611</v>
      </c>
      <c r="F70" s="449">
        <f>IF(C70=0,0,E70/C70)</f>
        <v>-0.14490885530623465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665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666</v>
      </c>
      <c r="C73" s="488">
        <v>363988504</v>
      </c>
      <c r="D73" s="488">
        <v>349638109</v>
      </c>
      <c r="E73" s="488">
        <f>D73-C73</f>
        <v>-14350395</v>
      </c>
      <c r="F73" s="489">
        <f>IF(C73=0,0,E73/C73)</f>
        <v>-3.9425407237586821E-2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667</v>
      </c>
      <c r="C74" s="488">
        <v>199162505</v>
      </c>
      <c r="D74" s="488">
        <v>199129397</v>
      </c>
      <c r="E74" s="488">
        <f>D74-C74</f>
        <v>-33108</v>
      </c>
      <c r="F74" s="489">
        <f>IF(C74=0,0,E74/C74)</f>
        <v>-1.6623610955284981E-4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668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669</v>
      </c>
      <c r="C76" s="441">
        <f>C73-C74</f>
        <v>164825999</v>
      </c>
      <c r="D76" s="441">
        <f>LN_IB32-LN_IB33</f>
        <v>150508712</v>
      </c>
      <c r="E76" s="488">
        <f>D76-C76</f>
        <v>-14317287</v>
      </c>
      <c r="F76" s="489">
        <f>IF(E76=0,0,E76/C76)</f>
        <v>-8.6863037911876995E-2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670</v>
      </c>
      <c r="C77" s="453">
        <f>IF(C73=0,0,C76/C73)</f>
        <v>0.4528329801317022</v>
      </c>
      <c r="D77" s="453">
        <f>IF(LN_IB32=0,0,LN_IB34/LN_IB32)</f>
        <v>0.43046998632520345</v>
      </c>
      <c r="E77" s="493">
        <f>D77-C77</f>
        <v>-2.2362993806498754E-2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671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672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637</v>
      </c>
      <c r="C83" s="448">
        <v>6389236</v>
      </c>
      <c r="D83" s="448">
        <v>5189210</v>
      </c>
      <c r="E83" s="448">
        <f t="shared" ref="E83:E95" si="8">D83-C83</f>
        <v>-1200026</v>
      </c>
      <c r="F83" s="449">
        <f t="shared" ref="F83:F95" si="9">IF(C83=0,0,E83/C83)</f>
        <v>-0.18781995218207623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638</v>
      </c>
      <c r="C84" s="448">
        <v>167271</v>
      </c>
      <c r="D84" s="448">
        <v>458039</v>
      </c>
      <c r="E84" s="448">
        <f t="shared" si="8"/>
        <v>290768</v>
      </c>
      <c r="F84" s="449">
        <f t="shared" si="9"/>
        <v>1.7383049064093596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639</v>
      </c>
      <c r="C85" s="453">
        <f>IF(C83=0,0,C84/C83)</f>
        <v>2.6180125448488675E-2</v>
      </c>
      <c r="D85" s="453">
        <f>IF(LN_IC1=0,0,LN_IC2/LN_IC1)</f>
        <v>8.8267578301899519E-2</v>
      </c>
      <c r="E85" s="454">
        <f t="shared" si="8"/>
        <v>6.2087452853410843E-2</v>
      </c>
      <c r="F85" s="449">
        <f t="shared" si="9"/>
        <v>2.3715490964920116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267</v>
      </c>
      <c r="D86" s="456">
        <v>193</v>
      </c>
      <c r="E86" s="456">
        <f t="shared" si="8"/>
        <v>-74</v>
      </c>
      <c r="F86" s="449">
        <f t="shared" si="9"/>
        <v>-0.27715355805243447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640</v>
      </c>
      <c r="C87" s="459">
        <v>0.96430000000000005</v>
      </c>
      <c r="D87" s="459">
        <v>1.0650999999999999</v>
      </c>
      <c r="E87" s="460">
        <f t="shared" si="8"/>
        <v>0.10079999999999989</v>
      </c>
      <c r="F87" s="449">
        <f t="shared" si="9"/>
        <v>0.10453178471430041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641</v>
      </c>
      <c r="C88" s="463">
        <f>C86*C87</f>
        <v>257.46809999999999</v>
      </c>
      <c r="D88" s="463">
        <f>LN_IC4*LN_IC5</f>
        <v>205.56429999999997</v>
      </c>
      <c r="E88" s="463">
        <f t="shared" si="8"/>
        <v>-51.903800000000018</v>
      </c>
      <c r="F88" s="449">
        <f t="shared" si="9"/>
        <v>-0.20159312940127347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642</v>
      </c>
      <c r="C89" s="465">
        <f>IF(C88=0,0,C84/C88)</f>
        <v>649.67660071286502</v>
      </c>
      <c r="D89" s="465">
        <f>IF(LN_IC6=0,0,LN_IC2/LN_IC6)</f>
        <v>2228.203048875705</v>
      </c>
      <c r="E89" s="465">
        <f t="shared" si="8"/>
        <v>1578.5264481628401</v>
      </c>
      <c r="F89" s="449">
        <f t="shared" si="9"/>
        <v>2.4297111000008065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673</v>
      </c>
      <c r="C90" s="465">
        <f>C48-C89</f>
        <v>12308.655415355481</v>
      </c>
      <c r="D90" s="465">
        <f>LN_IB7-LN_IC7</f>
        <v>12081.415957669289</v>
      </c>
      <c r="E90" s="465">
        <f t="shared" si="8"/>
        <v>-227.2394576861916</v>
      </c>
      <c r="F90" s="449">
        <f t="shared" si="9"/>
        <v>-1.8461761258073923E-2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674</v>
      </c>
      <c r="C91" s="465">
        <f>C21-C89</f>
        <v>8530.440988041606</v>
      </c>
      <c r="D91" s="465">
        <f>LN_IA7-LN_IC7</f>
        <v>7190.8348449516689</v>
      </c>
      <c r="E91" s="465">
        <f t="shared" si="8"/>
        <v>-1339.6061430899372</v>
      </c>
      <c r="F91" s="449">
        <f t="shared" si="9"/>
        <v>-0.1570383225167214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659</v>
      </c>
      <c r="C92" s="441">
        <f>C91*C88</f>
        <v>2196316.433353195</v>
      </c>
      <c r="D92" s="441">
        <f>LN_IC9*LN_IC6</f>
        <v>1478178.9313180982</v>
      </c>
      <c r="E92" s="441">
        <f t="shared" si="8"/>
        <v>-718137.50203509675</v>
      </c>
      <c r="F92" s="449">
        <f t="shared" si="9"/>
        <v>-0.32697360504592249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844</v>
      </c>
      <c r="D93" s="456">
        <v>590</v>
      </c>
      <c r="E93" s="456">
        <f t="shared" si="8"/>
        <v>-254</v>
      </c>
      <c r="F93" s="449">
        <f t="shared" si="9"/>
        <v>-0.3009478672985782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643</v>
      </c>
      <c r="C94" s="499">
        <f>IF(C93=0,0,C84/C93)</f>
        <v>198.18838862559241</v>
      </c>
      <c r="D94" s="499">
        <f>IF(LN_IC11=0,0,LN_IC2/LN_IC11)</f>
        <v>776.33728813559321</v>
      </c>
      <c r="E94" s="499">
        <f t="shared" si="8"/>
        <v>578.14889951000077</v>
      </c>
      <c r="F94" s="449">
        <f t="shared" si="9"/>
        <v>2.917168374592372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644</v>
      </c>
      <c r="C95" s="466">
        <f>IF(C86=0,0,C93/C86)</f>
        <v>3.161048689138577</v>
      </c>
      <c r="D95" s="466">
        <f>IF(LN_IC4=0,0,LN_IC11/LN_IC4)</f>
        <v>3.0569948186528499</v>
      </c>
      <c r="E95" s="466">
        <f t="shared" si="8"/>
        <v>-0.10405387048572701</v>
      </c>
      <c r="F95" s="449">
        <f t="shared" si="9"/>
        <v>-3.2917515900105582E-2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675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646</v>
      </c>
      <c r="C98" s="448">
        <v>28798363</v>
      </c>
      <c r="D98" s="448">
        <v>29957432</v>
      </c>
      <c r="E98" s="448">
        <f t="shared" ref="E98:E106" si="10">D98-C98</f>
        <v>1159069</v>
      </c>
      <c r="F98" s="449">
        <f t="shared" ref="F98:F106" si="11">IF(C98=0,0,E98/C98)</f>
        <v>4.0247739081558209E-2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647</v>
      </c>
      <c r="C99" s="448">
        <v>2120010</v>
      </c>
      <c r="D99" s="448">
        <v>2395471</v>
      </c>
      <c r="E99" s="448">
        <f t="shared" si="10"/>
        <v>275461</v>
      </c>
      <c r="F99" s="449">
        <f t="shared" si="11"/>
        <v>0.12993382106688176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648</v>
      </c>
      <c r="C100" s="453">
        <f>IF(C98=0,0,C99/C98)</f>
        <v>7.3615642666911313E-2</v>
      </c>
      <c r="D100" s="453">
        <f>IF(LN_IC14=0,0,LN_IC15/LN_IC14)</f>
        <v>7.9962494782596857E-2</v>
      </c>
      <c r="E100" s="454">
        <f t="shared" si="10"/>
        <v>6.3468521156855445E-3</v>
      </c>
      <c r="F100" s="449">
        <f t="shared" si="11"/>
        <v>8.6216079704732662E-2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649</v>
      </c>
      <c r="C101" s="453">
        <f>IF(C83=0,0,C98/C83)</f>
        <v>4.5073249759439156</v>
      </c>
      <c r="D101" s="453">
        <f>IF(LN_IC1=0,0,LN_IC14/LN_IC1)</f>
        <v>5.7730236394364463</v>
      </c>
      <c r="E101" s="454">
        <f t="shared" si="10"/>
        <v>1.2656986634925307</v>
      </c>
      <c r="F101" s="449">
        <f t="shared" si="11"/>
        <v>0.28080927606678069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650</v>
      </c>
      <c r="C102" s="463">
        <f>C101*C86</f>
        <v>1203.4557685770255</v>
      </c>
      <c r="D102" s="463">
        <f>LN_IC17*LN_IC4</f>
        <v>1114.1935624112341</v>
      </c>
      <c r="E102" s="463">
        <f t="shared" si="10"/>
        <v>-89.26220616579144</v>
      </c>
      <c r="F102" s="449">
        <f t="shared" si="11"/>
        <v>-7.4171571981690443E-2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651</v>
      </c>
      <c r="C103" s="465">
        <f>IF(C102=0,0,C99/C102)</f>
        <v>1761.6019261818942</v>
      </c>
      <c r="D103" s="465">
        <f>IF(LN_IC18=0,0,LN_IC15/LN_IC18)</f>
        <v>2149.9594691751263</v>
      </c>
      <c r="E103" s="465">
        <f t="shared" si="10"/>
        <v>388.35754299323207</v>
      </c>
      <c r="F103" s="449">
        <f t="shared" si="11"/>
        <v>0.22045703812038872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676</v>
      </c>
      <c r="C104" s="465">
        <f>C61-C103</f>
        <v>10835.911082867789</v>
      </c>
      <c r="D104" s="465">
        <f>LN_IB18-LN_IC19</f>
        <v>11378.347784554549</v>
      </c>
      <c r="E104" s="465">
        <f t="shared" si="10"/>
        <v>542.43670168675999</v>
      </c>
      <c r="F104" s="449">
        <f t="shared" si="11"/>
        <v>5.0059168771178289E-2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677</v>
      </c>
      <c r="C105" s="465">
        <f>C32-C103</f>
        <v>5377.9322059700226</v>
      </c>
      <c r="D105" s="465">
        <f>LN_IA16-LN_IC19</f>
        <v>7132.5259397997925</v>
      </c>
      <c r="E105" s="465">
        <f t="shared" si="10"/>
        <v>1754.5937338297699</v>
      </c>
      <c r="F105" s="449">
        <f t="shared" si="11"/>
        <v>0.32625806102241339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662</v>
      </c>
      <c r="C106" s="448">
        <f>C105*C102</f>
        <v>6472103.5362907918</v>
      </c>
      <c r="D106" s="448">
        <f>LN_IC21*LN_IC18</f>
        <v>7947014.4858560665</v>
      </c>
      <c r="E106" s="448">
        <f t="shared" si="10"/>
        <v>1474910.9495652746</v>
      </c>
      <c r="F106" s="449">
        <f t="shared" si="11"/>
        <v>0.22788741578299232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678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653</v>
      </c>
      <c r="C109" s="448">
        <f>C83+C98</f>
        <v>35187599</v>
      </c>
      <c r="D109" s="448">
        <f>LN_IC1+LN_IC14</f>
        <v>35146642</v>
      </c>
      <c r="E109" s="448">
        <f>D109-C109</f>
        <v>-40957</v>
      </c>
      <c r="F109" s="449">
        <f>IF(C109=0,0,E109/C109)</f>
        <v>-1.1639612012175084E-3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654</v>
      </c>
      <c r="C110" s="448">
        <f>C84+C99</f>
        <v>2287281</v>
      </c>
      <c r="D110" s="448">
        <f>LN_IC2+LN_IC15</f>
        <v>2853510</v>
      </c>
      <c r="E110" s="448">
        <f>D110-C110</f>
        <v>566229</v>
      </c>
      <c r="F110" s="449">
        <f>IF(C110=0,0,E110/C110)</f>
        <v>0.24755550367445014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655</v>
      </c>
      <c r="C111" s="448">
        <f>C109-C110</f>
        <v>32900318</v>
      </c>
      <c r="D111" s="448">
        <f>LN_IC23-LN_IC24</f>
        <v>32293132</v>
      </c>
      <c r="E111" s="448">
        <f>D111-C111</f>
        <v>-607186</v>
      </c>
      <c r="F111" s="449">
        <f>IF(C111=0,0,E111/C111)</f>
        <v>-1.8455323136998249E-2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664</v>
      </c>
      <c r="C113" s="448">
        <f>C92+C106</f>
        <v>8668419.9696439877</v>
      </c>
      <c r="D113" s="448">
        <f>LN_IC10+LN_IC22</f>
        <v>9425193.4171741642</v>
      </c>
      <c r="E113" s="448">
        <f>D113-C113</f>
        <v>756773.44753017649</v>
      </c>
      <c r="F113" s="449">
        <f>IF(C113=0,0,E113/C113)</f>
        <v>8.7302351545071391E-2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679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680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637</v>
      </c>
      <c r="C118" s="448">
        <v>75819360</v>
      </c>
      <c r="D118" s="448">
        <v>74431040</v>
      </c>
      <c r="E118" s="448">
        <f t="shared" ref="E118:E130" si="12">D118-C118</f>
        <v>-1388320</v>
      </c>
      <c r="F118" s="449">
        <f t="shared" ref="F118:F130" si="13">IF(C118=0,0,E118/C118)</f>
        <v>-1.8310890516617391E-2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638</v>
      </c>
      <c r="C119" s="448">
        <v>20337542</v>
      </c>
      <c r="D119" s="448">
        <v>15518342</v>
      </c>
      <c r="E119" s="448">
        <f t="shared" si="12"/>
        <v>-4819200</v>
      </c>
      <c r="F119" s="449">
        <f t="shared" si="13"/>
        <v>-0.23696078906684004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639</v>
      </c>
      <c r="C120" s="453">
        <f>IF(C118=0,0,C119/C118)</f>
        <v>0.26823679334671252</v>
      </c>
      <c r="D120" s="453">
        <f>IF(LN_ID1=0,0,LN_1D2/LN_ID1)</f>
        <v>0.20849288146450728</v>
      </c>
      <c r="E120" s="454">
        <f t="shared" si="12"/>
        <v>-5.9743911882205236E-2</v>
      </c>
      <c r="F120" s="449">
        <f t="shared" si="13"/>
        <v>-0.22272825117239811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3002</v>
      </c>
      <c r="D121" s="456">
        <v>2782</v>
      </c>
      <c r="E121" s="456">
        <f t="shared" si="12"/>
        <v>-220</v>
      </c>
      <c r="F121" s="449">
        <f t="shared" si="13"/>
        <v>-7.3284477015323118E-2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640</v>
      </c>
      <c r="C122" s="459">
        <v>0.93799999999999994</v>
      </c>
      <c r="D122" s="459">
        <v>0.95901999999999998</v>
      </c>
      <c r="E122" s="460">
        <f t="shared" si="12"/>
        <v>2.1020000000000039E-2</v>
      </c>
      <c r="F122" s="449">
        <f t="shared" si="13"/>
        <v>2.240938166311305E-2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641</v>
      </c>
      <c r="C123" s="463">
        <f>C121*C122</f>
        <v>2815.8759999999997</v>
      </c>
      <c r="D123" s="463">
        <f>LN_ID4*LN_ID5</f>
        <v>2667.9936400000001</v>
      </c>
      <c r="E123" s="463">
        <f t="shared" si="12"/>
        <v>-147.88235999999961</v>
      </c>
      <c r="F123" s="449">
        <f t="shared" si="13"/>
        <v>-5.2517355167627983E-2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642</v>
      </c>
      <c r="C124" s="465">
        <f>IF(C123=0,0,C119/C123)</f>
        <v>7222.4565286255511</v>
      </c>
      <c r="D124" s="465">
        <f>IF(LN_ID6=0,0,LN_1D2/LN_ID6)</f>
        <v>5816.4838803738676</v>
      </c>
      <c r="E124" s="465">
        <f t="shared" si="12"/>
        <v>-1405.9726482516835</v>
      </c>
      <c r="F124" s="449">
        <f t="shared" si="13"/>
        <v>-0.19466682044803432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681</v>
      </c>
      <c r="C125" s="465">
        <f>C48-C124</f>
        <v>5735.8754874427941</v>
      </c>
      <c r="D125" s="465">
        <f>LN_IB7-LN_ID7</f>
        <v>8493.1351261711261</v>
      </c>
      <c r="E125" s="465">
        <f t="shared" si="12"/>
        <v>2757.259638728332</v>
      </c>
      <c r="F125" s="449">
        <f t="shared" si="13"/>
        <v>0.48070423508401361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682</v>
      </c>
      <c r="C126" s="465">
        <f>C21-C124</f>
        <v>1957.6610601289194</v>
      </c>
      <c r="D126" s="465">
        <f>LN_IA7-LN_ID7</f>
        <v>3602.5540134535058</v>
      </c>
      <c r="E126" s="465">
        <f t="shared" si="12"/>
        <v>1644.8929533245864</v>
      </c>
      <c r="F126" s="449">
        <f t="shared" si="13"/>
        <v>0.84023378041562724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659</v>
      </c>
      <c r="C127" s="479">
        <f>C126*C123</f>
        <v>5512530.7953515807</v>
      </c>
      <c r="D127" s="479">
        <f>LN_ID9*LN_ID6</f>
        <v>9611591.1956504285</v>
      </c>
      <c r="E127" s="479">
        <f t="shared" si="12"/>
        <v>4099060.4002988478</v>
      </c>
      <c r="F127" s="449">
        <f t="shared" si="13"/>
        <v>0.74358956937807297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11609</v>
      </c>
      <c r="D128" s="456">
        <v>10948</v>
      </c>
      <c r="E128" s="456">
        <f t="shared" si="12"/>
        <v>-661</v>
      </c>
      <c r="F128" s="449">
        <f t="shared" si="13"/>
        <v>-5.6938582134550782E-2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643</v>
      </c>
      <c r="C129" s="465">
        <f>IF(C128=0,0,C119/C128)</f>
        <v>1751.8771642691015</v>
      </c>
      <c r="D129" s="465">
        <f>IF(LN_ID11=0,0,LN_1D2/LN_ID11)</f>
        <v>1417.4590792838874</v>
      </c>
      <c r="E129" s="465">
        <f t="shared" si="12"/>
        <v>-334.41808498521414</v>
      </c>
      <c r="F129" s="449">
        <f t="shared" si="13"/>
        <v>-0.19089128610494577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644</v>
      </c>
      <c r="C130" s="466">
        <f>IF(C121=0,0,C128/C121)</f>
        <v>3.8670886075949369</v>
      </c>
      <c r="D130" s="466">
        <f>IF(LN_ID4=0,0,LN_ID11/LN_ID4)</f>
        <v>3.9352983465132998</v>
      </c>
      <c r="E130" s="466">
        <f t="shared" si="12"/>
        <v>6.8209738918362905E-2</v>
      </c>
      <c r="F130" s="449">
        <f t="shared" si="13"/>
        <v>1.7638524957612665E-2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683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646</v>
      </c>
      <c r="C133" s="448">
        <v>57507931</v>
      </c>
      <c r="D133" s="448">
        <v>69452300</v>
      </c>
      <c r="E133" s="448">
        <f t="shared" ref="E133:E141" si="14">D133-C133</f>
        <v>11944369</v>
      </c>
      <c r="F133" s="449">
        <f t="shared" ref="F133:F141" si="15">IF(C133=0,0,E133/C133)</f>
        <v>0.20769950843823612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647</v>
      </c>
      <c r="C134" s="448">
        <v>15243246</v>
      </c>
      <c r="D134" s="448">
        <v>17506571</v>
      </c>
      <c r="E134" s="448">
        <f t="shared" si="14"/>
        <v>2263325</v>
      </c>
      <c r="F134" s="449">
        <f t="shared" si="15"/>
        <v>0.14848051392728295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648</v>
      </c>
      <c r="C135" s="453">
        <f>IF(C133=0,0,C134/C133)</f>
        <v>0.2650633701288958</v>
      </c>
      <c r="D135" s="453">
        <f>IF(LN_ID14=0,0,LN_ID15/LN_ID14)</f>
        <v>0.25206610868178592</v>
      </c>
      <c r="E135" s="454">
        <f t="shared" si="14"/>
        <v>-1.2997261447109887E-2</v>
      </c>
      <c r="F135" s="449">
        <f t="shared" si="15"/>
        <v>-4.9034543855643049E-2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649</v>
      </c>
      <c r="C136" s="453">
        <f>IF(C118=0,0,C133/C118)</f>
        <v>0.75848610434063279</v>
      </c>
      <c r="D136" s="453">
        <f>IF(LN_ID1=0,0,LN_ID14/LN_ID1)</f>
        <v>0.93310935867616518</v>
      </c>
      <c r="E136" s="454">
        <f t="shared" si="14"/>
        <v>0.17462325433553239</v>
      </c>
      <c r="F136" s="449">
        <f t="shared" si="15"/>
        <v>0.23022604281898598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650</v>
      </c>
      <c r="C137" s="463">
        <f>C136*C121</f>
        <v>2276.9752852305796</v>
      </c>
      <c r="D137" s="463">
        <f>LN_ID17*LN_ID4</f>
        <v>2595.9102358370915</v>
      </c>
      <c r="E137" s="463">
        <f t="shared" si="14"/>
        <v>318.93495060651185</v>
      </c>
      <c r="F137" s="449">
        <f t="shared" si="15"/>
        <v>0.14006957066036607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651</v>
      </c>
      <c r="C138" s="465">
        <f>IF(C137=0,0,C134/C137)</f>
        <v>6694.5153506382403</v>
      </c>
      <c r="D138" s="465">
        <f>IF(LN_ID18=0,0,LN_ID15/LN_ID18)</f>
        <v>6743.9046074544776</v>
      </c>
      <c r="E138" s="465">
        <f t="shared" si="14"/>
        <v>49.389256816237321</v>
      </c>
      <c r="F138" s="449">
        <f t="shared" si="15"/>
        <v>7.3775701793750694E-3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684</v>
      </c>
      <c r="C139" s="465">
        <f>C61-C138</f>
        <v>5902.9976584114438</v>
      </c>
      <c r="D139" s="465">
        <f>LN_IB18-LN_ID19</f>
        <v>6784.4026462751981</v>
      </c>
      <c r="E139" s="465">
        <f t="shared" si="14"/>
        <v>881.40498786375429</v>
      </c>
      <c r="F139" s="449">
        <f t="shared" si="15"/>
        <v>0.14931481238312896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685</v>
      </c>
      <c r="C140" s="465">
        <f>C32-C138</f>
        <v>445.018781513676</v>
      </c>
      <c r="D140" s="465">
        <f>LN_IA16-LN_ID19</f>
        <v>2538.5808015204411</v>
      </c>
      <c r="E140" s="465">
        <f t="shared" si="14"/>
        <v>2093.5620200067651</v>
      </c>
      <c r="F140" s="449">
        <f t="shared" si="15"/>
        <v>4.7044351990847995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662</v>
      </c>
      <c r="C141" s="441">
        <f>C140*C137</f>
        <v>1013296.7669700674</v>
      </c>
      <c r="D141" s="441">
        <f>LN_ID21*LN_ID18</f>
        <v>6589927.8871664414</v>
      </c>
      <c r="E141" s="441">
        <f t="shared" si="14"/>
        <v>5576631.1201963741</v>
      </c>
      <c r="F141" s="449">
        <f t="shared" si="15"/>
        <v>5.503452988280487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686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653</v>
      </c>
      <c r="C144" s="448">
        <f>C118+C133</f>
        <v>133327291</v>
      </c>
      <c r="D144" s="448">
        <f>LN_ID1+LN_ID14</f>
        <v>143883340</v>
      </c>
      <c r="E144" s="448">
        <f>D144-C144</f>
        <v>10556049</v>
      </c>
      <c r="F144" s="449">
        <f>IF(C144=0,0,E144/C144)</f>
        <v>7.9173955465726822E-2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654</v>
      </c>
      <c r="C145" s="448">
        <f>C119+C134</f>
        <v>35580788</v>
      </c>
      <c r="D145" s="448">
        <f>LN_1D2+LN_ID15</f>
        <v>33024913</v>
      </c>
      <c r="E145" s="448">
        <f>D145-C145</f>
        <v>-2555875</v>
      </c>
      <c r="F145" s="449">
        <f>IF(C145=0,0,E145/C145)</f>
        <v>-7.1833007183539604E-2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655</v>
      </c>
      <c r="C146" s="448">
        <f>C144-C145</f>
        <v>97746503</v>
      </c>
      <c r="D146" s="448">
        <f>LN_ID23-LN_ID24</f>
        <v>110858427</v>
      </c>
      <c r="E146" s="448">
        <f>D146-C146</f>
        <v>13111924</v>
      </c>
      <c r="F146" s="449">
        <f>IF(C146=0,0,E146/C146)</f>
        <v>0.13414212884935639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664</v>
      </c>
      <c r="C148" s="448">
        <f>C127+C141</f>
        <v>6525827.562321648</v>
      </c>
      <c r="D148" s="448">
        <f>LN_ID10+LN_ID22</f>
        <v>16201519.082816869</v>
      </c>
      <c r="E148" s="448">
        <f>D148-C148</f>
        <v>9675691.520495221</v>
      </c>
      <c r="F148" s="503">
        <f>IF(C148=0,0,E148/C148)</f>
        <v>1.4826765537538917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687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688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637</v>
      </c>
      <c r="C153" s="448">
        <v>1219617</v>
      </c>
      <c r="D153" s="448">
        <v>578536</v>
      </c>
      <c r="E153" s="448">
        <f t="shared" ref="E153:E165" si="16">D153-C153</f>
        <v>-641081</v>
      </c>
      <c r="F153" s="449">
        <f t="shared" ref="F153:F165" si="17">IF(C153=0,0,E153/C153)</f>
        <v>-0.52564124639128518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638</v>
      </c>
      <c r="C154" s="448">
        <v>481053</v>
      </c>
      <c r="D154" s="448">
        <v>94864</v>
      </c>
      <c r="E154" s="448">
        <f t="shared" si="16"/>
        <v>-386189</v>
      </c>
      <c r="F154" s="449">
        <f t="shared" si="17"/>
        <v>-0.80279927575547805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639</v>
      </c>
      <c r="C155" s="453">
        <f>IF(C153=0,0,C154/C153)</f>
        <v>0.39442956272337953</v>
      </c>
      <c r="D155" s="453">
        <f>IF(LN_IE1=0,0,LN_IE2/LN_IE1)</f>
        <v>0.16397250992159521</v>
      </c>
      <c r="E155" s="454">
        <f t="shared" si="16"/>
        <v>-0.23045705280178433</v>
      </c>
      <c r="F155" s="449">
        <f t="shared" si="17"/>
        <v>-0.58427936083332566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40</v>
      </c>
      <c r="D156" s="506">
        <v>21</v>
      </c>
      <c r="E156" s="506">
        <f t="shared" si="16"/>
        <v>-19</v>
      </c>
      <c r="F156" s="449">
        <f t="shared" si="17"/>
        <v>-0.47499999999999998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640</v>
      </c>
      <c r="C157" s="459">
        <v>1.0291999999999999</v>
      </c>
      <c r="D157" s="459">
        <v>1.0138</v>
      </c>
      <c r="E157" s="460">
        <f t="shared" si="16"/>
        <v>-1.5399999999999858E-2</v>
      </c>
      <c r="F157" s="449">
        <f t="shared" si="17"/>
        <v>-1.4963078118927185E-2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641</v>
      </c>
      <c r="C158" s="463">
        <f>C156*C157</f>
        <v>41.167999999999992</v>
      </c>
      <c r="D158" s="463">
        <f>LN_IE4*LN_IE5</f>
        <v>21.2898</v>
      </c>
      <c r="E158" s="463">
        <f t="shared" si="16"/>
        <v>-19.878199999999993</v>
      </c>
      <c r="F158" s="449">
        <f t="shared" si="17"/>
        <v>-0.48285561601243676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642</v>
      </c>
      <c r="C159" s="465">
        <f>IF(C158=0,0,C154/C158)</f>
        <v>11685.119510299264</v>
      </c>
      <c r="D159" s="465">
        <f>IF(LN_IE6=0,0,LN_IE2/LN_IE6)</f>
        <v>4455.8427040178867</v>
      </c>
      <c r="E159" s="465">
        <f t="shared" si="16"/>
        <v>-7229.2768062813775</v>
      </c>
      <c r="F159" s="449">
        <f t="shared" si="17"/>
        <v>-0.6186737585276294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689</v>
      </c>
      <c r="C160" s="465">
        <f>C48-C159</f>
        <v>1273.212505769081</v>
      </c>
      <c r="D160" s="465">
        <f>LN_IB7-LN_IE7</f>
        <v>9853.776302527107</v>
      </c>
      <c r="E160" s="465">
        <f t="shared" si="16"/>
        <v>8580.563796758026</v>
      </c>
      <c r="F160" s="449">
        <f t="shared" si="17"/>
        <v>6.7393021650969072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690</v>
      </c>
      <c r="C161" s="465">
        <f>C21-C159</f>
        <v>-2505.0019215447937</v>
      </c>
      <c r="D161" s="465">
        <f>LN_IA7-LN_IE7</f>
        <v>4963.1951898094867</v>
      </c>
      <c r="E161" s="465">
        <f t="shared" si="16"/>
        <v>7468.1971113542804</v>
      </c>
      <c r="F161" s="449">
        <f t="shared" si="17"/>
        <v>-2.9813139252000114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659</v>
      </c>
      <c r="C162" s="479">
        <f>C161*C158</f>
        <v>-103125.91910615606</v>
      </c>
      <c r="D162" s="479">
        <f>LN_IE9*LN_IE6</f>
        <v>105665.43295200601</v>
      </c>
      <c r="E162" s="479">
        <f t="shared" si="16"/>
        <v>208791.35205816207</v>
      </c>
      <c r="F162" s="449">
        <f t="shared" si="17"/>
        <v>-2.024625369333541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197</v>
      </c>
      <c r="D163" s="456">
        <v>79</v>
      </c>
      <c r="E163" s="506">
        <f t="shared" si="16"/>
        <v>-118</v>
      </c>
      <c r="F163" s="449">
        <f t="shared" si="17"/>
        <v>-0.59898477157360408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643</v>
      </c>
      <c r="C164" s="465">
        <f>IF(C163=0,0,C154/C163)</f>
        <v>2441.8934010152284</v>
      </c>
      <c r="D164" s="465">
        <f>IF(LN_IE11=0,0,LN_IE2/LN_IE11)</f>
        <v>1200.8101265822784</v>
      </c>
      <c r="E164" s="465">
        <f t="shared" si="16"/>
        <v>-1241.08327443295</v>
      </c>
      <c r="F164" s="449">
        <f t="shared" si="17"/>
        <v>-0.50824629523834408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644</v>
      </c>
      <c r="C165" s="466">
        <f>IF(C156=0,0,C163/C156)</f>
        <v>4.9249999999999998</v>
      </c>
      <c r="D165" s="466">
        <f>IF(LN_IE4=0,0,LN_IE11/LN_IE4)</f>
        <v>3.7619047619047619</v>
      </c>
      <c r="E165" s="466">
        <f t="shared" si="16"/>
        <v>-1.163095238095238</v>
      </c>
      <c r="F165" s="449">
        <f t="shared" si="17"/>
        <v>-0.23616146966400772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691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646</v>
      </c>
      <c r="C168" s="511">
        <v>529485</v>
      </c>
      <c r="D168" s="511">
        <v>656835</v>
      </c>
      <c r="E168" s="511">
        <f t="shared" ref="E168:E176" si="18">D168-C168</f>
        <v>127350</v>
      </c>
      <c r="F168" s="449">
        <f t="shared" ref="F168:F176" si="19">IF(C168=0,0,E168/C168)</f>
        <v>0.24051672851922151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647</v>
      </c>
      <c r="C169" s="511">
        <v>179741</v>
      </c>
      <c r="D169" s="511">
        <v>61369</v>
      </c>
      <c r="E169" s="511">
        <f t="shared" si="18"/>
        <v>-118372</v>
      </c>
      <c r="F169" s="449">
        <f t="shared" si="19"/>
        <v>-0.65856983103465538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648</v>
      </c>
      <c r="C170" s="453">
        <f>IF(C168=0,0,C169/C168)</f>
        <v>0.33946381861620256</v>
      </c>
      <c r="D170" s="453">
        <f>IF(LN_IE14=0,0,LN_IE15/LN_IE14)</f>
        <v>9.3431379265721218E-2</v>
      </c>
      <c r="E170" s="454">
        <f t="shared" si="18"/>
        <v>-0.24603243935048136</v>
      </c>
      <c r="F170" s="449">
        <f t="shared" si="19"/>
        <v>-0.724767783363226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649</v>
      </c>
      <c r="C171" s="453">
        <f>IF(C153=0,0,C168/C153)</f>
        <v>0.43414038997488558</v>
      </c>
      <c r="D171" s="453">
        <f>IF(LN_IE1=0,0,LN_IE14/LN_IE1)</f>
        <v>1.1353398924181037</v>
      </c>
      <c r="E171" s="454">
        <f t="shared" si="18"/>
        <v>0.70119950244321816</v>
      </c>
      <c r="F171" s="449">
        <f t="shared" si="19"/>
        <v>1.6151445906329553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650</v>
      </c>
      <c r="C172" s="463">
        <f>C171*C156</f>
        <v>17.365615598995422</v>
      </c>
      <c r="D172" s="463">
        <f>LN_IE17*LN_IE4</f>
        <v>23.842137740780178</v>
      </c>
      <c r="E172" s="463">
        <f t="shared" si="18"/>
        <v>6.4765221417847556</v>
      </c>
      <c r="F172" s="449">
        <f t="shared" si="19"/>
        <v>0.37295091008230158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651</v>
      </c>
      <c r="C173" s="465">
        <f>IF(C172=0,0,C169/C172)</f>
        <v>10350.396101730927</v>
      </c>
      <c r="D173" s="465">
        <f>IF(LN_IE18=0,0,LN_IE15/LN_IE18)</f>
        <v>2573.9722111844426</v>
      </c>
      <c r="E173" s="465">
        <f t="shared" si="18"/>
        <v>-7776.4238905464845</v>
      </c>
      <c r="F173" s="449">
        <f t="shared" si="19"/>
        <v>-0.7513165500251735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692</v>
      </c>
      <c r="C174" s="465">
        <f>C61-C173</f>
        <v>2247.1169073187575</v>
      </c>
      <c r="D174" s="465">
        <f>LN_IB18-LN_IE19</f>
        <v>10954.335042545234</v>
      </c>
      <c r="E174" s="465">
        <f t="shared" si="18"/>
        <v>8707.2181352264761</v>
      </c>
      <c r="F174" s="449">
        <f t="shared" si="19"/>
        <v>3.8748398478367827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693</v>
      </c>
      <c r="C175" s="465">
        <f>C32-C173</f>
        <v>-3210.8619695790103</v>
      </c>
      <c r="D175" s="465">
        <f>LN_IA16-LN_IE19</f>
        <v>6708.5131977904766</v>
      </c>
      <c r="E175" s="465">
        <f t="shared" si="18"/>
        <v>9919.375167369486</v>
      </c>
      <c r="F175" s="449">
        <f t="shared" si="19"/>
        <v>-3.0893184638111544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662</v>
      </c>
      <c r="C176" s="441">
        <f>C175*C172</f>
        <v>-55758.594705142423</v>
      </c>
      <c r="D176" s="441">
        <f>LN_IE21*LN_IE18</f>
        <v>159945.29569756225</v>
      </c>
      <c r="E176" s="441">
        <f t="shared" si="18"/>
        <v>215703.89040270468</v>
      </c>
      <c r="F176" s="449">
        <f t="shared" si="19"/>
        <v>-3.868531686341282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694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653</v>
      </c>
      <c r="C179" s="448">
        <f>C153+C168</f>
        <v>1749102</v>
      </c>
      <c r="D179" s="448">
        <f>LN_IE1+LN_IE14</f>
        <v>1235371</v>
      </c>
      <c r="E179" s="448">
        <f>D179-C179</f>
        <v>-513731</v>
      </c>
      <c r="F179" s="449">
        <f>IF(C179=0,0,E179/C179)</f>
        <v>-0.29371128727770024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654</v>
      </c>
      <c r="C180" s="448">
        <f>C154+C169</f>
        <v>660794</v>
      </c>
      <c r="D180" s="448">
        <f>LN_IE15+LN_IE2</f>
        <v>156233</v>
      </c>
      <c r="E180" s="448">
        <f>D180-C180</f>
        <v>-504561</v>
      </c>
      <c r="F180" s="449">
        <f>IF(C180=0,0,E180/C180)</f>
        <v>-0.76356776847247398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655</v>
      </c>
      <c r="C181" s="448">
        <f>C179-C180</f>
        <v>1088308</v>
      </c>
      <c r="D181" s="448">
        <f>LN_IE23-LN_IE24</f>
        <v>1079138</v>
      </c>
      <c r="E181" s="448">
        <f>D181-C181</f>
        <v>-9170</v>
      </c>
      <c r="F181" s="449">
        <f>IF(C181=0,0,E181/C181)</f>
        <v>-8.425923543702701E-3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695</v>
      </c>
      <c r="C183" s="448">
        <f>C162+C176</f>
        <v>-158884.51381129847</v>
      </c>
      <c r="D183" s="448">
        <f>LN_IE10+LN_IE22</f>
        <v>265610.72864956828</v>
      </c>
      <c r="E183" s="441">
        <f>D183-C183</f>
        <v>424495.24246086675</v>
      </c>
      <c r="F183" s="449">
        <f>IF(C183=0,0,E183/C183)</f>
        <v>-2.6717219461993933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696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697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637</v>
      </c>
      <c r="C188" s="448">
        <f>C118+C153</f>
        <v>77038977</v>
      </c>
      <c r="D188" s="448">
        <f>LN_ID1+LN_IE1</f>
        <v>75009576</v>
      </c>
      <c r="E188" s="448">
        <f t="shared" ref="E188:E200" si="20">D188-C188</f>
        <v>-2029401</v>
      </c>
      <c r="F188" s="449">
        <f t="shared" ref="F188:F200" si="21">IF(C188=0,0,E188/C188)</f>
        <v>-2.6342522694713353E-2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638</v>
      </c>
      <c r="C189" s="448">
        <f>C119+C154</f>
        <v>20818595</v>
      </c>
      <c r="D189" s="448">
        <f>LN_1D2+LN_IE2</f>
        <v>15613206</v>
      </c>
      <c r="E189" s="448">
        <f t="shared" si="20"/>
        <v>-5205389</v>
      </c>
      <c r="F189" s="449">
        <f t="shared" si="21"/>
        <v>-0.25003555715455344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639</v>
      </c>
      <c r="C190" s="453">
        <f>IF(C188=0,0,C189/C188)</f>
        <v>0.27023457229968151</v>
      </c>
      <c r="D190" s="453">
        <f>IF(LN_IF1=0,0,LN_IF2/LN_IF1)</f>
        <v>0.20814950347139677</v>
      </c>
      <c r="E190" s="454">
        <f t="shared" si="20"/>
        <v>-6.208506882828474E-2</v>
      </c>
      <c r="F190" s="449">
        <f t="shared" si="21"/>
        <v>-0.22974509996979359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3042</v>
      </c>
      <c r="D191" s="456">
        <f>LN_ID4+LN_IE4</f>
        <v>2803</v>
      </c>
      <c r="E191" s="456">
        <f t="shared" si="20"/>
        <v>-239</v>
      </c>
      <c r="F191" s="449">
        <f t="shared" si="21"/>
        <v>-7.8566732412886253E-2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640</v>
      </c>
      <c r="C192" s="459">
        <f>IF((C121+C156)=0,0,(C123+C158)/(C121+C156))</f>
        <v>0.93919921104536486</v>
      </c>
      <c r="D192" s="459">
        <f>IF((LN_ID4+LN_IE4)=0,0,(LN_ID6+LN_IE6)/(LN_ID4+LN_IE4))</f>
        <v>0.95943041027470577</v>
      </c>
      <c r="E192" s="460">
        <f t="shared" si="20"/>
        <v>2.0231199229340913E-2</v>
      </c>
      <c r="F192" s="449">
        <f t="shared" si="21"/>
        <v>2.1540903134727733E-2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641</v>
      </c>
      <c r="C193" s="463">
        <f>C123+C158</f>
        <v>2857.0439999999999</v>
      </c>
      <c r="D193" s="463">
        <f>LN_IF4*LN_IF5</f>
        <v>2689.2834400000002</v>
      </c>
      <c r="E193" s="463">
        <f t="shared" si="20"/>
        <v>-167.76055999999971</v>
      </c>
      <c r="F193" s="449">
        <f t="shared" si="21"/>
        <v>-5.8718227650676615E-2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642</v>
      </c>
      <c r="C194" s="465">
        <f>IF(C193=0,0,C189/C193)</f>
        <v>7286.7603719088684</v>
      </c>
      <c r="D194" s="465">
        <f>IF(LN_IF6=0,0,LN_IF2/LN_IF6)</f>
        <v>5805.7123201561826</v>
      </c>
      <c r="E194" s="465">
        <f t="shared" si="20"/>
        <v>-1481.0480517526858</v>
      </c>
      <c r="F194" s="449">
        <f t="shared" si="21"/>
        <v>-0.20325192213843923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698</v>
      </c>
      <c r="C195" s="465">
        <f>C48-C194</f>
        <v>5671.5716441594768</v>
      </c>
      <c r="D195" s="465">
        <f>LN_IB7-LN_IF7</f>
        <v>8503.9066863888111</v>
      </c>
      <c r="E195" s="465">
        <f t="shared" si="20"/>
        <v>2832.3350422293342</v>
      </c>
      <c r="F195" s="449">
        <f t="shared" si="21"/>
        <v>0.49939156550125613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699</v>
      </c>
      <c r="C196" s="465">
        <f>C21-C194</f>
        <v>1893.3572168456021</v>
      </c>
      <c r="D196" s="465">
        <f>LN_IA7-LN_IF7</f>
        <v>3613.3255736711908</v>
      </c>
      <c r="E196" s="465">
        <f t="shared" si="20"/>
        <v>1719.9683568255887</v>
      </c>
      <c r="F196" s="449">
        <f t="shared" si="21"/>
        <v>0.90842253195681411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659</v>
      </c>
      <c r="C197" s="479">
        <f>C127+C162</f>
        <v>5409404.8762454251</v>
      </c>
      <c r="D197" s="479">
        <f>LN_IF9*LN_IF6</f>
        <v>9717256.6286024339</v>
      </c>
      <c r="E197" s="479">
        <f t="shared" si="20"/>
        <v>4307851.7523570089</v>
      </c>
      <c r="F197" s="449">
        <f t="shared" si="21"/>
        <v>0.79636334327169367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11806</v>
      </c>
      <c r="D198" s="456">
        <f>LN_ID11+LN_IE11</f>
        <v>11027</v>
      </c>
      <c r="E198" s="456">
        <f t="shared" si="20"/>
        <v>-779</v>
      </c>
      <c r="F198" s="449">
        <f t="shared" si="21"/>
        <v>-6.598339827206505E-2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643</v>
      </c>
      <c r="C199" s="519">
        <f>IF(C198=0,0,C189/C198)</f>
        <v>1763.3910723361003</v>
      </c>
      <c r="D199" s="519">
        <f>IF(LN_IF11=0,0,LN_IF2/LN_IF11)</f>
        <v>1415.9069556543031</v>
      </c>
      <c r="E199" s="519">
        <f t="shared" si="20"/>
        <v>-347.4841166817971</v>
      </c>
      <c r="F199" s="449">
        <f t="shared" si="21"/>
        <v>-0.19705448333786679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644</v>
      </c>
      <c r="C200" s="466">
        <f>IF(C191=0,0,C198/C191)</f>
        <v>3.880999342537804</v>
      </c>
      <c r="D200" s="466">
        <f>IF(LN_IF4=0,0,LN_IF11/LN_IF4)</f>
        <v>3.9339992864787727</v>
      </c>
      <c r="E200" s="466">
        <f t="shared" si="20"/>
        <v>5.2999943940968741E-2</v>
      </c>
      <c r="F200" s="449">
        <f t="shared" si="21"/>
        <v>1.3656262025108157E-2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700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646</v>
      </c>
      <c r="C203" s="448">
        <f>C133+C168</f>
        <v>58037416</v>
      </c>
      <c r="D203" s="448">
        <f>LN_ID14+LN_IE14</f>
        <v>70109135</v>
      </c>
      <c r="E203" s="448">
        <f t="shared" ref="E203:E211" si="22">D203-C203</f>
        <v>12071719</v>
      </c>
      <c r="F203" s="449">
        <f t="shared" ref="F203:F211" si="23">IF(C203=0,0,E203/C203)</f>
        <v>0.20799890539578814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647</v>
      </c>
      <c r="C204" s="448">
        <f>C134+C169</f>
        <v>15422987</v>
      </c>
      <c r="D204" s="448">
        <f>LN_ID15+LN_IE15</f>
        <v>17567940</v>
      </c>
      <c r="E204" s="448">
        <f t="shared" si="22"/>
        <v>2144953</v>
      </c>
      <c r="F204" s="449">
        <f t="shared" si="23"/>
        <v>0.13907507021823984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648</v>
      </c>
      <c r="C205" s="453">
        <f>IF(C203=0,0,C204/C203)</f>
        <v>0.26574213779607281</v>
      </c>
      <c r="D205" s="453">
        <f>IF(LN_IF14=0,0,LN_IF15/LN_IF14)</f>
        <v>0.25057989946673853</v>
      </c>
      <c r="E205" s="454">
        <f t="shared" si="22"/>
        <v>-1.5162238329334277E-2</v>
      </c>
      <c r="F205" s="449">
        <f t="shared" si="23"/>
        <v>-5.7056206648603044E-2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649</v>
      </c>
      <c r="C206" s="453">
        <f>IF(C188=0,0,C203/C188)</f>
        <v>0.75335133279352862</v>
      </c>
      <c r="D206" s="453">
        <f>IF(LN_IF1=0,0,LN_IF14/LN_IF1)</f>
        <v>0.93466912811238922</v>
      </c>
      <c r="E206" s="454">
        <f t="shared" si="22"/>
        <v>0.18131779531886061</v>
      </c>
      <c r="F206" s="449">
        <f t="shared" si="23"/>
        <v>0.2406815882922908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650</v>
      </c>
      <c r="C207" s="463">
        <f>C137+C172</f>
        <v>2294.3409008295753</v>
      </c>
      <c r="D207" s="463">
        <f>LN_ID18+LN_IE18</f>
        <v>2619.7523735778718</v>
      </c>
      <c r="E207" s="463">
        <f t="shared" si="22"/>
        <v>325.41147274829655</v>
      </c>
      <c r="F207" s="449">
        <f t="shared" si="23"/>
        <v>0.14183222407386628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651</v>
      </c>
      <c r="C208" s="465">
        <f>IF(C207=0,0,C204/C207)</f>
        <v>6722.1863126022117</v>
      </c>
      <c r="D208" s="465">
        <f>IF(LN_IF18=0,0,LN_IF15/LN_IF18)</f>
        <v>6705.9544166027245</v>
      </c>
      <c r="E208" s="465">
        <f t="shared" si="22"/>
        <v>-16.231895999487278</v>
      </c>
      <c r="F208" s="449">
        <f t="shared" si="23"/>
        <v>-2.4146751138178113E-3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701</v>
      </c>
      <c r="C209" s="465">
        <f>C61-C208</f>
        <v>5875.3266964474724</v>
      </c>
      <c r="D209" s="465">
        <f>LN_IB18-LN_IF19</f>
        <v>6822.3528371269513</v>
      </c>
      <c r="E209" s="465">
        <f t="shared" si="22"/>
        <v>947.02614067947889</v>
      </c>
      <c r="F209" s="449">
        <f t="shared" si="23"/>
        <v>0.16118697556888201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702</v>
      </c>
      <c r="C210" s="465">
        <f>C32-C208</f>
        <v>417.34781954970458</v>
      </c>
      <c r="D210" s="465">
        <f>LN_IA16-LN_IF19</f>
        <v>2576.5309923721943</v>
      </c>
      <c r="E210" s="465">
        <f t="shared" si="22"/>
        <v>2159.1831728224897</v>
      </c>
      <c r="F210" s="449">
        <f t="shared" si="23"/>
        <v>5.1735820140431787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662</v>
      </c>
      <c r="C211" s="479">
        <f>C141+C176</f>
        <v>957538.17226492497</v>
      </c>
      <c r="D211" s="441">
        <f>LN_IF21*LN_IF18</f>
        <v>6749873.1828640057</v>
      </c>
      <c r="E211" s="441">
        <f t="shared" si="22"/>
        <v>5792335.0105990805</v>
      </c>
      <c r="F211" s="449">
        <f t="shared" si="23"/>
        <v>6.0491948815973657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703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653</v>
      </c>
      <c r="C214" s="448">
        <f>C188+C203</f>
        <v>135076393</v>
      </c>
      <c r="D214" s="448">
        <f>LN_IF1+LN_IF14</f>
        <v>145118711</v>
      </c>
      <c r="E214" s="448">
        <f>D214-C214</f>
        <v>10042318</v>
      </c>
      <c r="F214" s="449">
        <f>IF(C214=0,0,E214/C214)</f>
        <v>7.4345470566422364E-2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654</v>
      </c>
      <c r="C215" s="448">
        <f>C189+C204</f>
        <v>36241582</v>
      </c>
      <c r="D215" s="448">
        <f>LN_IF2+LN_IF15</f>
        <v>33181146</v>
      </c>
      <c r="E215" s="448">
        <f>D215-C215</f>
        <v>-3060436</v>
      </c>
      <c r="F215" s="449">
        <f>IF(C215=0,0,E215/C215)</f>
        <v>-8.4445430665802609E-2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655</v>
      </c>
      <c r="C216" s="448">
        <f>C214-C215</f>
        <v>98834811</v>
      </c>
      <c r="D216" s="448">
        <f>LN_IF23-LN_IF24</f>
        <v>111937565</v>
      </c>
      <c r="E216" s="448">
        <f>D216-C216</f>
        <v>13102754</v>
      </c>
      <c r="F216" s="449">
        <f>IF(C216=0,0,E216/C216)</f>
        <v>0.13257225735980818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704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705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637</v>
      </c>
      <c r="C221" s="448">
        <v>518914</v>
      </c>
      <c r="D221" s="448">
        <v>477701</v>
      </c>
      <c r="E221" s="448">
        <f t="shared" ref="E221:E230" si="24">D221-C221</f>
        <v>-41213</v>
      </c>
      <c r="F221" s="449">
        <f t="shared" ref="F221:F230" si="25">IF(C221=0,0,E221/C221)</f>
        <v>-7.942163826761274E-2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638</v>
      </c>
      <c r="C222" s="448">
        <v>104982</v>
      </c>
      <c r="D222" s="448">
        <v>166560</v>
      </c>
      <c r="E222" s="448">
        <f t="shared" si="24"/>
        <v>61578</v>
      </c>
      <c r="F222" s="449">
        <f t="shared" si="25"/>
        <v>0.58655769560496085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639</v>
      </c>
      <c r="C223" s="453">
        <f>IF(C221=0,0,C222/C221)</f>
        <v>0.2023109802395002</v>
      </c>
      <c r="D223" s="453">
        <f>IF(LN_IG1=0,0,LN_IG2/LN_IG1)</f>
        <v>0.34866998394393145</v>
      </c>
      <c r="E223" s="454">
        <f t="shared" si="24"/>
        <v>0.14635900370443125</v>
      </c>
      <c r="F223" s="449">
        <f t="shared" si="25"/>
        <v>0.72343578945229881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15</v>
      </c>
      <c r="D224" s="456">
        <v>16</v>
      </c>
      <c r="E224" s="456">
        <f t="shared" si="24"/>
        <v>1</v>
      </c>
      <c r="F224" s="449">
        <f t="shared" si="25"/>
        <v>6.6666666666666666E-2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640</v>
      </c>
      <c r="C225" s="459">
        <v>0.84589999999999999</v>
      </c>
      <c r="D225" s="459">
        <v>1.5285</v>
      </c>
      <c r="E225" s="460">
        <f t="shared" si="24"/>
        <v>0.68259999999999998</v>
      </c>
      <c r="F225" s="449">
        <f t="shared" si="25"/>
        <v>0.80695117626196955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641</v>
      </c>
      <c r="C226" s="463">
        <f>C224*C225</f>
        <v>12.688499999999999</v>
      </c>
      <c r="D226" s="463">
        <f>LN_IG3*LN_IG4</f>
        <v>24.456</v>
      </c>
      <c r="E226" s="463">
        <f t="shared" si="24"/>
        <v>11.7675</v>
      </c>
      <c r="F226" s="449">
        <f t="shared" si="25"/>
        <v>0.92741458801276755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642</v>
      </c>
      <c r="C227" s="465">
        <f>IF(C226=0,0,C222/C226)</f>
        <v>8273.7912282775742</v>
      </c>
      <c r="D227" s="465">
        <f>IF(LN_IG5=0,0,LN_IG2/LN_IG5)</f>
        <v>6810.5986261040234</v>
      </c>
      <c r="E227" s="465">
        <f t="shared" si="24"/>
        <v>-1463.1926021735508</v>
      </c>
      <c r="F227" s="449">
        <f t="shared" si="25"/>
        <v>-0.17684669117257337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68</v>
      </c>
      <c r="D228" s="456">
        <v>51</v>
      </c>
      <c r="E228" s="456">
        <f t="shared" si="24"/>
        <v>-17</v>
      </c>
      <c r="F228" s="449">
        <f t="shared" si="25"/>
        <v>-0.25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643</v>
      </c>
      <c r="C229" s="465">
        <f>IF(C228=0,0,C222/C228)</f>
        <v>1543.8529411764705</v>
      </c>
      <c r="D229" s="465">
        <f>IF(LN_IG6=0,0,LN_IG2/LN_IG6)</f>
        <v>3265.8823529411766</v>
      </c>
      <c r="E229" s="465">
        <f t="shared" si="24"/>
        <v>1722.0294117647061</v>
      </c>
      <c r="F229" s="449">
        <f t="shared" si="25"/>
        <v>1.1154102608066148</v>
      </c>
      <c r="Q229" s="421"/>
      <c r="U229" s="462"/>
    </row>
    <row r="230" spans="1:21" ht="15.75" customHeight="1" x14ac:dyDescent="0.2">
      <c r="A230" s="451">
        <v>10</v>
      </c>
      <c r="B230" s="447" t="s">
        <v>644</v>
      </c>
      <c r="C230" s="466">
        <f>IF(C224=0,0,C228/C224)</f>
        <v>4.5333333333333332</v>
      </c>
      <c r="D230" s="466">
        <f>IF(LN_IG3=0,0,LN_IG6/LN_IG3)</f>
        <v>3.1875</v>
      </c>
      <c r="E230" s="466">
        <f t="shared" si="24"/>
        <v>-1.3458333333333332</v>
      </c>
      <c r="F230" s="449">
        <f t="shared" si="25"/>
        <v>-0.296875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706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646</v>
      </c>
      <c r="C233" s="448">
        <v>394920</v>
      </c>
      <c r="D233" s="448">
        <v>325124</v>
      </c>
      <c r="E233" s="448">
        <f>D233-C233</f>
        <v>-69796</v>
      </c>
      <c r="F233" s="449">
        <f>IF(C233=0,0,E233/C233)</f>
        <v>-0.17673452851210372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647</v>
      </c>
      <c r="C234" s="448">
        <v>59947</v>
      </c>
      <c r="D234" s="448">
        <v>56187</v>
      </c>
      <c r="E234" s="448">
        <f>D234-C234</f>
        <v>-3760</v>
      </c>
      <c r="F234" s="449">
        <f>IF(C234=0,0,E234/C234)</f>
        <v>-6.2722071162860521E-2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707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653</v>
      </c>
      <c r="C237" s="448">
        <f>C221+C233</f>
        <v>913834</v>
      </c>
      <c r="D237" s="448">
        <f>LN_IG1+LN_IG9</f>
        <v>802825</v>
      </c>
      <c r="E237" s="448">
        <f>D237-C237</f>
        <v>-111009</v>
      </c>
      <c r="F237" s="449">
        <f>IF(C237=0,0,E237/C237)</f>
        <v>-0.1214761105408641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654</v>
      </c>
      <c r="C238" s="448">
        <f>C222+C234</f>
        <v>164929</v>
      </c>
      <c r="D238" s="448">
        <f>LN_IG2+LN_IG10</f>
        <v>222747</v>
      </c>
      <c r="E238" s="448">
        <f>D238-C238</f>
        <v>57818</v>
      </c>
      <c r="F238" s="449">
        <f>IF(C238=0,0,E238/C238)</f>
        <v>0.35056296952021782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655</v>
      </c>
      <c r="C239" s="448">
        <f>C237-C238</f>
        <v>748905</v>
      </c>
      <c r="D239" s="448">
        <f>LN_IG13-LN_IG14</f>
        <v>580078</v>
      </c>
      <c r="E239" s="448">
        <f>D239-C239</f>
        <v>-168827</v>
      </c>
      <c r="F239" s="449">
        <f>IF(C239=0,0,E239/C239)</f>
        <v>-0.22543179709041869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708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709</v>
      </c>
      <c r="C243" s="448">
        <v>20310592</v>
      </c>
      <c r="D243" s="448">
        <v>16843048</v>
      </c>
      <c r="E243" s="441">
        <f>D243-C243</f>
        <v>-3467544</v>
      </c>
      <c r="F243" s="503">
        <f>IF(C243=0,0,E243/C243)</f>
        <v>-0.1707258951388517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710</v>
      </c>
      <c r="C244" s="448">
        <v>361951445</v>
      </c>
      <c r="D244" s="448">
        <v>338981125</v>
      </c>
      <c r="E244" s="441">
        <f>D244-C244</f>
        <v>-22970320</v>
      </c>
      <c r="F244" s="503">
        <f>IF(C244=0,0,E244/C244)</f>
        <v>-6.3462434857802549E-2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711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712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713</v>
      </c>
      <c r="C248" s="441">
        <v>17929000</v>
      </c>
      <c r="D248" s="441">
        <v>18272000</v>
      </c>
      <c r="E248" s="441">
        <f>D248-C248</f>
        <v>343000</v>
      </c>
      <c r="F248" s="449">
        <f>IF(C248=0,0,E248/C248)</f>
        <v>1.9131016788443304E-2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714</v>
      </c>
      <c r="C249" s="441">
        <v>23530477</v>
      </c>
      <c r="D249" s="441">
        <v>17836044</v>
      </c>
      <c r="E249" s="441">
        <f>D249-C249</f>
        <v>-5694433</v>
      </c>
      <c r="F249" s="449">
        <f>IF(C249=0,0,E249/C249)</f>
        <v>-0.24200244644424335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715</v>
      </c>
      <c r="C250" s="441">
        <f>C248+C249</f>
        <v>41459477</v>
      </c>
      <c r="D250" s="441">
        <f>LN_IH4+LN_IH5</f>
        <v>36108044</v>
      </c>
      <c r="E250" s="441">
        <f>D250-C250</f>
        <v>-5351433</v>
      </c>
      <c r="F250" s="449">
        <f>IF(C250=0,0,E250/C250)</f>
        <v>-0.12907623026696646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716</v>
      </c>
      <c r="C251" s="441">
        <f>C250*C313</f>
        <v>14412817.048669579</v>
      </c>
      <c r="D251" s="441">
        <f>LN_IH6*LN_III10</f>
        <v>12667408.903983355</v>
      </c>
      <c r="E251" s="441">
        <f>D251-C251</f>
        <v>-1745408.1446862239</v>
      </c>
      <c r="F251" s="449">
        <f>IF(C251=0,0,E251/C251)</f>
        <v>-0.12110111012942744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717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653</v>
      </c>
      <c r="C254" s="441">
        <f>C188+C203</f>
        <v>135076393</v>
      </c>
      <c r="D254" s="441">
        <f>LN_IF23</f>
        <v>145118711</v>
      </c>
      <c r="E254" s="441">
        <f>D254-C254</f>
        <v>10042318</v>
      </c>
      <c r="F254" s="449">
        <f>IF(C254=0,0,E254/C254)</f>
        <v>7.4345470566422364E-2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654</v>
      </c>
      <c r="C255" s="441">
        <f>C189+C204</f>
        <v>36241582</v>
      </c>
      <c r="D255" s="441">
        <f>LN_IF24</f>
        <v>33181146</v>
      </c>
      <c r="E255" s="441">
        <f>D255-C255</f>
        <v>-3060436</v>
      </c>
      <c r="F255" s="449">
        <f>IF(C255=0,0,E255/C255)</f>
        <v>-8.4445430665802609E-2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718</v>
      </c>
      <c r="C256" s="441">
        <f>C254*C313</f>
        <v>46957450.522185601</v>
      </c>
      <c r="D256" s="441">
        <f>LN_IH8*LN_III10</f>
        <v>50910485.537682049</v>
      </c>
      <c r="E256" s="441">
        <f>D256-C256</f>
        <v>3953035.0154964477</v>
      </c>
      <c r="F256" s="449">
        <f>IF(C256=0,0,E256/C256)</f>
        <v>8.4183339843563049E-2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719</v>
      </c>
      <c r="C257" s="441">
        <f>C256-C255</f>
        <v>10715868.522185601</v>
      </c>
      <c r="D257" s="441">
        <f>LN_IH10-LN_IH9</f>
        <v>17729339.537682049</v>
      </c>
      <c r="E257" s="441">
        <f>D257-C257</f>
        <v>7013471.0154964477</v>
      </c>
      <c r="F257" s="449">
        <f>IF(C257=0,0,E257/C257)</f>
        <v>0.65449394054957899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720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721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473961549</v>
      </c>
      <c r="D261" s="448">
        <f>LN_IA1+LN_IB1+LN_IF1+LN_IG1</f>
        <v>451063513</v>
      </c>
      <c r="E261" s="448">
        <f t="shared" ref="E261:E274" si="26">D261-C261</f>
        <v>-22898036</v>
      </c>
      <c r="F261" s="503">
        <f t="shared" ref="F261:F274" si="27">IF(C261=0,0,E261/C261)</f>
        <v>-4.8312011909641218E-2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172234349</v>
      </c>
      <c r="D262" s="448">
        <f>+LN_IA2+LN_IB2+LN_IF2+LN_IG2</f>
        <v>163437226</v>
      </c>
      <c r="E262" s="448">
        <f t="shared" si="26"/>
        <v>-8797123</v>
      </c>
      <c r="F262" s="503">
        <f t="shared" si="27"/>
        <v>-5.1076472556586261E-2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722</v>
      </c>
      <c r="C263" s="453">
        <f>IF(C261=0,0,C262/C261)</f>
        <v>0.36339308402420634</v>
      </c>
      <c r="D263" s="453">
        <f>IF(LN_IIA1=0,0,LN_IIA2/LN_IIA1)</f>
        <v>0.36233750079448346</v>
      </c>
      <c r="E263" s="454">
        <f t="shared" si="26"/>
        <v>-1.0555832297228784E-3</v>
      </c>
      <c r="F263" s="458">
        <f t="shared" si="27"/>
        <v>-2.9047972460933351E-3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15003</v>
      </c>
      <c r="D264" s="456">
        <f>LN_IA4+LN_IB4+LN_IF4+LN_IG3</f>
        <v>13045</v>
      </c>
      <c r="E264" s="456">
        <f t="shared" si="26"/>
        <v>-1958</v>
      </c>
      <c r="F264" s="503">
        <f t="shared" si="27"/>
        <v>-0.13050723188695595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723</v>
      </c>
      <c r="C265" s="525">
        <f>IF(C264=0,0,C266/C264)</f>
        <v>1.1303147770445909</v>
      </c>
      <c r="D265" s="525">
        <f>IF(LN_IIA4=0,0,LN_IIA6/LN_IIA4)</f>
        <v>1.1997942384055194</v>
      </c>
      <c r="E265" s="525">
        <f t="shared" si="26"/>
        <v>6.9479461360928418E-2</v>
      </c>
      <c r="F265" s="503">
        <f t="shared" si="27"/>
        <v>6.1469125921360446E-2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724</v>
      </c>
      <c r="C266" s="463">
        <f>C20+C47+C193+C226</f>
        <v>16958.112599999997</v>
      </c>
      <c r="D266" s="463">
        <f>LN_IA6+LN_IB6+LN_IF6+LN_IG5</f>
        <v>15651.315840000001</v>
      </c>
      <c r="E266" s="463">
        <f t="shared" si="26"/>
        <v>-1306.7967599999956</v>
      </c>
      <c r="F266" s="503">
        <f t="shared" si="27"/>
        <v>-7.7060271436102848E-2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434996813</v>
      </c>
      <c r="D267" s="448">
        <f>LN_IA11+LN_IB13+LN_IF14+LN_IG9</f>
        <v>462331270</v>
      </c>
      <c r="E267" s="448">
        <f t="shared" si="26"/>
        <v>27334457</v>
      </c>
      <c r="F267" s="503">
        <f t="shared" si="27"/>
        <v>6.2838292564685982E-2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649</v>
      </c>
      <c r="C268" s="453">
        <f>IF(C261=0,0,C267/C261)</f>
        <v>0.91778924665469008</v>
      </c>
      <c r="D268" s="453">
        <f>IF(LN_IIA1=0,0,LN_IIA7/LN_IIA1)</f>
        <v>1.0249804222138446</v>
      </c>
      <c r="E268" s="454">
        <f t="shared" si="26"/>
        <v>0.10719117555915447</v>
      </c>
      <c r="F268" s="458">
        <f t="shared" si="27"/>
        <v>0.1167927995995405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163296718</v>
      </c>
      <c r="D269" s="448">
        <f>LN_IA12+LN_IB14+LN_IF15+LN_IG10</f>
        <v>172458813</v>
      </c>
      <c r="E269" s="448">
        <f t="shared" si="26"/>
        <v>9162095</v>
      </c>
      <c r="F269" s="503">
        <f t="shared" si="27"/>
        <v>5.6107037007320622E-2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648</v>
      </c>
      <c r="C270" s="453">
        <f>IF(C267=0,0,C269/C267)</f>
        <v>0.3753975043490721</v>
      </c>
      <c r="D270" s="453">
        <f>IF(LN_IIA7=0,0,LN_IIA9/LN_IIA7)</f>
        <v>0.37302000576339989</v>
      </c>
      <c r="E270" s="454">
        <f t="shared" si="26"/>
        <v>-2.3774985856722108E-3</v>
      </c>
      <c r="F270" s="458">
        <f t="shared" si="27"/>
        <v>-6.3332828751611475E-3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725</v>
      </c>
      <c r="C271" s="441">
        <f>C261+C267</f>
        <v>908958362</v>
      </c>
      <c r="D271" s="441">
        <f>LN_IIA1+LN_IIA7</f>
        <v>913394783</v>
      </c>
      <c r="E271" s="441">
        <f t="shared" si="26"/>
        <v>4436421</v>
      </c>
      <c r="F271" s="503">
        <f t="shared" si="27"/>
        <v>4.8807747257404071E-3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726</v>
      </c>
      <c r="C272" s="441">
        <f>C262+C269</f>
        <v>335531067</v>
      </c>
      <c r="D272" s="441">
        <f>LN_IIA2+LN_IIA9</f>
        <v>335896039</v>
      </c>
      <c r="E272" s="441">
        <f t="shared" si="26"/>
        <v>364972</v>
      </c>
      <c r="F272" s="503">
        <f t="shared" si="27"/>
        <v>1.0877442833035786E-3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727</v>
      </c>
      <c r="C273" s="453">
        <f>IF(C271=0,0,C272/C271)</f>
        <v>0.36913799468407332</v>
      </c>
      <c r="D273" s="453">
        <f>IF(LN_IIA11=0,0,LN_IIA12/LN_IIA11)</f>
        <v>0.36774464366521348</v>
      </c>
      <c r="E273" s="454">
        <f t="shared" si="26"/>
        <v>-1.3933510188598452E-3</v>
      </c>
      <c r="F273" s="458">
        <f t="shared" si="27"/>
        <v>-3.7746074338740028E-3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67341</v>
      </c>
      <c r="D274" s="508">
        <f>LN_IA8+LN_IB10+LN_IF11+LN_IG6</f>
        <v>59611</v>
      </c>
      <c r="E274" s="528">
        <f t="shared" si="26"/>
        <v>-7730</v>
      </c>
      <c r="F274" s="458">
        <f t="shared" si="27"/>
        <v>-0.11478891017359409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728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729</v>
      </c>
      <c r="C277" s="448">
        <f>C15+C188+C221</f>
        <v>327514796</v>
      </c>
      <c r="D277" s="448">
        <f>LN_IA1+LN_IF1+LN_IG1</f>
        <v>318634218</v>
      </c>
      <c r="E277" s="448">
        <f t="shared" ref="E277:E291" si="28">D277-C277</f>
        <v>-8880578</v>
      </c>
      <c r="F277" s="503">
        <f t="shared" ref="F277:F291" si="29">IF(C277=0,0,E277/C277)</f>
        <v>-2.7115043681873841E-2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730</v>
      </c>
      <c r="C278" s="448">
        <f>C16+C189+C222</f>
        <v>96856031</v>
      </c>
      <c r="D278" s="448">
        <f>LN_IA2+LN_IF2+LN_IG2</f>
        <v>87953628</v>
      </c>
      <c r="E278" s="448">
        <f t="shared" si="28"/>
        <v>-8902403</v>
      </c>
      <c r="F278" s="503">
        <f t="shared" si="29"/>
        <v>-9.1913770449668752E-2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731</v>
      </c>
      <c r="C279" s="453">
        <f>IF(C277=0,0,C278/C277)</f>
        <v>0.29573024542072901</v>
      </c>
      <c r="D279" s="453">
        <f>IF(D277=0,0,LN_IIB2/D277)</f>
        <v>0.2760332162442139</v>
      </c>
      <c r="E279" s="454">
        <f t="shared" si="28"/>
        <v>-1.9697029176515113E-2</v>
      </c>
      <c r="F279" s="458">
        <f t="shared" si="29"/>
        <v>-6.6604716566925973E-2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732</v>
      </c>
      <c r="C280" s="456">
        <f>C18+C191+C224</f>
        <v>9204</v>
      </c>
      <c r="D280" s="456">
        <f>LN_IA4+LN_IF4+LN_IG3</f>
        <v>8138</v>
      </c>
      <c r="E280" s="456">
        <f t="shared" si="28"/>
        <v>-1066</v>
      </c>
      <c r="F280" s="503">
        <f t="shared" si="29"/>
        <v>-0.11581920903954802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733</v>
      </c>
      <c r="C281" s="525">
        <f>IF(C280=0,0,C282/C280)</f>
        <v>1.2104667209908735</v>
      </c>
      <c r="D281" s="525">
        <f>IF(LN_IIB4=0,0,LN_IIB6/LN_IIB4)</f>
        <v>1.2750418825264191</v>
      </c>
      <c r="E281" s="525">
        <f t="shared" si="28"/>
        <v>6.4575161535545655E-2</v>
      </c>
      <c r="F281" s="503">
        <f t="shared" si="29"/>
        <v>5.3347324974523221E-2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734</v>
      </c>
      <c r="C282" s="463">
        <f>C20+C193+C226</f>
        <v>11141.135699999999</v>
      </c>
      <c r="D282" s="463">
        <f>LN_IA6+LN_IF6+LN_IG5</f>
        <v>10376.29084</v>
      </c>
      <c r="E282" s="463">
        <f t="shared" si="28"/>
        <v>-764.84485999999924</v>
      </c>
      <c r="F282" s="503">
        <f t="shared" si="29"/>
        <v>-6.8650529047949688E-2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735</v>
      </c>
      <c r="C283" s="448">
        <f>C27+C203+C233</f>
        <v>182265741</v>
      </c>
      <c r="D283" s="448">
        <f>LN_IA11+LN_IF14+LN_IG9</f>
        <v>209975813</v>
      </c>
      <c r="E283" s="448">
        <f t="shared" si="28"/>
        <v>27710072</v>
      </c>
      <c r="F283" s="503">
        <f t="shared" si="29"/>
        <v>0.1520311598217462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736</v>
      </c>
      <c r="C284" s="453">
        <f>IF(C277=0,0,C283/C277)</f>
        <v>0.55651147131685619</v>
      </c>
      <c r="D284" s="453">
        <f>IF(D277=0,0,LN_IIB7/D277)</f>
        <v>0.65898701752113764</v>
      </c>
      <c r="E284" s="454">
        <f t="shared" si="28"/>
        <v>0.10247554620428145</v>
      </c>
      <c r="F284" s="458">
        <f t="shared" si="29"/>
        <v>0.18413914444889462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737</v>
      </c>
      <c r="C285" s="448">
        <f>C28+C204+C234</f>
        <v>37225248</v>
      </c>
      <c r="D285" s="448">
        <f>LN_IA12+LN_IF15+LN_IG10</f>
        <v>45959505</v>
      </c>
      <c r="E285" s="448">
        <f t="shared" si="28"/>
        <v>8734257</v>
      </c>
      <c r="F285" s="503">
        <f t="shared" si="29"/>
        <v>0.23463260741741734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738</v>
      </c>
      <c r="C286" s="453">
        <f>IF(C283=0,0,C285/C283)</f>
        <v>0.20423612136742691</v>
      </c>
      <c r="D286" s="453">
        <f>IF(LN_IIB7=0,0,LN_IIB9/LN_IIB7)</f>
        <v>0.21887999547833636</v>
      </c>
      <c r="E286" s="454">
        <f t="shared" si="28"/>
        <v>1.4643874110909449E-2</v>
      </c>
      <c r="F286" s="458">
        <f t="shared" si="29"/>
        <v>7.1700706088932628E-2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739</v>
      </c>
      <c r="C287" s="441">
        <f>C277+C283</f>
        <v>509780537</v>
      </c>
      <c r="D287" s="441">
        <f>D277+LN_IIB7</f>
        <v>528610031</v>
      </c>
      <c r="E287" s="441">
        <f t="shared" si="28"/>
        <v>18829494</v>
      </c>
      <c r="F287" s="503">
        <f t="shared" si="29"/>
        <v>3.6936470958286116E-2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740</v>
      </c>
      <c r="C288" s="441">
        <f>C278+C285</f>
        <v>134081279</v>
      </c>
      <c r="D288" s="441">
        <f>LN_IIB2+LN_IIB9</f>
        <v>133913133</v>
      </c>
      <c r="E288" s="441">
        <f t="shared" si="28"/>
        <v>-168146</v>
      </c>
      <c r="F288" s="503">
        <f t="shared" si="29"/>
        <v>-1.2540602331217322E-3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741</v>
      </c>
      <c r="C289" s="453">
        <f>IF(C287=0,0,C288/C287)</f>
        <v>0.26301765027957513</v>
      </c>
      <c r="D289" s="453">
        <f>IF(LN_IIB11=0,0,LN_IIB12/LN_IIB11)</f>
        <v>0.25333066939094845</v>
      </c>
      <c r="E289" s="454">
        <f t="shared" si="28"/>
        <v>-9.6869808886266839E-3</v>
      </c>
      <c r="F289" s="458">
        <f t="shared" si="29"/>
        <v>-3.6830155232281517E-2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47130</v>
      </c>
      <c r="D290" s="508">
        <f>LN_IA8+LN_IF11+LN_IG6</f>
        <v>42455</v>
      </c>
      <c r="E290" s="528">
        <f t="shared" si="28"/>
        <v>-4675</v>
      </c>
      <c r="F290" s="458">
        <f t="shared" si="29"/>
        <v>-9.9193719499257371E-2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742</v>
      </c>
      <c r="C291" s="448">
        <f>C287-C288</f>
        <v>375699258</v>
      </c>
      <c r="D291" s="516">
        <f>LN_IIB11-LN_IIB12</f>
        <v>394696898</v>
      </c>
      <c r="E291" s="441">
        <f t="shared" si="28"/>
        <v>18997640</v>
      </c>
      <c r="F291" s="503">
        <f t="shared" si="29"/>
        <v>5.0566083364476593E-2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644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635</v>
      </c>
      <c r="C294" s="466">
        <f>IF(C18=0,0,C22/C18)</f>
        <v>5.7354807223035627</v>
      </c>
      <c r="D294" s="466">
        <f>IF(LN_IA4=0,0,LN_IA8/LN_IA4)</f>
        <v>5.899041173152848</v>
      </c>
      <c r="E294" s="466">
        <f t="shared" ref="E294:E300" si="30">D294-C294</f>
        <v>0.16356045084928539</v>
      </c>
      <c r="F294" s="503">
        <f t="shared" ref="F294:F300" si="31">IF(C294=0,0,E294/C294)</f>
        <v>2.8517304611145829E-2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656</v>
      </c>
      <c r="C295" s="466">
        <f>IF(C45=0,0,C51/C45)</f>
        <v>3.4852560786342472</v>
      </c>
      <c r="D295" s="466">
        <f>IF(LN_IB4=0,0,(LN_IB10)/(LN_IB4))</f>
        <v>3.496229875687793</v>
      </c>
      <c r="E295" s="466">
        <f t="shared" si="30"/>
        <v>1.0973797053545731E-2</v>
      </c>
      <c r="F295" s="503">
        <f t="shared" si="31"/>
        <v>3.1486343631444112E-3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671</v>
      </c>
      <c r="C296" s="466">
        <f>IF(C86=0,0,C93/C86)</f>
        <v>3.161048689138577</v>
      </c>
      <c r="D296" s="466">
        <f>IF(LN_IC4=0,0,LN_IC11/LN_IC4)</f>
        <v>3.0569948186528499</v>
      </c>
      <c r="E296" s="466">
        <f t="shared" si="30"/>
        <v>-0.10405387048572701</v>
      </c>
      <c r="F296" s="503">
        <f t="shared" si="31"/>
        <v>-3.2917515900105582E-2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3.8670886075949369</v>
      </c>
      <c r="D297" s="466">
        <f>IF(LN_ID4=0,0,LN_ID11/LN_ID4)</f>
        <v>3.9352983465132998</v>
      </c>
      <c r="E297" s="466">
        <f t="shared" si="30"/>
        <v>6.8209738918362905E-2</v>
      </c>
      <c r="F297" s="503">
        <f t="shared" si="31"/>
        <v>1.7638524957612665E-2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743</v>
      </c>
      <c r="C298" s="466">
        <f>IF(C156=0,0,C163/C156)</f>
        <v>4.9249999999999998</v>
      </c>
      <c r="D298" s="466">
        <f>IF(LN_IE4=0,0,LN_IE11/LN_IE4)</f>
        <v>3.7619047619047619</v>
      </c>
      <c r="E298" s="466">
        <f t="shared" si="30"/>
        <v>-1.163095238095238</v>
      </c>
      <c r="F298" s="503">
        <f t="shared" si="31"/>
        <v>-0.23616146966400772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4.5333333333333332</v>
      </c>
      <c r="D299" s="466">
        <f>IF(LN_IG3=0,0,LN_IG6/LN_IG3)</f>
        <v>3.1875</v>
      </c>
      <c r="E299" s="466">
        <f t="shared" si="30"/>
        <v>-1.3458333333333332</v>
      </c>
      <c r="F299" s="503">
        <f t="shared" si="31"/>
        <v>-0.296875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744</v>
      </c>
      <c r="C300" s="466">
        <f>IF(C264=0,0,C274/C264)</f>
        <v>4.4885022995400918</v>
      </c>
      <c r="D300" s="466">
        <f>IF(LN_IIA4=0,0,LN_IIA14/LN_IIA4)</f>
        <v>4.5696435415868146</v>
      </c>
      <c r="E300" s="466">
        <f t="shared" si="30"/>
        <v>8.1141242046722795E-2</v>
      </c>
      <c r="F300" s="503">
        <f t="shared" si="31"/>
        <v>1.8077576133811231E-2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745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739</v>
      </c>
      <c r="C304" s="441">
        <f>C35+C66+C214+C221+C233</f>
        <v>908958362</v>
      </c>
      <c r="D304" s="441">
        <f>LN_IIA11</f>
        <v>913394783</v>
      </c>
      <c r="E304" s="441">
        <f t="shared" ref="E304:E316" si="32">D304-C304</f>
        <v>4436421</v>
      </c>
      <c r="F304" s="449">
        <f>IF(C304=0,0,E304/C304)</f>
        <v>4.8807747257404071E-3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742</v>
      </c>
      <c r="C305" s="441">
        <f>C291</f>
        <v>375699258</v>
      </c>
      <c r="D305" s="441">
        <f>LN_IIB14</f>
        <v>394696898</v>
      </c>
      <c r="E305" s="441">
        <f t="shared" si="32"/>
        <v>18997640</v>
      </c>
      <c r="F305" s="449">
        <f>IF(C305=0,0,E305/C305)</f>
        <v>5.0566083364476593E-2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746</v>
      </c>
      <c r="C306" s="441">
        <f>C250</f>
        <v>41459477</v>
      </c>
      <c r="D306" s="441">
        <f>LN_IH6</f>
        <v>36108044</v>
      </c>
      <c r="E306" s="441">
        <f t="shared" si="32"/>
        <v>-5351433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747</v>
      </c>
      <c r="C307" s="441">
        <f>C73-C74</f>
        <v>164825999</v>
      </c>
      <c r="D307" s="441">
        <f>LN_IB32-LN_IB33</f>
        <v>150508712</v>
      </c>
      <c r="E307" s="441">
        <f t="shared" si="32"/>
        <v>-14317287</v>
      </c>
      <c r="F307" s="449">
        <f t="shared" ref="F307:F316" si="33">IF(C307=0,0,E307/C307)</f>
        <v>-8.6863037911876995E-2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748</v>
      </c>
      <c r="C308" s="441">
        <v>10986753</v>
      </c>
      <c r="D308" s="441">
        <v>11644353</v>
      </c>
      <c r="E308" s="441">
        <f t="shared" si="32"/>
        <v>657600</v>
      </c>
      <c r="F308" s="449">
        <f t="shared" si="33"/>
        <v>5.9853898599522531E-2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749</v>
      </c>
      <c r="C309" s="441">
        <f>C305+C307+C308+C306</f>
        <v>592971487</v>
      </c>
      <c r="D309" s="441">
        <f>LN_III2+LN_III3+LN_III4+LN_III5</f>
        <v>592958007</v>
      </c>
      <c r="E309" s="441">
        <f t="shared" si="32"/>
        <v>-13480</v>
      </c>
      <c r="F309" s="449">
        <f t="shared" si="33"/>
        <v>-2.2732964898867053E-5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750</v>
      </c>
      <c r="C310" s="441">
        <f>C304-C309</f>
        <v>315986875</v>
      </c>
      <c r="D310" s="441">
        <f>LN_III1-LN_III6</f>
        <v>320436776</v>
      </c>
      <c r="E310" s="441">
        <f t="shared" si="32"/>
        <v>4449901</v>
      </c>
      <c r="F310" s="449">
        <f t="shared" si="33"/>
        <v>1.4082550105918166E-2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751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752</v>
      </c>
      <c r="C312" s="441">
        <f>C310+C311</f>
        <v>315986875</v>
      </c>
      <c r="D312" s="441">
        <f>LN_III7+LN_III8</f>
        <v>320436776</v>
      </c>
      <c r="E312" s="441">
        <f t="shared" si="32"/>
        <v>4449901</v>
      </c>
      <c r="F312" s="449">
        <f t="shared" si="33"/>
        <v>1.4082550105918166E-2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753</v>
      </c>
      <c r="C313" s="532">
        <f>IF(C304=0,0,C312/C304)</f>
        <v>0.34763624849077518</v>
      </c>
      <c r="D313" s="532">
        <f>IF(LN_III1=0,0,LN_III9/LN_III1)</f>
        <v>0.35081958202951546</v>
      </c>
      <c r="E313" s="532">
        <f t="shared" si="32"/>
        <v>3.183333538740285E-3</v>
      </c>
      <c r="F313" s="449">
        <f t="shared" si="33"/>
        <v>9.1570817271224743E-3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716</v>
      </c>
      <c r="C314" s="441">
        <f>C306*C313</f>
        <v>14412817.048669579</v>
      </c>
      <c r="D314" s="441">
        <f>D313*LN_III5</f>
        <v>12667408.903983355</v>
      </c>
      <c r="E314" s="441">
        <f t="shared" si="32"/>
        <v>-1745408.1446862239</v>
      </c>
      <c r="F314" s="449">
        <f t="shared" si="33"/>
        <v>-0.12110111012942744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719</v>
      </c>
      <c r="C315" s="441">
        <f>(C214*C313)-C215</f>
        <v>10715868.522185601</v>
      </c>
      <c r="D315" s="441">
        <f>D313*LN_IH8-LN_IH9</f>
        <v>17729339.537682049</v>
      </c>
      <c r="E315" s="441">
        <f t="shared" si="32"/>
        <v>7013471.0154964477</v>
      </c>
      <c r="F315" s="449">
        <f t="shared" si="33"/>
        <v>0.65449394054957899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754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755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756</v>
      </c>
      <c r="C318" s="441">
        <f>C314+C315+C316</f>
        <v>25128685.570855178</v>
      </c>
      <c r="D318" s="441">
        <f>D314+D315+D316</f>
        <v>30396748.441665404</v>
      </c>
      <c r="E318" s="441">
        <f>D318-C318</f>
        <v>5268062.8708102256</v>
      </c>
      <c r="F318" s="449">
        <f>IF(C318=0,0,E318/C318)</f>
        <v>0.20964339165118309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757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1013296.7669700674</v>
      </c>
      <c r="D322" s="441">
        <f>LN_ID22</f>
        <v>6589927.8871664414</v>
      </c>
      <c r="E322" s="441">
        <f>LN_IV2-C322</f>
        <v>5576631.1201963741</v>
      </c>
      <c r="F322" s="449">
        <f>IF(C322=0,0,E322/C322)</f>
        <v>5.503452988280487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743</v>
      </c>
      <c r="C323" s="441">
        <f>C162+C176</f>
        <v>-158884.51381129847</v>
      </c>
      <c r="D323" s="441">
        <f>LN_IE10+LN_IE22</f>
        <v>265610.72864956828</v>
      </c>
      <c r="E323" s="441">
        <f>LN_IV3-C323</f>
        <v>424495.24246086675</v>
      </c>
      <c r="F323" s="449">
        <f>IF(C323=0,0,E323/C323)</f>
        <v>-2.6717219461993933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758</v>
      </c>
      <c r="C324" s="441">
        <f>C92+C106</f>
        <v>8668419.9696439877</v>
      </c>
      <c r="D324" s="441">
        <f>LN_IC10+LN_IC22</f>
        <v>9425193.4171741642</v>
      </c>
      <c r="E324" s="441">
        <f>LN_IV1-C324</f>
        <v>756773.44753017649</v>
      </c>
      <c r="F324" s="449">
        <f>IF(C324=0,0,E324/C324)</f>
        <v>8.7302351545071391E-2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759</v>
      </c>
      <c r="C325" s="516">
        <f>C324+C322+C323</f>
        <v>9522832.2228027582</v>
      </c>
      <c r="D325" s="516">
        <f>LN_IV1+LN_IV2+LN_IV3</f>
        <v>16280732.032990173</v>
      </c>
      <c r="E325" s="441">
        <f>LN_IV4-C325</f>
        <v>6757899.8101874143</v>
      </c>
      <c r="F325" s="449">
        <f>IF(C325=0,0,E325/C325)</f>
        <v>0.70965230218016284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760</v>
      </c>
      <c r="B327" s="530" t="s">
        <v>761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762</v>
      </c>
      <c r="C329" s="518">
        <v>15544363</v>
      </c>
      <c r="D329" s="518">
        <v>17735548</v>
      </c>
      <c r="E329" s="518">
        <f t="shared" ref="E329:E335" si="34">D329-C329</f>
        <v>2191185</v>
      </c>
      <c r="F329" s="542">
        <f t="shared" ref="F329:F335" si="35">IF(C329=0,0,E329/C329)</f>
        <v>0.1409633189857957</v>
      </c>
    </row>
    <row r="330" spans="1:22" s="420" customFormat="1" ht="15.75" customHeight="1" x14ac:dyDescent="0.2">
      <c r="A330" s="451">
        <v>2</v>
      </c>
      <c r="B330" s="447" t="s">
        <v>763</v>
      </c>
      <c r="C330" s="516">
        <v>27736810</v>
      </c>
      <c r="D330" s="516">
        <v>-1764125</v>
      </c>
      <c r="E330" s="518">
        <f t="shared" si="34"/>
        <v>-29500935</v>
      </c>
      <c r="F330" s="543">
        <f t="shared" si="35"/>
        <v>-1.0636023032208823</v>
      </c>
    </row>
    <row r="331" spans="1:22" s="420" customFormat="1" ht="15.75" customHeight="1" x14ac:dyDescent="0.2">
      <c r="A331" s="427">
        <v>3</v>
      </c>
      <c r="B331" s="447" t="s">
        <v>764</v>
      </c>
      <c r="C331" s="516">
        <v>363267877</v>
      </c>
      <c r="D331" s="516">
        <v>334131914</v>
      </c>
      <c r="E331" s="518">
        <f t="shared" si="34"/>
        <v>-29135963</v>
      </c>
      <c r="F331" s="542">
        <f t="shared" si="35"/>
        <v>-8.020517321987157E-2</v>
      </c>
    </row>
    <row r="332" spans="1:22" s="420" customFormat="1" ht="27" customHeight="1" x14ac:dyDescent="0.2">
      <c r="A332" s="451">
        <v>4</v>
      </c>
      <c r="B332" s="447" t="s">
        <v>765</v>
      </c>
      <c r="C332" s="516">
        <v>0</v>
      </c>
      <c r="D332" s="516">
        <v>0</v>
      </c>
      <c r="E332" s="518">
        <f t="shared" si="34"/>
        <v>0</v>
      </c>
      <c r="F332" s="543">
        <f t="shared" si="35"/>
        <v>0</v>
      </c>
    </row>
    <row r="333" spans="1:22" s="420" customFormat="1" ht="15.75" customHeight="1" x14ac:dyDescent="0.2">
      <c r="A333" s="451">
        <v>5</v>
      </c>
      <c r="B333" s="447" t="s">
        <v>766</v>
      </c>
      <c r="C333" s="516">
        <v>908958362</v>
      </c>
      <c r="D333" s="516">
        <v>913394783</v>
      </c>
      <c r="E333" s="518">
        <f t="shared" si="34"/>
        <v>4436421</v>
      </c>
      <c r="F333" s="542">
        <f t="shared" si="35"/>
        <v>4.8807747257404071E-3</v>
      </c>
    </row>
    <row r="334" spans="1:22" s="420" customFormat="1" ht="15.75" customHeight="1" x14ac:dyDescent="0.2">
      <c r="A334" s="427">
        <v>6</v>
      </c>
      <c r="B334" s="447" t="s">
        <v>767</v>
      </c>
      <c r="C334" s="516">
        <v>0</v>
      </c>
      <c r="D334" s="516">
        <v>0</v>
      </c>
      <c r="E334" s="516">
        <f t="shared" si="34"/>
        <v>0</v>
      </c>
      <c r="F334" s="543">
        <f t="shared" si="35"/>
        <v>0</v>
      </c>
    </row>
    <row r="335" spans="1:22" s="420" customFormat="1" ht="15.75" customHeight="1" x14ac:dyDescent="0.2">
      <c r="A335" s="451">
        <v>7</v>
      </c>
      <c r="B335" s="447" t="s">
        <v>768</v>
      </c>
      <c r="C335" s="516">
        <v>41459477</v>
      </c>
      <c r="D335" s="516">
        <v>36108044</v>
      </c>
      <c r="E335" s="516">
        <f t="shared" si="34"/>
        <v>-5351433</v>
      </c>
      <c r="F335" s="542">
        <f t="shared" si="35"/>
        <v>-0.12907623026696646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scale="81" fitToHeight="0" orientation="portrait" horizontalDpi="1200" verticalDpi="1200" r:id="rId1"/>
  <headerFooter>
    <oddHeader>&amp;LOFFICE OF HEALTH CARE ACCESS&amp;CTWELVE MONTHS ACTUAL FILING&amp;RNORWALK HOSPITAL</oddHeader>
    <oddFooter>&amp;LREPORT 100&amp;CPAGE &amp;P of &amp;N&amp;R&amp;D,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0"/>
  <sheetViews>
    <sheetView zoomScale="75" zoomScaleSheetLayoutView="68" workbookViewId="0">
      <selection sqref="A1:F1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7" style="660" customWidth="1"/>
    <col min="4" max="4" width="19.5703125" style="569" bestFit="1" customWidth="1"/>
    <col min="5" max="5" width="16.7109375" style="420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629</v>
      </c>
      <c r="B3" s="820"/>
      <c r="C3" s="820"/>
      <c r="D3" s="820"/>
      <c r="E3" s="820"/>
    </row>
    <row r="4" spans="1:5" s="428" customFormat="1" ht="15.75" customHeight="1" x14ac:dyDescent="0.25">
      <c r="A4" s="820" t="s">
        <v>769</v>
      </c>
      <c r="B4" s="820"/>
      <c r="C4" s="820"/>
      <c r="D4" s="820"/>
      <c r="E4" s="820"/>
    </row>
    <row r="5" spans="1:5" s="428" customFormat="1" ht="15.75" customHeight="1" x14ac:dyDescent="0.25">
      <c r="A5" s="820" t="s">
        <v>770</v>
      </c>
      <c r="B5" s="820"/>
      <c r="C5" s="820"/>
      <c r="D5" s="820"/>
      <c r="E5" s="820"/>
    </row>
    <row r="6" spans="1:5" s="428" customFormat="1" ht="15.75" customHeight="1" x14ac:dyDescent="0.25">
      <c r="A6" s="820" t="s">
        <v>771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772</v>
      </c>
      <c r="D9" s="573" t="s">
        <v>773</v>
      </c>
      <c r="E9" s="573" t="s">
        <v>774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775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776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656</v>
      </c>
      <c r="C14" s="589">
        <v>146446753</v>
      </c>
      <c r="D14" s="589">
        <v>132429295</v>
      </c>
      <c r="E14" s="590">
        <f t="shared" ref="E14:E22" si="0">D14-C14</f>
        <v>-14017458</v>
      </c>
    </row>
    <row r="15" spans="1:5" s="421" customFormat="1" x14ac:dyDescent="0.2">
      <c r="A15" s="588">
        <v>2</v>
      </c>
      <c r="B15" s="587" t="s">
        <v>635</v>
      </c>
      <c r="C15" s="589">
        <v>249956905</v>
      </c>
      <c r="D15" s="591">
        <v>243146941</v>
      </c>
      <c r="E15" s="590">
        <f t="shared" si="0"/>
        <v>-6809964</v>
      </c>
    </row>
    <row r="16" spans="1:5" s="421" customFormat="1" x14ac:dyDescent="0.2">
      <c r="A16" s="588">
        <v>3</v>
      </c>
      <c r="B16" s="587" t="s">
        <v>777</v>
      </c>
      <c r="C16" s="589">
        <v>77038977</v>
      </c>
      <c r="D16" s="591">
        <v>75009576</v>
      </c>
      <c r="E16" s="590">
        <f t="shared" si="0"/>
        <v>-2029401</v>
      </c>
    </row>
    <row r="17" spans="1:5" s="421" customFormat="1" x14ac:dyDescent="0.2">
      <c r="A17" s="588">
        <v>4</v>
      </c>
      <c r="B17" s="587" t="s">
        <v>115</v>
      </c>
      <c r="C17" s="589">
        <v>75819360</v>
      </c>
      <c r="D17" s="591">
        <v>74431040</v>
      </c>
      <c r="E17" s="590">
        <f t="shared" si="0"/>
        <v>-1388320</v>
      </c>
    </row>
    <row r="18" spans="1:5" s="421" customFormat="1" x14ac:dyDescent="0.2">
      <c r="A18" s="588">
        <v>5</v>
      </c>
      <c r="B18" s="587" t="s">
        <v>743</v>
      </c>
      <c r="C18" s="589">
        <v>1219617</v>
      </c>
      <c r="D18" s="591">
        <v>578536</v>
      </c>
      <c r="E18" s="590">
        <f t="shared" si="0"/>
        <v>-641081</v>
      </c>
    </row>
    <row r="19" spans="1:5" s="421" customFormat="1" x14ac:dyDescent="0.2">
      <c r="A19" s="588">
        <v>6</v>
      </c>
      <c r="B19" s="587" t="s">
        <v>424</v>
      </c>
      <c r="C19" s="589">
        <v>518914</v>
      </c>
      <c r="D19" s="591">
        <v>477701</v>
      </c>
      <c r="E19" s="590">
        <f t="shared" si="0"/>
        <v>-41213</v>
      </c>
    </row>
    <row r="20" spans="1:5" s="421" customFormat="1" x14ac:dyDescent="0.2">
      <c r="A20" s="588">
        <v>7</v>
      </c>
      <c r="B20" s="587" t="s">
        <v>758</v>
      </c>
      <c r="C20" s="589">
        <v>6389236</v>
      </c>
      <c r="D20" s="591">
        <v>5189210</v>
      </c>
      <c r="E20" s="590">
        <f t="shared" si="0"/>
        <v>-1200026</v>
      </c>
    </row>
    <row r="21" spans="1:5" s="421" customFormat="1" x14ac:dyDescent="0.2">
      <c r="A21" s="588"/>
      <c r="B21" s="592" t="s">
        <v>778</v>
      </c>
      <c r="C21" s="593">
        <f>SUM(C15+C16+C19)</f>
        <v>327514796</v>
      </c>
      <c r="D21" s="593">
        <f>SUM(D15+D16+D19)</f>
        <v>318634218</v>
      </c>
      <c r="E21" s="593">
        <f t="shared" si="0"/>
        <v>-8880578</v>
      </c>
    </row>
    <row r="22" spans="1:5" s="421" customFormat="1" x14ac:dyDescent="0.2">
      <c r="A22" s="588"/>
      <c r="B22" s="592" t="s">
        <v>465</v>
      </c>
      <c r="C22" s="593">
        <f>SUM(C14+C21)</f>
        <v>473961549</v>
      </c>
      <c r="D22" s="593">
        <f>SUM(D14+D21)</f>
        <v>451063513</v>
      </c>
      <c r="E22" s="593">
        <f t="shared" si="0"/>
        <v>-22898036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779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656</v>
      </c>
      <c r="C25" s="589">
        <v>252731072</v>
      </c>
      <c r="D25" s="589">
        <v>252355457</v>
      </c>
      <c r="E25" s="590">
        <f t="shared" ref="E25:E33" si="1">D25-C25</f>
        <v>-375615</v>
      </c>
    </row>
    <row r="26" spans="1:5" s="421" customFormat="1" x14ac:dyDescent="0.2">
      <c r="A26" s="588">
        <v>2</v>
      </c>
      <c r="B26" s="587" t="s">
        <v>635</v>
      </c>
      <c r="C26" s="589">
        <v>123833405</v>
      </c>
      <c r="D26" s="591">
        <v>139541554</v>
      </c>
      <c r="E26" s="590">
        <f t="shared" si="1"/>
        <v>15708149</v>
      </c>
    </row>
    <row r="27" spans="1:5" s="421" customFormat="1" x14ac:dyDescent="0.2">
      <c r="A27" s="588">
        <v>3</v>
      </c>
      <c r="B27" s="587" t="s">
        <v>777</v>
      </c>
      <c r="C27" s="589">
        <v>58037416</v>
      </c>
      <c r="D27" s="591">
        <v>70109135</v>
      </c>
      <c r="E27" s="590">
        <f t="shared" si="1"/>
        <v>12071719</v>
      </c>
    </row>
    <row r="28" spans="1:5" s="421" customFormat="1" x14ac:dyDescent="0.2">
      <c r="A28" s="588">
        <v>4</v>
      </c>
      <c r="B28" s="587" t="s">
        <v>115</v>
      </c>
      <c r="C28" s="589">
        <v>57507931</v>
      </c>
      <c r="D28" s="591">
        <v>69452300</v>
      </c>
      <c r="E28" s="590">
        <f t="shared" si="1"/>
        <v>11944369</v>
      </c>
    </row>
    <row r="29" spans="1:5" s="421" customFormat="1" x14ac:dyDescent="0.2">
      <c r="A29" s="588">
        <v>5</v>
      </c>
      <c r="B29" s="587" t="s">
        <v>743</v>
      </c>
      <c r="C29" s="589">
        <v>529485</v>
      </c>
      <c r="D29" s="591">
        <v>656835</v>
      </c>
      <c r="E29" s="590">
        <f t="shared" si="1"/>
        <v>127350</v>
      </c>
    </row>
    <row r="30" spans="1:5" s="421" customFormat="1" x14ac:dyDescent="0.2">
      <c r="A30" s="588">
        <v>6</v>
      </c>
      <c r="B30" s="587" t="s">
        <v>424</v>
      </c>
      <c r="C30" s="589">
        <v>394920</v>
      </c>
      <c r="D30" s="591">
        <v>325124</v>
      </c>
      <c r="E30" s="590">
        <f t="shared" si="1"/>
        <v>-69796</v>
      </c>
    </row>
    <row r="31" spans="1:5" s="421" customFormat="1" x14ac:dyDescent="0.2">
      <c r="A31" s="588">
        <v>7</v>
      </c>
      <c r="B31" s="587" t="s">
        <v>758</v>
      </c>
      <c r="C31" s="590">
        <v>28798363</v>
      </c>
      <c r="D31" s="594">
        <v>29957432</v>
      </c>
      <c r="E31" s="590">
        <f t="shared" si="1"/>
        <v>1159069</v>
      </c>
    </row>
    <row r="32" spans="1:5" s="421" customFormat="1" x14ac:dyDescent="0.2">
      <c r="A32" s="588"/>
      <c r="B32" s="592" t="s">
        <v>780</v>
      </c>
      <c r="C32" s="593">
        <f>SUM(C26+C27+C30)</f>
        <v>182265741</v>
      </c>
      <c r="D32" s="593">
        <f>SUM(D26+D27+D30)</f>
        <v>209975813</v>
      </c>
      <c r="E32" s="593">
        <f t="shared" si="1"/>
        <v>27710072</v>
      </c>
    </row>
    <row r="33" spans="1:5" s="421" customFormat="1" x14ac:dyDescent="0.2">
      <c r="A33" s="588"/>
      <c r="B33" s="592" t="s">
        <v>467</v>
      </c>
      <c r="C33" s="593">
        <f>SUM(C25+C32)</f>
        <v>434996813</v>
      </c>
      <c r="D33" s="593">
        <f>SUM(D25+D32)</f>
        <v>462331270</v>
      </c>
      <c r="E33" s="593">
        <f t="shared" si="1"/>
        <v>27334457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653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781</v>
      </c>
      <c r="C36" s="590">
        <f t="shared" ref="C36:D42" si="2">C14+C25</f>
        <v>399177825</v>
      </c>
      <c r="D36" s="590">
        <f t="shared" si="2"/>
        <v>384784752</v>
      </c>
      <c r="E36" s="590">
        <f t="shared" ref="E36:E44" si="3">D36-C36</f>
        <v>-14393073</v>
      </c>
    </row>
    <row r="37" spans="1:5" s="421" customFormat="1" x14ac:dyDescent="0.2">
      <c r="A37" s="588">
        <v>2</v>
      </c>
      <c r="B37" s="587" t="s">
        <v>782</v>
      </c>
      <c r="C37" s="590">
        <f t="shared" si="2"/>
        <v>373790310</v>
      </c>
      <c r="D37" s="590">
        <f t="shared" si="2"/>
        <v>382688495</v>
      </c>
      <c r="E37" s="590">
        <f t="shared" si="3"/>
        <v>8898185</v>
      </c>
    </row>
    <row r="38" spans="1:5" s="421" customFormat="1" x14ac:dyDescent="0.2">
      <c r="A38" s="588">
        <v>3</v>
      </c>
      <c r="B38" s="587" t="s">
        <v>783</v>
      </c>
      <c r="C38" s="590">
        <f t="shared" si="2"/>
        <v>135076393</v>
      </c>
      <c r="D38" s="590">
        <f t="shared" si="2"/>
        <v>145118711</v>
      </c>
      <c r="E38" s="590">
        <f t="shared" si="3"/>
        <v>10042318</v>
      </c>
    </row>
    <row r="39" spans="1:5" s="421" customFormat="1" x14ac:dyDescent="0.2">
      <c r="A39" s="588">
        <v>4</v>
      </c>
      <c r="B39" s="587" t="s">
        <v>784</v>
      </c>
      <c r="C39" s="590">
        <f t="shared" si="2"/>
        <v>133327291</v>
      </c>
      <c r="D39" s="590">
        <f t="shared" si="2"/>
        <v>143883340</v>
      </c>
      <c r="E39" s="590">
        <f t="shared" si="3"/>
        <v>10556049</v>
      </c>
    </row>
    <row r="40" spans="1:5" s="421" customFormat="1" x14ac:dyDescent="0.2">
      <c r="A40" s="588">
        <v>5</v>
      </c>
      <c r="B40" s="587" t="s">
        <v>785</v>
      </c>
      <c r="C40" s="590">
        <f t="shared" si="2"/>
        <v>1749102</v>
      </c>
      <c r="D40" s="590">
        <f t="shared" si="2"/>
        <v>1235371</v>
      </c>
      <c r="E40" s="590">
        <f t="shared" si="3"/>
        <v>-513731</v>
      </c>
    </row>
    <row r="41" spans="1:5" s="421" customFormat="1" x14ac:dyDescent="0.2">
      <c r="A41" s="588">
        <v>6</v>
      </c>
      <c r="B41" s="587" t="s">
        <v>786</v>
      </c>
      <c r="C41" s="590">
        <f t="shared" si="2"/>
        <v>913834</v>
      </c>
      <c r="D41" s="590">
        <f t="shared" si="2"/>
        <v>802825</v>
      </c>
      <c r="E41" s="590">
        <f t="shared" si="3"/>
        <v>-111009</v>
      </c>
    </row>
    <row r="42" spans="1:5" s="421" customFormat="1" x14ac:dyDescent="0.2">
      <c r="A42" s="588">
        <v>7</v>
      </c>
      <c r="B42" s="587" t="s">
        <v>787</v>
      </c>
      <c r="C42" s="590">
        <f t="shared" si="2"/>
        <v>35187599</v>
      </c>
      <c r="D42" s="590">
        <f t="shared" si="2"/>
        <v>35146642</v>
      </c>
      <c r="E42" s="590">
        <f t="shared" si="3"/>
        <v>-40957</v>
      </c>
    </row>
    <row r="43" spans="1:5" s="421" customFormat="1" x14ac:dyDescent="0.2">
      <c r="A43" s="588"/>
      <c r="B43" s="592" t="s">
        <v>788</v>
      </c>
      <c r="C43" s="593">
        <f>SUM(C37+C38+C41)</f>
        <v>509780537</v>
      </c>
      <c r="D43" s="593">
        <f>SUM(D37+D38+D41)</f>
        <v>528610031</v>
      </c>
      <c r="E43" s="593">
        <f t="shared" si="3"/>
        <v>18829494</v>
      </c>
    </row>
    <row r="44" spans="1:5" s="421" customFormat="1" x14ac:dyDescent="0.2">
      <c r="A44" s="588"/>
      <c r="B44" s="592" t="s">
        <v>725</v>
      </c>
      <c r="C44" s="593">
        <f>SUM(C36+C43)</f>
        <v>908958362</v>
      </c>
      <c r="D44" s="593">
        <f>SUM(D36+D43)</f>
        <v>913394783</v>
      </c>
      <c r="E44" s="593">
        <f t="shared" si="3"/>
        <v>4436421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789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656</v>
      </c>
      <c r="C47" s="589">
        <v>75378318</v>
      </c>
      <c r="D47" s="589">
        <v>75483598</v>
      </c>
      <c r="E47" s="590">
        <f t="shared" ref="E47:E55" si="4">D47-C47</f>
        <v>105280</v>
      </c>
    </row>
    <row r="48" spans="1:5" s="421" customFormat="1" x14ac:dyDescent="0.2">
      <c r="A48" s="588">
        <v>2</v>
      </c>
      <c r="B48" s="587" t="s">
        <v>635</v>
      </c>
      <c r="C48" s="589">
        <v>75932454</v>
      </c>
      <c r="D48" s="591">
        <v>72173862</v>
      </c>
      <c r="E48" s="590">
        <f t="shared" si="4"/>
        <v>-3758592</v>
      </c>
    </row>
    <row r="49" spans="1:5" s="421" customFormat="1" x14ac:dyDescent="0.2">
      <c r="A49" s="588">
        <v>3</v>
      </c>
      <c r="B49" s="587" t="s">
        <v>777</v>
      </c>
      <c r="C49" s="589">
        <v>20818595</v>
      </c>
      <c r="D49" s="591">
        <v>15613206</v>
      </c>
      <c r="E49" s="590">
        <f t="shared" si="4"/>
        <v>-5205389</v>
      </c>
    </row>
    <row r="50" spans="1:5" s="421" customFormat="1" x14ac:dyDescent="0.2">
      <c r="A50" s="588">
        <v>4</v>
      </c>
      <c r="B50" s="587" t="s">
        <v>115</v>
      </c>
      <c r="C50" s="589">
        <v>20337542</v>
      </c>
      <c r="D50" s="591">
        <v>15518342</v>
      </c>
      <c r="E50" s="590">
        <f t="shared" si="4"/>
        <v>-4819200</v>
      </c>
    </row>
    <row r="51" spans="1:5" s="421" customFormat="1" x14ac:dyDescent="0.2">
      <c r="A51" s="588">
        <v>5</v>
      </c>
      <c r="B51" s="587" t="s">
        <v>743</v>
      </c>
      <c r="C51" s="589">
        <v>481053</v>
      </c>
      <c r="D51" s="591">
        <v>94864</v>
      </c>
      <c r="E51" s="590">
        <f t="shared" si="4"/>
        <v>-386189</v>
      </c>
    </row>
    <row r="52" spans="1:5" s="421" customFormat="1" x14ac:dyDescent="0.2">
      <c r="A52" s="588">
        <v>6</v>
      </c>
      <c r="B52" s="587" t="s">
        <v>424</v>
      </c>
      <c r="C52" s="589">
        <v>104982</v>
      </c>
      <c r="D52" s="591">
        <v>166560</v>
      </c>
      <c r="E52" s="590">
        <f t="shared" si="4"/>
        <v>61578</v>
      </c>
    </row>
    <row r="53" spans="1:5" s="421" customFormat="1" x14ac:dyDescent="0.2">
      <c r="A53" s="588">
        <v>7</v>
      </c>
      <c r="B53" s="587" t="s">
        <v>758</v>
      </c>
      <c r="C53" s="589">
        <v>167271</v>
      </c>
      <c r="D53" s="591">
        <v>458039</v>
      </c>
      <c r="E53" s="590">
        <f t="shared" si="4"/>
        <v>290768</v>
      </c>
    </row>
    <row r="54" spans="1:5" s="421" customFormat="1" x14ac:dyDescent="0.2">
      <c r="A54" s="588"/>
      <c r="B54" s="592" t="s">
        <v>790</v>
      </c>
      <c r="C54" s="593">
        <f>SUM(C48+C49+C52)</f>
        <v>96856031</v>
      </c>
      <c r="D54" s="593">
        <f>SUM(D48+D49+D52)</f>
        <v>87953628</v>
      </c>
      <c r="E54" s="593">
        <f t="shared" si="4"/>
        <v>-8902403</v>
      </c>
    </row>
    <row r="55" spans="1:5" s="421" customFormat="1" x14ac:dyDescent="0.2">
      <c r="A55" s="588"/>
      <c r="B55" s="592" t="s">
        <v>466</v>
      </c>
      <c r="C55" s="593">
        <f>SUM(C47+C54)</f>
        <v>172234349</v>
      </c>
      <c r="D55" s="593">
        <f>SUM(D47+D54)</f>
        <v>163437226</v>
      </c>
      <c r="E55" s="593">
        <f t="shared" si="4"/>
        <v>-8797123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791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656</v>
      </c>
      <c r="C58" s="589">
        <v>126071470</v>
      </c>
      <c r="D58" s="589">
        <v>126499308</v>
      </c>
      <c r="E58" s="590">
        <f t="shared" ref="E58:E66" si="5">D58-C58</f>
        <v>427838</v>
      </c>
    </row>
    <row r="59" spans="1:5" s="421" customFormat="1" x14ac:dyDescent="0.2">
      <c r="A59" s="588">
        <v>2</v>
      </c>
      <c r="B59" s="587" t="s">
        <v>635</v>
      </c>
      <c r="C59" s="589">
        <v>21742314</v>
      </c>
      <c r="D59" s="591">
        <v>28335378</v>
      </c>
      <c r="E59" s="590">
        <f t="shared" si="5"/>
        <v>6593064</v>
      </c>
    </row>
    <row r="60" spans="1:5" s="421" customFormat="1" x14ac:dyDescent="0.2">
      <c r="A60" s="588">
        <v>3</v>
      </c>
      <c r="B60" s="587" t="s">
        <v>777</v>
      </c>
      <c r="C60" s="589">
        <f>C61+C62</f>
        <v>15422987</v>
      </c>
      <c r="D60" s="591">
        <f>D61+D62</f>
        <v>17567940</v>
      </c>
      <c r="E60" s="590">
        <f t="shared" si="5"/>
        <v>2144953</v>
      </c>
    </row>
    <row r="61" spans="1:5" s="421" customFormat="1" x14ac:dyDescent="0.2">
      <c r="A61" s="588">
        <v>4</v>
      </c>
      <c r="B61" s="587" t="s">
        <v>115</v>
      </c>
      <c r="C61" s="589">
        <v>15243246</v>
      </c>
      <c r="D61" s="591">
        <v>17506571</v>
      </c>
      <c r="E61" s="590">
        <f t="shared" si="5"/>
        <v>2263325</v>
      </c>
    </row>
    <row r="62" spans="1:5" s="421" customFormat="1" x14ac:dyDescent="0.2">
      <c r="A62" s="588">
        <v>5</v>
      </c>
      <c r="B62" s="587" t="s">
        <v>743</v>
      </c>
      <c r="C62" s="589">
        <v>179741</v>
      </c>
      <c r="D62" s="591">
        <v>61369</v>
      </c>
      <c r="E62" s="590">
        <f t="shared" si="5"/>
        <v>-118372</v>
      </c>
    </row>
    <row r="63" spans="1:5" s="421" customFormat="1" x14ac:dyDescent="0.2">
      <c r="A63" s="588">
        <v>6</v>
      </c>
      <c r="B63" s="587" t="s">
        <v>424</v>
      </c>
      <c r="C63" s="589">
        <v>59947</v>
      </c>
      <c r="D63" s="591">
        <v>56187</v>
      </c>
      <c r="E63" s="590">
        <f t="shared" si="5"/>
        <v>-3760</v>
      </c>
    </row>
    <row r="64" spans="1:5" s="421" customFormat="1" x14ac:dyDescent="0.2">
      <c r="A64" s="588">
        <v>7</v>
      </c>
      <c r="B64" s="587" t="s">
        <v>758</v>
      </c>
      <c r="C64" s="589">
        <v>2120010</v>
      </c>
      <c r="D64" s="591">
        <v>2395471</v>
      </c>
      <c r="E64" s="590">
        <f t="shared" si="5"/>
        <v>275461</v>
      </c>
    </row>
    <row r="65" spans="1:5" s="421" customFormat="1" x14ac:dyDescent="0.2">
      <c r="A65" s="588"/>
      <c r="B65" s="592" t="s">
        <v>792</v>
      </c>
      <c r="C65" s="593">
        <f>SUM(C59+C60+C63)</f>
        <v>37225248</v>
      </c>
      <c r="D65" s="593">
        <f>SUM(D59+D60+D63)</f>
        <v>45959505</v>
      </c>
      <c r="E65" s="593">
        <f t="shared" si="5"/>
        <v>8734257</v>
      </c>
    </row>
    <row r="66" spans="1:5" s="421" customFormat="1" x14ac:dyDescent="0.2">
      <c r="A66" s="588"/>
      <c r="B66" s="592" t="s">
        <v>468</v>
      </c>
      <c r="C66" s="593">
        <f>SUM(C58+C65)</f>
        <v>163296718</v>
      </c>
      <c r="D66" s="593">
        <f>SUM(D58+D65)</f>
        <v>172458813</v>
      </c>
      <c r="E66" s="593">
        <f t="shared" si="5"/>
        <v>9162095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654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781</v>
      </c>
      <c r="C69" s="590">
        <f t="shared" ref="C69:D75" si="6">C47+C58</f>
        <v>201449788</v>
      </c>
      <c r="D69" s="590">
        <f t="shared" si="6"/>
        <v>201982906</v>
      </c>
      <c r="E69" s="590">
        <f t="shared" ref="E69:E77" si="7">D69-C69</f>
        <v>533118</v>
      </c>
    </row>
    <row r="70" spans="1:5" s="421" customFormat="1" x14ac:dyDescent="0.2">
      <c r="A70" s="588">
        <v>2</v>
      </c>
      <c r="B70" s="587" t="s">
        <v>782</v>
      </c>
      <c r="C70" s="590">
        <f t="shared" si="6"/>
        <v>97674768</v>
      </c>
      <c r="D70" s="590">
        <f t="shared" si="6"/>
        <v>100509240</v>
      </c>
      <c r="E70" s="590">
        <f t="shared" si="7"/>
        <v>2834472</v>
      </c>
    </row>
    <row r="71" spans="1:5" s="421" customFormat="1" x14ac:dyDescent="0.2">
      <c r="A71" s="588">
        <v>3</v>
      </c>
      <c r="B71" s="587" t="s">
        <v>783</v>
      </c>
      <c r="C71" s="590">
        <f t="shared" si="6"/>
        <v>36241582</v>
      </c>
      <c r="D71" s="590">
        <f t="shared" si="6"/>
        <v>33181146</v>
      </c>
      <c r="E71" s="590">
        <f t="shared" si="7"/>
        <v>-3060436</v>
      </c>
    </row>
    <row r="72" spans="1:5" s="421" customFormat="1" x14ac:dyDescent="0.2">
      <c r="A72" s="588">
        <v>4</v>
      </c>
      <c r="B72" s="587" t="s">
        <v>784</v>
      </c>
      <c r="C72" s="590">
        <f t="shared" si="6"/>
        <v>35580788</v>
      </c>
      <c r="D72" s="590">
        <f t="shared" si="6"/>
        <v>33024913</v>
      </c>
      <c r="E72" s="590">
        <f t="shared" si="7"/>
        <v>-2555875</v>
      </c>
    </row>
    <row r="73" spans="1:5" s="421" customFormat="1" x14ac:dyDescent="0.2">
      <c r="A73" s="588">
        <v>5</v>
      </c>
      <c r="B73" s="587" t="s">
        <v>785</v>
      </c>
      <c r="C73" s="590">
        <f t="shared" si="6"/>
        <v>660794</v>
      </c>
      <c r="D73" s="590">
        <f t="shared" si="6"/>
        <v>156233</v>
      </c>
      <c r="E73" s="590">
        <f t="shared" si="7"/>
        <v>-504561</v>
      </c>
    </row>
    <row r="74" spans="1:5" s="421" customFormat="1" x14ac:dyDescent="0.2">
      <c r="A74" s="588">
        <v>6</v>
      </c>
      <c r="B74" s="587" t="s">
        <v>786</v>
      </c>
      <c r="C74" s="590">
        <f t="shared" si="6"/>
        <v>164929</v>
      </c>
      <c r="D74" s="590">
        <f t="shared" si="6"/>
        <v>222747</v>
      </c>
      <c r="E74" s="590">
        <f t="shared" si="7"/>
        <v>57818</v>
      </c>
    </row>
    <row r="75" spans="1:5" s="421" customFormat="1" x14ac:dyDescent="0.2">
      <c r="A75" s="588">
        <v>7</v>
      </c>
      <c r="B75" s="587" t="s">
        <v>787</v>
      </c>
      <c r="C75" s="590">
        <f t="shared" si="6"/>
        <v>2287281</v>
      </c>
      <c r="D75" s="590">
        <f t="shared" si="6"/>
        <v>2853510</v>
      </c>
      <c r="E75" s="590">
        <f t="shared" si="7"/>
        <v>566229</v>
      </c>
    </row>
    <row r="76" spans="1:5" s="421" customFormat="1" x14ac:dyDescent="0.2">
      <c r="A76" s="588"/>
      <c r="B76" s="592" t="s">
        <v>793</v>
      </c>
      <c r="C76" s="593">
        <f>SUM(C70+C71+C74)</f>
        <v>134081279</v>
      </c>
      <c r="D76" s="593">
        <f>SUM(D70+D71+D74)</f>
        <v>133913133</v>
      </c>
      <c r="E76" s="593">
        <f t="shared" si="7"/>
        <v>-168146</v>
      </c>
    </row>
    <row r="77" spans="1:5" s="421" customFormat="1" x14ac:dyDescent="0.2">
      <c r="A77" s="588"/>
      <c r="B77" s="592" t="s">
        <v>726</v>
      </c>
      <c r="C77" s="593">
        <f>SUM(C69+C76)</f>
        <v>335531067</v>
      </c>
      <c r="D77" s="593">
        <f>SUM(D69+D76)</f>
        <v>335896039</v>
      </c>
      <c r="E77" s="593">
        <f t="shared" si="7"/>
        <v>364972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794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795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656</v>
      </c>
      <c r="C83" s="599">
        <f t="shared" ref="C83:D89" si="8">IF(C$44=0,0,C14/C$44)</f>
        <v>0.16111491914521822</v>
      </c>
      <c r="D83" s="599">
        <f t="shared" si="8"/>
        <v>0.14498582372568686</v>
      </c>
      <c r="E83" s="599">
        <f t="shared" ref="E83:E91" si="9">D83-C83</f>
        <v>-1.6129095419531364E-2</v>
      </c>
    </row>
    <row r="84" spans="1:5" s="421" customFormat="1" x14ac:dyDescent="0.2">
      <c r="A84" s="588">
        <v>2</v>
      </c>
      <c r="B84" s="587" t="s">
        <v>635</v>
      </c>
      <c r="C84" s="599">
        <f t="shared" si="8"/>
        <v>0.27499268992917852</v>
      </c>
      <c r="D84" s="599">
        <f t="shared" si="8"/>
        <v>0.26620136826421964</v>
      </c>
      <c r="E84" s="599">
        <f t="shared" si="9"/>
        <v>-8.7913216649588843E-3</v>
      </c>
    </row>
    <row r="85" spans="1:5" s="421" customFormat="1" x14ac:dyDescent="0.2">
      <c r="A85" s="588">
        <v>3</v>
      </c>
      <c r="B85" s="587" t="s">
        <v>777</v>
      </c>
      <c r="C85" s="599">
        <f t="shared" si="8"/>
        <v>8.4755232165409131E-2</v>
      </c>
      <c r="D85" s="599">
        <f t="shared" si="8"/>
        <v>8.2121747787560984E-2</v>
      </c>
      <c r="E85" s="599">
        <f t="shared" si="9"/>
        <v>-2.633484377848147E-3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8.3413457832296173E-2</v>
      </c>
      <c r="D86" s="599">
        <f t="shared" si="8"/>
        <v>8.1488356825878655E-2</v>
      </c>
      <c r="E86" s="599">
        <f t="shared" si="9"/>
        <v>-1.9251010064175178E-3</v>
      </c>
    </row>
    <row r="87" spans="1:5" s="421" customFormat="1" x14ac:dyDescent="0.2">
      <c r="A87" s="588">
        <v>5</v>
      </c>
      <c r="B87" s="587" t="s">
        <v>743</v>
      </c>
      <c r="C87" s="599">
        <f t="shared" si="8"/>
        <v>1.3417743331129617E-3</v>
      </c>
      <c r="D87" s="599">
        <f t="shared" si="8"/>
        <v>6.3339096168233756E-4</v>
      </c>
      <c r="E87" s="599">
        <f t="shared" si="9"/>
        <v>-7.0838337143062414E-4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5.7088863659081454E-4</v>
      </c>
      <c r="D88" s="599">
        <f t="shared" si="8"/>
        <v>5.2299510451659758E-4</v>
      </c>
      <c r="E88" s="599">
        <f t="shared" si="9"/>
        <v>-4.7893532074216958E-5</v>
      </c>
    </row>
    <row r="89" spans="1:5" s="421" customFormat="1" x14ac:dyDescent="0.2">
      <c r="A89" s="588">
        <v>7</v>
      </c>
      <c r="B89" s="587" t="s">
        <v>758</v>
      </c>
      <c r="C89" s="599">
        <f t="shared" si="8"/>
        <v>7.0291844677479298E-3</v>
      </c>
      <c r="D89" s="599">
        <f t="shared" si="8"/>
        <v>5.6812345511283698E-3</v>
      </c>
      <c r="E89" s="599">
        <f t="shared" si="9"/>
        <v>-1.34794991661956E-3</v>
      </c>
    </row>
    <row r="90" spans="1:5" s="421" customFormat="1" x14ac:dyDescent="0.2">
      <c r="A90" s="588"/>
      <c r="B90" s="592" t="s">
        <v>796</v>
      </c>
      <c r="C90" s="600">
        <f>SUM(C84+C85+C88)</f>
        <v>0.3603188107311785</v>
      </c>
      <c r="D90" s="600">
        <f>SUM(D84+D85+D88)</f>
        <v>0.34884611115629721</v>
      </c>
      <c r="E90" s="601">
        <f t="shared" si="9"/>
        <v>-1.1472699574881284E-2</v>
      </c>
    </row>
    <row r="91" spans="1:5" s="421" customFormat="1" x14ac:dyDescent="0.2">
      <c r="A91" s="588"/>
      <c r="B91" s="592" t="s">
        <v>797</v>
      </c>
      <c r="C91" s="600">
        <f>SUM(C83+C90)</f>
        <v>0.52143372987639669</v>
      </c>
      <c r="D91" s="600">
        <f>SUM(D83+D90)</f>
        <v>0.49383193488198407</v>
      </c>
      <c r="E91" s="601">
        <f t="shared" si="9"/>
        <v>-2.7601794994412621E-2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798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656</v>
      </c>
      <c r="C95" s="599">
        <f t="shared" ref="C95:D101" si="10">IF(C$44=0,0,C25/C$44)</f>
        <v>0.27804471862045538</v>
      </c>
      <c r="D95" s="599">
        <f t="shared" si="10"/>
        <v>0.27628300675328032</v>
      </c>
      <c r="E95" s="599">
        <f t="shared" ref="E95:E103" si="11">D95-C95</f>
        <v>-1.7617118671750531E-3</v>
      </c>
    </row>
    <row r="96" spans="1:5" s="421" customFormat="1" x14ac:dyDescent="0.2">
      <c r="A96" s="588">
        <v>2</v>
      </c>
      <c r="B96" s="587" t="s">
        <v>635</v>
      </c>
      <c r="C96" s="599">
        <f t="shared" si="10"/>
        <v>0.13623660904282434</v>
      </c>
      <c r="D96" s="599">
        <f t="shared" si="10"/>
        <v>0.15277244472722151</v>
      </c>
      <c r="E96" s="599">
        <f t="shared" si="11"/>
        <v>1.6535835684397177E-2</v>
      </c>
    </row>
    <row r="97" spans="1:5" s="421" customFormat="1" x14ac:dyDescent="0.2">
      <c r="A97" s="588">
        <v>3</v>
      </c>
      <c r="B97" s="587" t="s">
        <v>777</v>
      </c>
      <c r="C97" s="599">
        <f t="shared" si="10"/>
        <v>6.3850467113035922E-2</v>
      </c>
      <c r="D97" s="599">
        <f t="shared" si="10"/>
        <v>7.675666240366516E-2</v>
      </c>
      <c r="E97" s="599">
        <f t="shared" si="11"/>
        <v>1.2906195290629238E-2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6.3267948680799962E-2</v>
      </c>
      <c r="D98" s="599">
        <f t="shared" si="10"/>
        <v>7.6037548377370145E-2</v>
      </c>
      <c r="E98" s="599">
        <f t="shared" si="11"/>
        <v>1.2769599696570183E-2</v>
      </c>
    </row>
    <row r="99" spans="1:5" s="421" customFormat="1" x14ac:dyDescent="0.2">
      <c r="A99" s="588">
        <v>5</v>
      </c>
      <c r="B99" s="587" t="s">
        <v>743</v>
      </c>
      <c r="C99" s="599">
        <f t="shared" si="10"/>
        <v>5.8251843223595316E-4</v>
      </c>
      <c r="D99" s="599">
        <f t="shared" si="10"/>
        <v>7.1911402629502429E-4</v>
      </c>
      <c r="E99" s="599">
        <f t="shared" si="11"/>
        <v>1.3659559405907113E-4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4.3447534728769017E-4</v>
      </c>
      <c r="D100" s="599">
        <f t="shared" si="10"/>
        <v>3.5595123384890191E-4</v>
      </c>
      <c r="E100" s="599">
        <f t="shared" si="11"/>
        <v>-7.8524113438788266E-5</v>
      </c>
    </row>
    <row r="101" spans="1:5" s="421" customFormat="1" x14ac:dyDescent="0.2">
      <c r="A101" s="588">
        <v>7</v>
      </c>
      <c r="B101" s="587" t="s">
        <v>758</v>
      </c>
      <c r="C101" s="599">
        <f t="shared" si="10"/>
        <v>3.1682818711997282E-2</v>
      </c>
      <c r="D101" s="599">
        <f t="shared" si="10"/>
        <v>3.2797901364847185E-2</v>
      </c>
      <c r="E101" s="599">
        <f t="shared" si="11"/>
        <v>1.1150826528499025E-3</v>
      </c>
    </row>
    <row r="102" spans="1:5" s="421" customFormat="1" x14ac:dyDescent="0.2">
      <c r="A102" s="588"/>
      <c r="B102" s="592" t="s">
        <v>799</v>
      </c>
      <c r="C102" s="600">
        <f>SUM(C96+C97+C100)</f>
        <v>0.20052155150314793</v>
      </c>
      <c r="D102" s="600">
        <f>SUM(D96+D97+D100)</f>
        <v>0.22988505836473558</v>
      </c>
      <c r="E102" s="601">
        <f t="shared" si="11"/>
        <v>2.9363506861587646E-2</v>
      </c>
    </row>
    <row r="103" spans="1:5" s="421" customFormat="1" x14ac:dyDescent="0.2">
      <c r="A103" s="588"/>
      <c r="B103" s="592" t="s">
        <v>800</v>
      </c>
      <c r="C103" s="600">
        <f>SUM(C95+C102)</f>
        <v>0.47856627012360331</v>
      </c>
      <c r="D103" s="600">
        <f>SUM(D95+D102)</f>
        <v>0.50616806511801593</v>
      </c>
      <c r="E103" s="601">
        <f t="shared" si="11"/>
        <v>2.7601794994412621E-2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801</v>
      </c>
      <c r="C105" s="601">
        <f>C91+C103</f>
        <v>1</v>
      </c>
      <c r="D105" s="601">
        <f>D91+D103</f>
        <v>1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802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656</v>
      </c>
      <c r="C109" s="599">
        <f t="shared" ref="C109:D115" si="12">IF(C$77=0,0,C47/C$77)</f>
        <v>0.22465376656165195</v>
      </c>
      <c r="D109" s="599">
        <f t="shared" si="12"/>
        <v>0.22472309654118905</v>
      </c>
      <c r="E109" s="599">
        <f t="shared" ref="E109:E117" si="13">D109-C109</f>
        <v>6.9329979537097186E-5</v>
      </c>
    </row>
    <row r="110" spans="1:5" s="421" customFormat="1" x14ac:dyDescent="0.2">
      <c r="A110" s="588">
        <v>2</v>
      </c>
      <c r="B110" s="587" t="s">
        <v>635</v>
      </c>
      <c r="C110" s="599">
        <f t="shared" si="12"/>
        <v>0.22630528576359815</v>
      </c>
      <c r="D110" s="599">
        <f t="shared" si="12"/>
        <v>0.21486964304452547</v>
      </c>
      <c r="E110" s="599">
        <f t="shared" si="13"/>
        <v>-1.1435642719072686E-2</v>
      </c>
    </row>
    <row r="111" spans="1:5" s="421" customFormat="1" x14ac:dyDescent="0.2">
      <c r="A111" s="588">
        <v>3</v>
      </c>
      <c r="B111" s="587" t="s">
        <v>777</v>
      </c>
      <c r="C111" s="599">
        <f t="shared" si="12"/>
        <v>6.2046698644450712E-2</v>
      </c>
      <c r="D111" s="599">
        <f t="shared" si="12"/>
        <v>4.648225696999065E-2</v>
      </c>
      <c r="E111" s="599">
        <f t="shared" si="13"/>
        <v>-1.5564441674460062E-2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6.0612992358171115E-2</v>
      </c>
      <c r="D112" s="599">
        <f t="shared" si="12"/>
        <v>4.6199836253502234E-2</v>
      </c>
      <c r="E112" s="599">
        <f t="shared" si="13"/>
        <v>-1.4413156104668881E-2</v>
      </c>
    </row>
    <row r="113" spans="1:5" s="421" customFormat="1" x14ac:dyDescent="0.2">
      <c r="A113" s="588">
        <v>5</v>
      </c>
      <c r="B113" s="587" t="s">
        <v>743</v>
      </c>
      <c r="C113" s="599">
        <f t="shared" si="12"/>
        <v>1.4337062862795952E-3</v>
      </c>
      <c r="D113" s="599">
        <f t="shared" si="12"/>
        <v>2.8242071648841327E-4</v>
      </c>
      <c r="E113" s="599">
        <f t="shared" si="13"/>
        <v>-1.1512855697911818E-3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3.1288309883984605E-4</v>
      </c>
      <c r="D114" s="599">
        <f t="shared" si="12"/>
        <v>4.9586771102114722E-4</v>
      </c>
      <c r="E114" s="599">
        <f t="shared" si="13"/>
        <v>1.8298461218130117E-4</v>
      </c>
    </row>
    <row r="115" spans="1:5" s="421" customFormat="1" x14ac:dyDescent="0.2">
      <c r="A115" s="588">
        <v>7</v>
      </c>
      <c r="B115" s="587" t="s">
        <v>758</v>
      </c>
      <c r="C115" s="599">
        <f t="shared" si="12"/>
        <v>4.9852611710616949E-4</v>
      </c>
      <c r="D115" s="599">
        <f t="shared" si="12"/>
        <v>1.3636332281965373E-3</v>
      </c>
      <c r="E115" s="599">
        <f t="shared" si="13"/>
        <v>8.6510711109036786E-4</v>
      </c>
    </row>
    <row r="116" spans="1:5" s="421" customFormat="1" x14ac:dyDescent="0.2">
      <c r="A116" s="588"/>
      <c r="B116" s="592" t="s">
        <v>796</v>
      </c>
      <c r="C116" s="600">
        <f>SUM(C110+C111+C114)</f>
        <v>0.28866486750688874</v>
      </c>
      <c r="D116" s="600">
        <f>SUM(D110+D111+D114)</f>
        <v>0.26184776772553731</v>
      </c>
      <c r="E116" s="601">
        <f t="shared" si="13"/>
        <v>-2.6817099781351439E-2</v>
      </c>
    </row>
    <row r="117" spans="1:5" s="421" customFormat="1" x14ac:dyDescent="0.2">
      <c r="A117" s="588"/>
      <c r="B117" s="592" t="s">
        <v>797</v>
      </c>
      <c r="C117" s="600">
        <f>SUM(C109+C116)</f>
        <v>0.51331863406854072</v>
      </c>
      <c r="D117" s="600">
        <f>SUM(D109+D116)</f>
        <v>0.48657086426672636</v>
      </c>
      <c r="E117" s="601">
        <f t="shared" si="13"/>
        <v>-2.6747769801814369E-2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803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656</v>
      </c>
      <c r="C121" s="599">
        <f t="shared" ref="C121:D127" si="14">IF(C$77=0,0,C58/C$77)</f>
        <v>0.37573709977800657</v>
      </c>
      <c r="D121" s="599">
        <f t="shared" si="14"/>
        <v>0.37660255946036925</v>
      </c>
      <c r="E121" s="599">
        <f t="shared" ref="E121:E129" si="15">D121-C121</f>
        <v>8.6545968236267923E-4</v>
      </c>
    </row>
    <row r="122" spans="1:5" s="421" customFormat="1" x14ac:dyDescent="0.2">
      <c r="A122" s="588">
        <v>2</v>
      </c>
      <c r="B122" s="587" t="s">
        <v>635</v>
      </c>
      <c r="C122" s="599">
        <f t="shared" si="14"/>
        <v>6.4799704523337026E-2</v>
      </c>
      <c r="D122" s="599">
        <f t="shared" si="14"/>
        <v>8.4357583031814204E-2</v>
      </c>
      <c r="E122" s="599">
        <f t="shared" si="15"/>
        <v>1.9557878508477178E-2</v>
      </c>
    </row>
    <row r="123" spans="1:5" s="421" customFormat="1" x14ac:dyDescent="0.2">
      <c r="A123" s="588">
        <v>3</v>
      </c>
      <c r="B123" s="587" t="s">
        <v>777</v>
      </c>
      <c r="C123" s="599">
        <f t="shared" si="14"/>
        <v>4.5965898591441012E-2</v>
      </c>
      <c r="D123" s="599">
        <f t="shared" si="14"/>
        <v>5.2301718270634324E-2</v>
      </c>
      <c r="E123" s="599">
        <f t="shared" si="15"/>
        <v>6.3358196791933122E-3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4.5430207510412143E-2</v>
      </c>
      <c r="D124" s="599">
        <f t="shared" si="14"/>
        <v>5.2119015907776158E-2</v>
      </c>
      <c r="E124" s="599">
        <f t="shared" si="15"/>
        <v>6.6888083973640142E-3</v>
      </c>
    </row>
    <row r="125" spans="1:5" s="421" customFormat="1" x14ac:dyDescent="0.2">
      <c r="A125" s="588">
        <v>5</v>
      </c>
      <c r="B125" s="587" t="s">
        <v>743</v>
      </c>
      <c r="C125" s="599">
        <f t="shared" si="14"/>
        <v>5.3569108102886941E-4</v>
      </c>
      <c r="D125" s="599">
        <f t="shared" si="14"/>
        <v>1.8270236285816994E-4</v>
      </c>
      <c r="E125" s="599">
        <f t="shared" si="15"/>
        <v>-3.5298871817069949E-4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1.7866303867474661E-4</v>
      </c>
      <c r="D126" s="599">
        <f t="shared" si="14"/>
        <v>1.6727497045596301E-4</v>
      </c>
      <c r="E126" s="599">
        <f t="shared" si="15"/>
        <v>-1.1388068218783602E-5</v>
      </c>
    </row>
    <row r="127" spans="1:5" s="421" customFormat="1" x14ac:dyDescent="0.2">
      <c r="A127" s="588">
        <v>7</v>
      </c>
      <c r="B127" s="587" t="s">
        <v>758</v>
      </c>
      <c r="C127" s="599">
        <f t="shared" si="14"/>
        <v>6.3183717053538887E-3</v>
      </c>
      <c r="D127" s="599">
        <f t="shared" si="14"/>
        <v>7.1315845436331566E-3</v>
      </c>
      <c r="E127" s="599">
        <f t="shared" si="15"/>
        <v>8.1321283827926784E-4</v>
      </c>
    </row>
    <row r="128" spans="1:5" s="421" customFormat="1" x14ac:dyDescent="0.2">
      <c r="A128" s="588"/>
      <c r="B128" s="592" t="s">
        <v>799</v>
      </c>
      <c r="C128" s="600">
        <f>SUM(C122+C123+C126)</f>
        <v>0.11094426615345279</v>
      </c>
      <c r="D128" s="600">
        <f>SUM(D122+D123+D126)</f>
        <v>0.13682657627290448</v>
      </c>
      <c r="E128" s="601">
        <f t="shared" si="15"/>
        <v>2.588231011945169E-2</v>
      </c>
    </row>
    <row r="129" spans="1:5" s="421" customFormat="1" x14ac:dyDescent="0.2">
      <c r="A129" s="588"/>
      <c r="B129" s="592" t="s">
        <v>800</v>
      </c>
      <c r="C129" s="600">
        <f>SUM(C121+C128)</f>
        <v>0.48668136593145939</v>
      </c>
      <c r="D129" s="600">
        <f>SUM(D121+D128)</f>
        <v>0.51342913573327376</v>
      </c>
      <c r="E129" s="601">
        <f t="shared" si="15"/>
        <v>2.6747769801814369E-2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804</v>
      </c>
      <c r="C131" s="601">
        <f>C117+C129</f>
        <v>1</v>
      </c>
      <c r="D131" s="601">
        <f>D117+D129</f>
        <v>1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805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806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656</v>
      </c>
      <c r="C137" s="606">
        <v>5799</v>
      </c>
      <c r="D137" s="606">
        <v>4907</v>
      </c>
      <c r="E137" s="607">
        <f t="shared" ref="E137:E145" si="16">D137-C137</f>
        <v>-892</v>
      </c>
    </row>
    <row r="138" spans="1:5" s="421" customFormat="1" x14ac:dyDescent="0.2">
      <c r="A138" s="588">
        <v>2</v>
      </c>
      <c r="B138" s="587" t="s">
        <v>635</v>
      </c>
      <c r="C138" s="606">
        <v>6147</v>
      </c>
      <c r="D138" s="606">
        <v>5319</v>
      </c>
      <c r="E138" s="607">
        <f t="shared" si="16"/>
        <v>-828</v>
      </c>
    </row>
    <row r="139" spans="1:5" s="421" customFormat="1" x14ac:dyDescent="0.2">
      <c r="A139" s="588">
        <v>3</v>
      </c>
      <c r="B139" s="587" t="s">
        <v>777</v>
      </c>
      <c r="C139" s="606">
        <f>C140+C141</f>
        <v>3042</v>
      </c>
      <c r="D139" s="606">
        <f>D140+D141</f>
        <v>2803</v>
      </c>
      <c r="E139" s="607">
        <f t="shared" si="16"/>
        <v>-239</v>
      </c>
    </row>
    <row r="140" spans="1:5" s="421" customFormat="1" x14ac:dyDescent="0.2">
      <c r="A140" s="588">
        <v>4</v>
      </c>
      <c r="B140" s="587" t="s">
        <v>115</v>
      </c>
      <c r="C140" s="606">
        <v>3002</v>
      </c>
      <c r="D140" s="606">
        <v>2782</v>
      </c>
      <c r="E140" s="607">
        <f t="shared" si="16"/>
        <v>-220</v>
      </c>
    </row>
    <row r="141" spans="1:5" s="421" customFormat="1" x14ac:dyDescent="0.2">
      <c r="A141" s="588">
        <v>5</v>
      </c>
      <c r="B141" s="587" t="s">
        <v>743</v>
      </c>
      <c r="C141" s="606">
        <v>40</v>
      </c>
      <c r="D141" s="606">
        <v>21</v>
      </c>
      <c r="E141" s="607">
        <f t="shared" si="16"/>
        <v>-19</v>
      </c>
    </row>
    <row r="142" spans="1:5" s="421" customFormat="1" x14ac:dyDescent="0.2">
      <c r="A142" s="588">
        <v>6</v>
      </c>
      <c r="B142" s="587" t="s">
        <v>424</v>
      </c>
      <c r="C142" s="606">
        <v>15</v>
      </c>
      <c r="D142" s="606">
        <v>16</v>
      </c>
      <c r="E142" s="607">
        <f t="shared" si="16"/>
        <v>1</v>
      </c>
    </row>
    <row r="143" spans="1:5" s="421" customFormat="1" x14ac:dyDescent="0.2">
      <c r="A143" s="588">
        <v>7</v>
      </c>
      <c r="B143" s="587" t="s">
        <v>758</v>
      </c>
      <c r="C143" s="606">
        <v>267</v>
      </c>
      <c r="D143" s="606">
        <v>193</v>
      </c>
      <c r="E143" s="607">
        <f t="shared" si="16"/>
        <v>-74</v>
      </c>
    </row>
    <row r="144" spans="1:5" s="421" customFormat="1" x14ac:dyDescent="0.2">
      <c r="A144" s="588"/>
      <c r="B144" s="592" t="s">
        <v>807</v>
      </c>
      <c r="C144" s="608">
        <f>SUM(C138+C139+C142)</f>
        <v>9204</v>
      </c>
      <c r="D144" s="608">
        <f>SUM(D138+D139+D142)</f>
        <v>8138</v>
      </c>
      <c r="E144" s="609">
        <f t="shared" si="16"/>
        <v>-1066</v>
      </c>
    </row>
    <row r="145" spans="1:5" s="421" customFormat="1" x14ac:dyDescent="0.2">
      <c r="A145" s="588"/>
      <c r="B145" s="592" t="s">
        <v>138</v>
      </c>
      <c r="C145" s="608">
        <f>SUM(C137+C144)</f>
        <v>15003</v>
      </c>
      <c r="D145" s="608">
        <f>SUM(D137+D144)</f>
        <v>13045</v>
      </c>
      <c r="E145" s="609">
        <f t="shared" si="16"/>
        <v>-1958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656</v>
      </c>
      <c r="C149" s="610">
        <v>20211</v>
      </c>
      <c r="D149" s="610">
        <v>17156</v>
      </c>
      <c r="E149" s="607">
        <f t="shared" ref="E149:E157" si="17">D149-C149</f>
        <v>-3055</v>
      </c>
    </row>
    <row r="150" spans="1:5" s="421" customFormat="1" x14ac:dyDescent="0.2">
      <c r="A150" s="588">
        <v>2</v>
      </c>
      <c r="B150" s="587" t="s">
        <v>635</v>
      </c>
      <c r="C150" s="610">
        <v>35256</v>
      </c>
      <c r="D150" s="610">
        <v>31377</v>
      </c>
      <c r="E150" s="607">
        <f t="shared" si="17"/>
        <v>-3879</v>
      </c>
    </row>
    <row r="151" spans="1:5" s="421" customFormat="1" x14ac:dyDescent="0.2">
      <c r="A151" s="588">
        <v>3</v>
      </c>
      <c r="B151" s="587" t="s">
        <v>777</v>
      </c>
      <c r="C151" s="610">
        <f>C152+C153</f>
        <v>11806</v>
      </c>
      <c r="D151" s="610">
        <f>D152+D153</f>
        <v>11027</v>
      </c>
      <c r="E151" s="607">
        <f t="shared" si="17"/>
        <v>-779</v>
      </c>
    </row>
    <row r="152" spans="1:5" s="421" customFormat="1" x14ac:dyDescent="0.2">
      <c r="A152" s="588">
        <v>4</v>
      </c>
      <c r="B152" s="587" t="s">
        <v>115</v>
      </c>
      <c r="C152" s="610">
        <v>11609</v>
      </c>
      <c r="D152" s="610">
        <v>10948</v>
      </c>
      <c r="E152" s="607">
        <f t="shared" si="17"/>
        <v>-661</v>
      </c>
    </row>
    <row r="153" spans="1:5" s="421" customFormat="1" x14ac:dyDescent="0.2">
      <c r="A153" s="588">
        <v>5</v>
      </c>
      <c r="B153" s="587" t="s">
        <v>743</v>
      </c>
      <c r="C153" s="611">
        <v>197</v>
      </c>
      <c r="D153" s="610">
        <v>79</v>
      </c>
      <c r="E153" s="607">
        <f t="shared" si="17"/>
        <v>-118</v>
      </c>
    </row>
    <row r="154" spans="1:5" s="421" customFormat="1" x14ac:dyDescent="0.2">
      <c r="A154" s="588">
        <v>6</v>
      </c>
      <c r="B154" s="587" t="s">
        <v>424</v>
      </c>
      <c r="C154" s="610">
        <v>68</v>
      </c>
      <c r="D154" s="610">
        <v>51</v>
      </c>
      <c r="E154" s="607">
        <f t="shared" si="17"/>
        <v>-17</v>
      </c>
    </row>
    <row r="155" spans="1:5" s="421" customFormat="1" x14ac:dyDescent="0.2">
      <c r="A155" s="588">
        <v>7</v>
      </c>
      <c r="B155" s="587" t="s">
        <v>758</v>
      </c>
      <c r="C155" s="610">
        <v>844</v>
      </c>
      <c r="D155" s="610">
        <v>590</v>
      </c>
      <c r="E155" s="607">
        <f t="shared" si="17"/>
        <v>-254</v>
      </c>
    </row>
    <row r="156" spans="1:5" s="421" customFormat="1" x14ac:dyDescent="0.2">
      <c r="A156" s="588"/>
      <c r="B156" s="592" t="s">
        <v>808</v>
      </c>
      <c r="C156" s="608">
        <f>SUM(C150+C151+C154)</f>
        <v>47130</v>
      </c>
      <c r="D156" s="608">
        <f>SUM(D150+D151+D154)</f>
        <v>42455</v>
      </c>
      <c r="E156" s="609">
        <f t="shared" si="17"/>
        <v>-4675</v>
      </c>
    </row>
    <row r="157" spans="1:5" s="421" customFormat="1" x14ac:dyDescent="0.2">
      <c r="A157" s="588"/>
      <c r="B157" s="592" t="s">
        <v>140</v>
      </c>
      <c r="C157" s="608">
        <f>SUM(C149+C156)</f>
        <v>67341</v>
      </c>
      <c r="D157" s="608">
        <f>SUM(D149+D156)</f>
        <v>59611</v>
      </c>
      <c r="E157" s="609">
        <f t="shared" si="17"/>
        <v>-7730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809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656</v>
      </c>
      <c r="C161" s="612">
        <f t="shared" ref="C161:D169" si="18">IF(C137=0,0,C149/C137)</f>
        <v>3.4852560786342472</v>
      </c>
      <c r="D161" s="612">
        <f t="shared" si="18"/>
        <v>3.496229875687793</v>
      </c>
      <c r="E161" s="613">
        <f t="shared" ref="E161:E169" si="19">D161-C161</f>
        <v>1.0973797053545731E-2</v>
      </c>
    </row>
    <row r="162" spans="1:5" s="421" customFormat="1" x14ac:dyDescent="0.2">
      <c r="A162" s="588">
        <v>2</v>
      </c>
      <c r="B162" s="587" t="s">
        <v>635</v>
      </c>
      <c r="C162" s="612">
        <f t="shared" si="18"/>
        <v>5.7354807223035627</v>
      </c>
      <c r="D162" s="612">
        <f t="shared" si="18"/>
        <v>5.899041173152848</v>
      </c>
      <c r="E162" s="613">
        <f t="shared" si="19"/>
        <v>0.16356045084928539</v>
      </c>
    </row>
    <row r="163" spans="1:5" s="421" customFormat="1" x14ac:dyDescent="0.2">
      <c r="A163" s="588">
        <v>3</v>
      </c>
      <c r="B163" s="587" t="s">
        <v>777</v>
      </c>
      <c r="C163" s="612">
        <f t="shared" si="18"/>
        <v>3.880999342537804</v>
      </c>
      <c r="D163" s="612">
        <f t="shared" si="18"/>
        <v>3.9339992864787727</v>
      </c>
      <c r="E163" s="613">
        <f t="shared" si="19"/>
        <v>5.2999943940968741E-2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3.8670886075949369</v>
      </c>
      <c r="D164" s="612">
        <f t="shared" si="18"/>
        <v>3.9352983465132998</v>
      </c>
      <c r="E164" s="613">
        <f t="shared" si="19"/>
        <v>6.8209738918362905E-2</v>
      </c>
    </row>
    <row r="165" spans="1:5" s="421" customFormat="1" x14ac:dyDescent="0.2">
      <c r="A165" s="588">
        <v>5</v>
      </c>
      <c r="B165" s="587" t="s">
        <v>743</v>
      </c>
      <c r="C165" s="612">
        <f t="shared" si="18"/>
        <v>4.9249999999999998</v>
      </c>
      <c r="D165" s="612">
        <f t="shared" si="18"/>
        <v>3.7619047619047619</v>
      </c>
      <c r="E165" s="613">
        <f t="shared" si="19"/>
        <v>-1.163095238095238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4.5333333333333332</v>
      </c>
      <c r="D166" s="612">
        <f t="shared" si="18"/>
        <v>3.1875</v>
      </c>
      <c r="E166" s="613">
        <f t="shared" si="19"/>
        <v>-1.3458333333333332</v>
      </c>
    </row>
    <row r="167" spans="1:5" s="421" customFormat="1" x14ac:dyDescent="0.2">
      <c r="A167" s="588">
        <v>7</v>
      </c>
      <c r="B167" s="587" t="s">
        <v>758</v>
      </c>
      <c r="C167" s="612">
        <f t="shared" si="18"/>
        <v>3.161048689138577</v>
      </c>
      <c r="D167" s="612">
        <f t="shared" si="18"/>
        <v>3.0569948186528499</v>
      </c>
      <c r="E167" s="613">
        <f t="shared" si="19"/>
        <v>-0.10405387048572701</v>
      </c>
    </row>
    <row r="168" spans="1:5" s="421" customFormat="1" x14ac:dyDescent="0.2">
      <c r="A168" s="588"/>
      <c r="B168" s="592" t="s">
        <v>810</v>
      </c>
      <c r="C168" s="614">
        <f t="shared" si="18"/>
        <v>5.120599739243807</v>
      </c>
      <c r="D168" s="614">
        <f t="shared" si="18"/>
        <v>5.2168837552224137</v>
      </c>
      <c r="E168" s="615">
        <f t="shared" si="19"/>
        <v>9.6284015978606696E-2</v>
      </c>
    </row>
    <row r="169" spans="1:5" s="421" customFormat="1" x14ac:dyDescent="0.2">
      <c r="A169" s="588"/>
      <c r="B169" s="592" t="s">
        <v>744</v>
      </c>
      <c r="C169" s="614">
        <f t="shared" si="18"/>
        <v>4.4885022995400918</v>
      </c>
      <c r="D169" s="614">
        <f t="shared" si="18"/>
        <v>4.5696435415868146</v>
      </c>
      <c r="E169" s="615">
        <f t="shared" si="19"/>
        <v>8.1141242046722795E-2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811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656</v>
      </c>
      <c r="C173" s="617">
        <f t="shared" ref="C173:D181" si="20">IF(C137=0,0,C203/C137)</f>
        <v>1.0031000000000001</v>
      </c>
      <c r="D173" s="617">
        <f t="shared" si="20"/>
        <v>1.075</v>
      </c>
      <c r="E173" s="618">
        <f t="shared" ref="E173:E181" si="21">D173-C173</f>
        <v>7.1899999999999853E-2</v>
      </c>
    </row>
    <row r="174" spans="1:5" s="421" customFormat="1" x14ac:dyDescent="0.2">
      <c r="A174" s="588">
        <v>2</v>
      </c>
      <c r="B174" s="587" t="s">
        <v>635</v>
      </c>
      <c r="C174" s="617">
        <f t="shared" si="20"/>
        <v>1.3455999999999999</v>
      </c>
      <c r="D174" s="617">
        <f t="shared" si="20"/>
        <v>1.4406000000000001</v>
      </c>
      <c r="E174" s="618">
        <f t="shared" si="21"/>
        <v>9.5000000000000195E-2</v>
      </c>
    </row>
    <row r="175" spans="1:5" s="421" customFormat="1" x14ac:dyDescent="0.2">
      <c r="A175" s="588">
        <v>3</v>
      </c>
      <c r="B175" s="587" t="s">
        <v>777</v>
      </c>
      <c r="C175" s="617">
        <f t="shared" si="20"/>
        <v>0.93919921104536486</v>
      </c>
      <c r="D175" s="617">
        <f t="shared" si="20"/>
        <v>0.95943041027470577</v>
      </c>
      <c r="E175" s="618">
        <f t="shared" si="21"/>
        <v>2.0231199229340913E-2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0.93799999999999994</v>
      </c>
      <c r="D176" s="617">
        <f t="shared" si="20"/>
        <v>0.95902000000000009</v>
      </c>
      <c r="E176" s="618">
        <f t="shared" si="21"/>
        <v>2.102000000000015E-2</v>
      </c>
    </row>
    <row r="177" spans="1:5" s="421" customFormat="1" x14ac:dyDescent="0.2">
      <c r="A177" s="588">
        <v>5</v>
      </c>
      <c r="B177" s="587" t="s">
        <v>743</v>
      </c>
      <c r="C177" s="617">
        <f t="shared" si="20"/>
        <v>1.0291999999999999</v>
      </c>
      <c r="D177" s="617">
        <f t="shared" si="20"/>
        <v>1.0138</v>
      </c>
      <c r="E177" s="618">
        <f t="shared" si="21"/>
        <v>-1.5399999999999858E-2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0.84589999999999999</v>
      </c>
      <c r="D178" s="617">
        <f t="shared" si="20"/>
        <v>1.5285</v>
      </c>
      <c r="E178" s="618">
        <f t="shared" si="21"/>
        <v>0.68259999999999998</v>
      </c>
    </row>
    <row r="179" spans="1:5" s="421" customFormat="1" x14ac:dyDescent="0.2">
      <c r="A179" s="588">
        <v>7</v>
      </c>
      <c r="B179" s="587" t="s">
        <v>758</v>
      </c>
      <c r="C179" s="617">
        <f t="shared" si="20"/>
        <v>0.96429999999999993</v>
      </c>
      <c r="D179" s="617">
        <f t="shared" si="20"/>
        <v>1.0650999999999999</v>
      </c>
      <c r="E179" s="618">
        <f t="shared" si="21"/>
        <v>0.1008</v>
      </c>
    </row>
    <row r="180" spans="1:5" s="421" customFormat="1" x14ac:dyDescent="0.2">
      <c r="A180" s="588"/>
      <c r="B180" s="592" t="s">
        <v>812</v>
      </c>
      <c r="C180" s="619">
        <f t="shared" si="20"/>
        <v>1.2104667209908735</v>
      </c>
      <c r="D180" s="619">
        <f t="shared" si="20"/>
        <v>1.2750418825264191</v>
      </c>
      <c r="E180" s="620">
        <f t="shared" si="21"/>
        <v>6.4575161535545655E-2</v>
      </c>
    </row>
    <row r="181" spans="1:5" s="421" customFormat="1" x14ac:dyDescent="0.2">
      <c r="A181" s="588"/>
      <c r="B181" s="592" t="s">
        <v>723</v>
      </c>
      <c r="C181" s="619">
        <f t="shared" si="20"/>
        <v>1.1303147770445912</v>
      </c>
      <c r="D181" s="619">
        <f t="shared" si="20"/>
        <v>1.1997942384055194</v>
      </c>
      <c r="E181" s="620">
        <f t="shared" si="21"/>
        <v>6.9479461360928196E-2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813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ht="25.5" x14ac:dyDescent="0.2">
      <c r="A185" s="588">
        <v>1</v>
      </c>
      <c r="B185" s="587" t="s">
        <v>814</v>
      </c>
      <c r="C185" s="589">
        <v>363988504</v>
      </c>
      <c r="D185" s="589">
        <v>349638109</v>
      </c>
      <c r="E185" s="590">
        <f>D185-C185</f>
        <v>-14350395</v>
      </c>
    </row>
    <row r="186" spans="1:5" s="421" customFormat="1" ht="25.5" x14ac:dyDescent="0.2">
      <c r="A186" s="588">
        <v>2</v>
      </c>
      <c r="B186" s="587" t="s">
        <v>815</v>
      </c>
      <c r="C186" s="589">
        <v>199162505</v>
      </c>
      <c r="D186" s="589">
        <v>199129397</v>
      </c>
      <c r="E186" s="590">
        <f>D186-C186</f>
        <v>-33108</v>
      </c>
    </row>
    <row r="187" spans="1:5" s="421" customFormat="1" x14ac:dyDescent="0.2">
      <c r="A187" s="588"/>
      <c r="B187" s="587" t="s">
        <v>668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747</v>
      </c>
      <c r="C188" s="622">
        <f>+C185-C186</f>
        <v>164825999</v>
      </c>
      <c r="D188" s="622">
        <f>+D185-D186</f>
        <v>150508712</v>
      </c>
      <c r="E188" s="590">
        <f t="shared" ref="E188:E197" si="22">D188-C188</f>
        <v>-14317287</v>
      </c>
    </row>
    <row r="189" spans="1:5" s="421" customFormat="1" x14ac:dyDescent="0.2">
      <c r="A189" s="588">
        <v>4</v>
      </c>
      <c r="B189" s="587" t="s">
        <v>670</v>
      </c>
      <c r="C189" s="623">
        <f>IF(C185=0,0,+C188/C185)</f>
        <v>0.4528329801317022</v>
      </c>
      <c r="D189" s="623">
        <f>IF(D185=0,0,+D188/D185)</f>
        <v>0.43046998632520345</v>
      </c>
      <c r="E189" s="599">
        <f t="shared" si="22"/>
        <v>-2.2362993806498754E-2</v>
      </c>
    </row>
    <row r="190" spans="1:5" s="421" customFormat="1" x14ac:dyDescent="0.2">
      <c r="A190" s="588">
        <v>5</v>
      </c>
      <c r="B190" s="587" t="s">
        <v>762</v>
      </c>
      <c r="C190" s="589">
        <v>15544363</v>
      </c>
      <c r="D190" s="589">
        <v>17735548</v>
      </c>
      <c r="E190" s="622">
        <f t="shared" si="22"/>
        <v>2191185</v>
      </c>
    </row>
    <row r="191" spans="1:5" s="421" customFormat="1" x14ac:dyDescent="0.2">
      <c r="A191" s="588">
        <v>6</v>
      </c>
      <c r="B191" s="587" t="s">
        <v>748</v>
      </c>
      <c r="C191" s="589">
        <v>10986753</v>
      </c>
      <c r="D191" s="589">
        <v>11644353</v>
      </c>
      <c r="E191" s="622">
        <f t="shared" si="22"/>
        <v>657600</v>
      </c>
    </row>
    <row r="192" spans="1:5" ht="29.25" x14ac:dyDescent="0.2">
      <c r="A192" s="588">
        <v>7</v>
      </c>
      <c r="B192" s="624" t="s">
        <v>816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817</v>
      </c>
      <c r="C193" s="589">
        <v>17929000</v>
      </c>
      <c r="D193" s="589">
        <v>18272000</v>
      </c>
      <c r="E193" s="622">
        <f t="shared" si="22"/>
        <v>343000</v>
      </c>
    </row>
    <row r="194" spans="1:5" s="421" customFormat="1" x14ac:dyDescent="0.2">
      <c r="A194" s="588">
        <v>9</v>
      </c>
      <c r="B194" s="587" t="s">
        <v>818</v>
      </c>
      <c r="C194" s="589">
        <v>23530477</v>
      </c>
      <c r="D194" s="589">
        <v>17836044</v>
      </c>
      <c r="E194" s="622">
        <f t="shared" si="22"/>
        <v>-5694433</v>
      </c>
    </row>
    <row r="195" spans="1:5" s="421" customFormat="1" x14ac:dyDescent="0.2">
      <c r="A195" s="588">
        <v>10</v>
      </c>
      <c r="B195" s="587" t="s">
        <v>819</v>
      </c>
      <c r="C195" s="589">
        <f>+C193+C194</f>
        <v>41459477</v>
      </c>
      <c r="D195" s="589">
        <f>+D193+D194</f>
        <v>36108044</v>
      </c>
      <c r="E195" s="625">
        <f t="shared" si="22"/>
        <v>-5351433</v>
      </c>
    </row>
    <row r="196" spans="1:5" s="421" customFormat="1" x14ac:dyDescent="0.2">
      <c r="A196" s="588">
        <v>11</v>
      </c>
      <c r="B196" s="587" t="s">
        <v>820</v>
      </c>
      <c r="C196" s="589">
        <v>20310592</v>
      </c>
      <c r="D196" s="589">
        <v>16843048</v>
      </c>
      <c r="E196" s="622">
        <f t="shared" si="22"/>
        <v>-3467544</v>
      </c>
    </row>
    <row r="197" spans="1:5" s="421" customFormat="1" x14ac:dyDescent="0.2">
      <c r="A197" s="588">
        <v>12</v>
      </c>
      <c r="B197" s="587" t="s">
        <v>710</v>
      </c>
      <c r="C197" s="589">
        <v>361951445</v>
      </c>
      <c r="D197" s="589">
        <v>338981125</v>
      </c>
      <c r="E197" s="622">
        <f t="shared" si="22"/>
        <v>-22970320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821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822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656</v>
      </c>
      <c r="C203" s="629">
        <v>5816.9769000000006</v>
      </c>
      <c r="D203" s="629">
        <v>5275.0249999999996</v>
      </c>
      <c r="E203" s="630">
        <f t="shared" ref="E203:E211" si="23">D203-C203</f>
        <v>-541.95190000000093</v>
      </c>
    </row>
    <row r="204" spans="1:5" s="421" customFormat="1" x14ac:dyDescent="0.2">
      <c r="A204" s="588">
        <v>2</v>
      </c>
      <c r="B204" s="587" t="s">
        <v>635</v>
      </c>
      <c r="C204" s="629">
        <v>8271.4031999999988</v>
      </c>
      <c r="D204" s="629">
        <v>7662.5514000000003</v>
      </c>
      <c r="E204" s="630">
        <f t="shared" si="23"/>
        <v>-608.85179999999855</v>
      </c>
    </row>
    <row r="205" spans="1:5" s="421" customFormat="1" x14ac:dyDescent="0.2">
      <c r="A205" s="588">
        <v>3</v>
      </c>
      <c r="B205" s="587" t="s">
        <v>777</v>
      </c>
      <c r="C205" s="629">
        <f>C206+C207</f>
        <v>2857.0439999999999</v>
      </c>
      <c r="D205" s="629">
        <f>D206+D207</f>
        <v>2689.2834400000002</v>
      </c>
      <c r="E205" s="630">
        <f t="shared" si="23"/>
        <v>-167.76055999999971</v>
      </c>
    </row>
    <row r="206" spans="1:5" s="421" customFormat="1" x14ac:dyDescent="0.2">
      <c r="A206" s="588">
        <v>4</v>
      </c>
      <c r="B206" s="587" t="s">
        <v>115</v>
      </c>
      <c r="C206" s="629">
        <v>2815.8759999999997</v>
      </c>
      <c r="D206" s="629">
        <v>2667.9936400000001</v>
      </c>
      <c r="E206" s="630">
        <f t="shared" si="23"/>
        <v>-147.88235999999961</v>
      </c>
    </row>
    <row r="207" spans="1:5" s="421" customFormat="1" x14ac:dyDescent="0.2">
      <c r="A207" s="588">
        <v>5</v>
      </c>
      <c r="B207" s="587" t="s">
        <v>743</v>
      </c>
      <c r="C207" s="629">
        <v>41.167999999999992</v>
      </c>
      <c r="D207" s="629">
        <v>21.2898</v>
      </c>
      <c r="E207" s="630">
        <f t="shared" si="23"/>
        <v>-19.878199999999993</v>
      </c>
    </row>
    <row r="208" spans="1:5" s="421" customFormat="1" x14ac:dyDescent="0.2">
      <c r="A208" s="588">
        <v>6</v>
      </c>
      <c r="B208" s="587" t="s">
        <v>424</v>
      </c>
      <c r="C208" s="629">
        <v>12.688499999999999</v>
      </c>
      <c r="D208" s="629">
        <v>24.456</v>
      </c>
      <c r="E208" s="630">
        <f t="shared" si="23"/>
        <v>11.7675</v>
      </c>
    </row>
    <row r="209" spans="1:5" s="421" customFormat="1" x14ac:dyDescent="0.2">
      <c r="A209" s="588">
        <v>7</v>
      </c>
      <c r="B209" s="587" t="s">
        <v>758</v>
      </c>
      <c r="C209" s="629">
        <v>257.46809999999999</v>
      </c>
      <c r="D209" s="629">
        <v>205.56429999999997</v>
      </c>
      <c r="E209" s="630">
        <f t="shared" si="23"/>
        <v>-51.903800000000018</v>
      </c>
    </row>
    <row r="210" spans="1:5" s="421" customFormat="1" x14ac:dyDescent="0.2">
      <c r="A210" s="588"/>
      <c r="B210" s="592" t="s">
        <v>823</v>
      </c>
      <c r="C210" s="631">
        <f>C204+C205+C208</f>
        <v>11141.135699999999</v>
      </c>
      <c r="D210" s="631">
        <f>D204+D205+D208</f>
        <v>10376.29084</v>
      </c>
      <c r="E210" s="632">
        <f t="shared" si="23"/>
        <v>-764.84485999999924</v>
      </c>
    </row>
    <row r="211" spans="1:5" s="421" customFormat="1" x14ac:dyDescent="0.2">
      <c r="A211" s="588"/>
      <c r="B211" s="592" t="s">
        <v>724</v>
      </c>
      <c r="C211" s="631">
        <f>C210+C203</f>
        <v>16958.1126</v>
      </c>
      <c r="D211" s="631">
        <f>D210+D203</f>
        <v>15651.315839999999</v>
      </c>
      <c r="E211" s="632">
        <f t="shared" si="23"/>
        <v>-1306.7967600000011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824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656</v>
      </c>
      <c r="C215" s="633">
        <f>IF(C14*C137=0,0,C25/C14*C137)</f>
        <v>10007.647534035801</v>
      </c>
      <c r="D215" s="633">
        <f>IF(D14*D137=0,0,D25/D14*D137)</f>
        <v>9350.7122234472372</v>
      </c>
      <c r="E215" s="633">
        <f t="shared" ref="E215:E223" si="24">D215-C215</f>
        <v>-656.93531058856388</v>
      </c>
    </row>
    <row r="216" spans="1:5" s="421" customFormat="1" x14ac:dyDescent="0.2">
      <c r="A216" s="588">
        <v>2</v>
      </c>
      <c r="B216" s="587" t="s">
        <v>635</v>
      </c>
      <c r="C216" s="633">
        <f>IF(C15*C138=0,0,C26/C15*C138)</f>
        <v>3045.3407179729643</v>
      </c>
      <c r="D216" s="633">
        <f>IF(D15*D138=0,0,D26/D15*D138)</f>
        <v>3052.5636994380284</v>
      </c>
      <c r="E216" s="633">
        <f t="shared" si="24"/>
        <v>7.2229814650640947</v>
      </c>
    </row>
    <row r="217" spans="1:5" s="421" customFormat="1" x14ac:dyDescent="0.2">
      <c r="A217" s="588">
        <v>3</v>
      </c>
      <c r="B217" s="587" t="s">
        <v>777</v>
      </c>
      <c r="C217" s="633">
        <f>C218+C219</f>
        <v>2294.3409008295753</v>
      </c>
      <c r="D217" s="633">
        <f>D218+D219</f>
        <v>2619.7523735778718</v>
      </c>
      <c r="E217" s="633">
        <f t="shared" si="24"/>
        <v>325.41147274829655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2276.9752852305796</v>
      </c>
      <c r="D218" s="633">
        <f t="shared" si="25"/>
        <v>2595.9102358370915</v>
      </c>
      <c r="E218" s="633">
        <f t="shared" si="24"/>
        <v>318.93495060651185</v>
      </c>
    </row>
    <row r="219" spans="1:5" s="421" customFormat="1" x14ac:dyDescent="0.2">
      <c r="A219" s="588">
        <v>5</v>
      </c>
      <c r="B219" s="587" t="s">
        <v>743</v>
      </c>
      <c r="C219" s="633">
        <f t="shared" si="25"/>
        <v>17.365615598995422</v>
      </c>
      <c r="D219" s="633">
        <f t="shared" si="25"/>
        <v>23.842137740780178</v>
      </c>
      <c r="E219" s="633">
        <f t="shared" si="24"/>
        <v>6.4765221417847556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11.415764461933962</v>
      </c>
      <c r="D220" s="633">
        <f t="shared" si="25"/>
        <v>10.88962342553187</v>
      </c>
      <c r="E220" s="633">
        <f t="shared" si="24"/>
        <v>-0.52614103640209287</v>
      </c>
    </row>
    <row r="221" spans="1:5" s="421" customFormat="1" x14ac:dyDescent="0.2">
      <c r="A221" s="588">
        <v>7</v>
      </c>
      <c r="B221" s="587" t="s">
        <v>758</v>
      </c>
      <c r="C221" s="633">
        <f t="shared" si="25"/>
        <v>1203.4557685770255</v>
      </c>
      <c r="D221" s="633">
        <f t="shared" si="25"/>
        <v>1114.1935624112341</v>
      </c>
      <c r="E221" s="633">
        <f t="shared" si="24"/>
        <v>-89.26220616579144</v>
      </c>
    </row>
    <row r="222" spans="1:5" s="421" customFormat="1" x14ac:dyDescent="0.2">
      <c r="A222" s="588"/>
      <c r="B222" s="592" t="s">
        <v>825</v>
      </c>
      <c r="C222" s="634">
        <f>C216+C218+C219+C220</f>
        <v>5351.0973832644731</v>
      </c>
      <c r="D222" s="634">
        <f>D216+D218+D219+D220</f>
        <v>5683.2056964414323</v>
      </c>
      <c r="E222" s="634">
        <f t="shared" si="24"/>
        <v>332.1083131769592</v>
      </c>
    </row>
    <row r="223" spans="1:5" s="421" customFormat="1" x14ac:dyDescent="0.2">
      <c r="A223" s="588"/>
      <c r="B223" s="592" t="s">
        <v>826</v>
      </c>
      <c r="C223" s="634">
        <f>C215+C222</f>
        <v>15358.744917300275</v>
      </c>
      <c r="D223" s="634">
        <f>D215+D222</f>
        <v>15033.91791988867</v>
      </c>
      <c r="E223" s="634">
        <f t="shared" si="24"/>
        <v>-324.82699741160468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827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656</v>
      </c>
      <c r="C227" s="636">
        <f t="shared" ref="C227:D235" si="26">IF(C203=0,0,C47/C203)</f>
        <v>12958.332016068345</v>
      </c>
      <c r="D227" s="636">
        <f t="shared" si="26"/>
        <v>14309.619006544994</v>
      </c>
      <c r="E227" s="636">
        <f t="shared" ref="E227:E235" si="27">D227-C227</f>
        <v>1351.2869904766485</v>
      </c>
    </row>
    <row r="228" spans="1:5" s="421" customFormat="1" x14ac:dyDescent="0.2">
      <c r="A228" s="588">
        <v>2</v>
      </c>
      <c r="B228" s="587" t="s">
        <v>635</v>
      </c>
      <c r="C228" s="636">
        <f t="shared" si="26"/>
        <v>9180.1175887544705</v>
      </c>
      <c r="D228" s="636">
        <f t="shared" si="26"/>
        <v>9419.0378938273734</v>
      </c>
      <c r="E228" s="636">
        <f t="shared" si="27"/>
        <v>238.92030507290292</v>
      </c>
    </row>
    <row r="229" spans="1:5" s="421" customFormat="1" x14ac:dyDescent="0.2">
      <c r="A229" s="588">
        <v>3</v>
      </c>
      <c r="B229" s="587" t="s">
        <v>777</v>
      </c>
      <c r="C229" s="636">
        <f t="shared" si="26"/>
        <v>7286.7603719088684</v>
      </c>
      <c r="D229" s="636">
        <f t="shared" si="26"/>
        <v>5805.7123201561826</v>
      </c>
      <c r="E229" s="636">
        <f t="shared" si="27"/>
        <v>-1481.0480517526858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7222.4565286255511</v>
      </c>
      <c r="D230" s="636">
        <f t="shared" si="26"/>
        <v>5816.4838803738676</v>
      </c>
      <c r="E230" s="636">
        <f t="shared" si="27"/>
        <v>-1405.9726482516835</v>
      </c>
    </row>
    <row r="231" spans="1:5" s="421" customFormat="1" x14ac:dyDescent="0.2">
      <c r="A231" s="588">
        <v>5</v>
      </c>
      <c r="B231" s="587" t="s">
        <v>743</v>
      </c>
      <c r="C231" s="636">
        <f t="shared" si="26"/>
        <v>11685.119510299264</v>
      </c>
      <c r="D231" s="636">
        <f t="shared" si="26"/>
        <v>4455.8427040178867</v>
      </c>
      <c r="E231" s="636">
        <f t="shared" si="27"/>
        <v>-7229.2768062813775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8273.7912282775742</v>
      </c>
      <c r="D232" s="636">
        <f t="shared" si="26"/>
        <v>6810.5986261040234</v>
      </c>
      <c r="E232" s="636">
        <f t="shared" si="27"/>
        <v>-1463.1926021735508</v>
      </c>
    </row>
    <row r="233" spans="1:5" s="421" customFormat="1" x14ac:dyDescent="0.2">
      <c r="A233" s="588">
        <v>7</v>
      </c>
      <c r="B233" s="587" t="s">
        <v>758</v>
      </c>
      <c r="C233" s="636">
        <f t="shared" si="26"/>
        <v>649.67660071286502</v>
      </c>
      <c r="D233" s="636">
        <f t="shared" si="26"/>
        <v>2228.203048875705</v>
      </c>
      <c r="E233" s="636">
        <f t="shared" si="27"/>
        <v>1578.5264481628401</v>
      </c>
    </row>
    <row r="234" spans="1:5" x14ac:dyDescent="0.2">
      <c r="A234" s="588"/>
      <c r="B234" s="592" t="s">
        <v>828</v>
      </c>
      <c r="C234" s="637">
        <f t="shared" si="26"/>
        <v>8693.5509635700801</v>
      </c>
      <c r="D234" s="637">
        <f t="shared" si="26"/>
        <v>8476.4035006559243</v>
      </c>
      <c r="E234" s="637">
        <f t="shared" si="27"/>
        <v>-217.14746291415577</v>
      </c>
    </row>
    <row r="235" spans="1:5" s="421" customFormat="1" x14ac:dyDescent="0.2">
      <c r="A235" s="588"/>
      <c r="B235" s="592" t="s">
        <v>829</v>
      </c>
      <c r="C235" s="637">
        <f t="shared" si="26"/>
        <v>10156.457446803366</v>
      </c>
      <c r="D235" s="637">
        <f t="shared" si="26"/>
        <v>10442.395238252377</v>
      </c>
      <c r="E235" s="637">
        <f t="shared" si="27"/>
        <v>285.93779144901055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830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656</v>
      </c>
      <c r="C239" s="636">
        <f t="shared" ref="C239:D247" si="28">IF(C215=0,0,C58/C215)</f>
        <v>12597.513009049684</v>
      </c>
      <c r="D239" s="636">
        <f t="shared" si="28"/>
        <v>13528.307253729676</v>
      </c>
      <c r="E239" s="638">
        <f t="shared" ref="E239:E247" si="29">D239-C239</f>
        <v>930.79424467999161</v>
      </c>
    </row>
    <row r="240" spans="1:5" s="421" customFormat="1" x14ac:dyDescent="0.2">
      <c r="A240" s="588">
        <v>2</v>
      </c>
      <c r="B240" s="587" t="s">
        <v>635</v>
      </c>
      <c r="C240" s="636">
        <f t="shared" si="28"/>
        <v>7139.5341321519163</v>
      </c>
      <c r="D240" s="636">
        <f t="shared" si="28"/>
        <v>9282.4854089749188</v>
      </c>
      <c r="E240" s="638">
        <f t="shared" si="29"/>
        <v>2142.9512768230024</v>
      </c>
    </row>
    <row r="241" spans="1:5" x14ac:dyDescent="0.2">
      <c r="A241" s="588">
        <v>3</v>
      </c>
      <c r="B241" s="587" t="s">
        <v>777</v>
      </c>
      <c r="C241" s="636">
        <f t="shared" si="28"/>
        <v>6722.1863126022117</v>
      </c>
      <c r="D241" s="636">
        <f t="shared" si="28"/>
        <v>6705.9544166027245</v>
      </c>
      <c r="E241" s="638">
        <f t="shared" si="29"/>
        <v>-16.231895999487278</v>
      </c>
    </row>
    <row r="242" spans="1:5" x14ac:dyDescent="0.2">
      <c r="A242" s="588">
        <v>4</v>
      </c>
      <c r="B242" s="587" t="s">
        <v>115</v>
      </c>
      <c r="C242" s="636">
        <f t="shared" si="28"/>
        <v>6694.5153506382403</v>
      </c>
      <c r="D242" s="636">
        <f t="shared" si="28"/>
        <v>6743.9046074544776</v>
      </c>
      <c r="E242" s="638">
        <f t="shared" si="29"/>
        <v>49.389256816237321</v>
      </c>
    </row>
    <row r="243" spans="1:5" x14ac:dyDescent="0.2">
      <c r="A243" s="588">
        <v>5</v>
      </c>
      <c r="B243" s="587" t="s">
        <v>743</v>
      </c>
      <c r="C243" s="636">
        <f t="shared" si="28"/>
        <v>10350.396101730927</v>
      </c>
      <c r="D243" s="636">
        <f t="shared" si="28"/>
        <v>2573.9722111844426</v>
      </c>
      <c r="E243" s="638">
        <f t="shared" si="29"/>
        <v>-7776.4238905464845</v>
      </c>
    </row>
    <row r="244" spans="1:5" x14ac:dyDescent="0.2">
      <c r="A244" s="588">
        <v>6</v>
      </c>
      <c r="B244" s="587" t="s">
        <v>424</v>
      </c>
      <c r="C244" s="636">
        <f t="shared" si="28"/>
        <v>5251.2470978088386</v>
      </c>
      <c r="D244" s="636">
        <f t="shared" si="28"/>
        <v>5159.6825532335361</v>
      </c>
      <c r="E244" s="638">
        <f t="shared" si="29"/>
        <v>-91.564544575302534</v>
      </c>
    </row>
    <row r="245" spans="1:5" x14ac:dyDescent="0.2">
      <c r="A245" s="588">
        <v>7</v>
      </c>
      <c r="B245" s="587" t="s">
        <v>758</v>
      </c>
      <c r="C245" s="636">
        <f t="shared" si="28"/>
        <v>1761.6019261818942</v>
      </c>
      <c r="D245" s="636">
        <f t="shared" si="28"/>
        <v>2149.9594691751263</v>
      </c>
      <c r="E245" s="638">
        <f t="shared" si="29"/>
        <v>388.35754299323207</v>
      </c>
    </row>
    <row r="246" spans="1:5" ht="25.5" x14ac:dyDescent="0.2">
      <c r="A246" s="588"/>
      <c r="B246" s="592" t="s">
        <v>831</v>
      </c>
      <c r="C246" s="637">
        <f t="shared" si="28"/>
        <v>6956.5633614558674</v>
      </c>
      <c r="D246" s="637">
        <f t="shared" si="28"/>
        <v>8086.8980386857675</v>
      </c>
      <c r="E246" s="639">
        <f t="shared" si="29"/>
        <v>1130.3346772299001</v>
      </c>
    </row>
    <row r="247" spans="1:5" x14ac:dyDescent="0.2">
      <c r="A247" s="588"/>
      <c r="B247" s="592" t="s">
        <v>832</v>
      </c>
      <c r="C247" s="637">
        <f t="shared" si="28"/>
        <v>10632.165510871961</v>
      </c>
      <c r="D247" s="637">
        <f t="shared" si="28"/>
        <v>11471.315323056991</v>
      </c>
      <c r="E247" s="639">
        <f t="shared" si="29"/>
        <v>839.1498121850309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760</v>
      </c>
      <c r="B249" s="626" t="s">
        <v>757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1013296.7669700674</v>
      </c>
      <c r="D251" s="622">
        <f>((IF((IF(D15=0,0,D26/D15)*D138)=0,0,D59/(IF(D15=0,0,D26/D15)*D138)))-(IF((IF(D17=0,0,D28/D17)*D140)=0,0,D61/(IF(D17=0,0,D28/D17)*D140))))*(IF(D17=0,0,D28/D17)*D140)</f>
        <v>6589927.8871664414</v>
      </c>
      <c r="E251" s="622">
        <f>D251-C251</f>
        <v>5576631.1201963741</v>
      </c>
    </row>
    <row r="252" spans="1:5" x14ac:dyDescent="0.2">
      <c r="A252" s="588">
        <v>2</v>
      </c>
      <c r="B252" s="587" t="s">
        <v>743</v>
      </c>
      <c r="C252" s="622">
        <f>IF(C231=0,0,(C228-C231)*C207)+IF(C243=0,0,(C240-C243)*C219)</f>
        <v>-158884.51381129847</v>
      </c>
      <c r="D252" s="622">
        <f>IF(D231=0,0,(D228-D231)*D207)+IF(D243=0,0,(D240-D243)*D219)</f>
        <v>265610.72864956828</v>
      </c>
      <c r="E252" s="622">
        <f>D252-C252</f>
        <v>424495.24246086675</v>
      </c>
    </row>
    <row r="253" spans="1:5" x14ac:dyDescent="0.2">
      <c r="A253" s="588">
        <v>3</v>
      </c>
      <c r="B253" s="587" t="s">
        <v>758</v>
      </c>
      <c r="C253" s="622">
        <f>IF(C233=0,0,(C228-C233)*C209+IF(C221=0,0,(C240-C245)*C221))</f>
        <v>8668419.9696439877</v>
      </c>
      <c r="D253" s="622">
        <f>IF(D233=0,0,(D228-D233)*D209+IF(D221=0,0,(D240-D245)*D221))</f>
        <v>9425193.4171741642</v>
      </c>
      <c r="E253" s="622">
        <f>D253-C253</f>
        <v>756773.44753017649</v>
      </c>
    </row>
    <row r="254" spans="1:5" ht="15" customHeight="1" x14ac:dyDescent="0.2">
      <c r="A254" s="588"/>
      <c r="B254" s="592" t="s">
        <v>759</v>
      </c>
      <c r="C254" s="640">
        <f>+C251+C252+C253</f>
        <v>9522832.2228027564</v>
      </c>
      <c r="D254" s="640">
        <f>+D251+D252+D253</f>
        <v>16280732.032990174</v>
      </c>
      <c r="E254" s="640">
        <f>D254-C254</f>
        <v>6757899.810187418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833</v>
      </c>
      <c r="B256" s="626" t="s">
        <v>834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725</v>
      </c>
      <c r="C258" s="622">
        <f>+C44</f>
        <v>908958362</v>
      </c>
      <c r="D258" s="625">
        <f>+D44</f>
        <v>913394783</v>
      </c>
      <c r="E258" s="622">
        <f t="shared" ref="E258:E271" si="30">D258-C258</f>
        <v>4436421</v>
      </c>
    </row>
    <row r="259" spans="1:5" x14ac:dyDescent="0.2">
      <c r="A259" s="588">
        <v>2</v>
      </c>
      <c r="B259" s="587" t="s">
        <v>742</v>
      </c>
      <c r="C259" s="622">
        <f>+(C43-C76)</f>
        <v>375699258</v>
      </c>
      <c r="D259" s="625">
        <f>+(D43-D76)</f>
        <v>394696898</v>
      </c>
      <c r="E259" s="622">
        <f t="shared" si="30"/>
        <v>18997640</v>
      </c>
    </row>
    <row r="260" spans="1:5" x14ac:dyDescent="0.2">
      <c r="A260" s="588">
        <v>3</v>
      </c>
      <c r="B260" s="587" t="s">
        <v>746</v>
      </c>
      <c r="C260" s="622">
        <f>C195</f>
        <v>41459477</v>
      </c>
      <c r="D260" s="622">
        <f>D195</f>
        <v>36108044</v>
      </c>
      <c r="E260" s="622">
        <f t="shared" si="30"/>
        <v>-5351433</v>
      </c>
    </row>
    <row r="261" spans="1:5" x14ac:dyDescent="0.2">
      <c r="A261" s="588">
        <v>4</v>
      </c>
      <c r="B261" s="587" t="s">
        <v>747</v>
      </c>
      <c r="C261" s="622">
        <f>C188</f>
        <v>164825999</v>
      </c>
      <c r="D261" s="622">
        <f>D188</f>
        <v>150508712</v>
      </c>
      <c r="E261" s="622">
        <f t="shared" si="30"/>
        <v>-14317287</v>
      </c>
    </row>
    <row r="262" spans="1:5" x14ac:dyDescent="0.2">
      <c r="A262" s="588">
        <v>5</v>
      </c>
      <c r="B262" s="587" t="s">
        <v>748</v>
      </c>
      <c r="C262" s="622">
        <f>C191</f>
        <v>10986753</v>
      </c>
      <c r="D262" s="622">
        <f>D191</f>
        <v>11644353</v>
      </c>
      <c r="E262" s="622">
        <f t="shared" si="30"/>
        <v>657600</v>
      </c>
    </row>
    <row r="263" spans="1:5" x14ac:dyDescent="0.2">
      <c r="A263" s="588">
        <v>6</v>
      </c>
      <c r="B263" s="587" t="s">
        <v>749</v>
      </c>
      <c r="C263" s="622">
        <f>+C259+C260+C261+C262</f>
        <v>592971487</v>
      </c>
      <c r="D263" s="622">
        <f>+D259+D260+D261+D262</f>
        <v>592958007</v>
      </c>
      <c r="E263" s="622">
        <f t="shared" si="30"/>
        <v>-13480</v>
      </c>
    </row>
    <row r="264" spans="1:5" x14ac:dyDescent="0.2">
      <c r="A264" s="588">
        <v>7</v>
      </c>
      <c r="B264" s="587" t="s">
        <v>654</v>
      </c>
      <c r="C264" s="622">
        <f>+C258-C263</f>
        <v>315986875</v>
      </c>
      <c r="D264" s="622">
        <f>+D258-D263</f>
        <v>320436776</v>
      </c>
      <c r="E264" s="622">
        <f t="shared" si="30"/>
        <v>4449901</v>
      </c>
    </row>
    <row r="265" spans="1:5" x14ac:dyDescent="0.2">
      <c r="A265" s="588">
        <v>8</v>
      </c>
      <c r="B265" s="587" t="s">
        <v>835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836</v>
      </c>
      <c r="C266" s="622">
        <f>+C264+C265</f>
        <v>315986875</v>
      </c>
      <c r="D266" s="622">
        <f>+D264+D265</f>
        <v>320436776</v>
      </c>
      <c r="E266" s="641">
        <f t="shared" si="30"/>
        <v>4449901</v>
      </c>
    </row>
    <row r="267" spans="1:5" x14ac:dyDescent="0.2">
      <c r="A267" s="588">
        <v>10</v>
      </c>
      <c r="B267" s="587" t="s">
        <v>837</v>
      </c>
      <c r="C267" s="642">
        <f>IF(C258=0,0,C266/C258)</f>
        <v>0.34763624849077518</v>
      </c>
      <c r="D267" s="642">
        <f>IF(D258=0,0,D266/D258)</f>
        <v>0.35081958202951546</v>
      </c>
      <c r="E267" s="643">
        <f t="shared" si="30"/>
        <v>3.183333538740285E-3</v>
      </c>
    </row>
    <row r="268" spans="1:5" x14ac:dyDescent="0.2">
      <c r="A268" s="588">
        <v>11</v>
      </c>
      <c r="B268" s="587" t="s">
        <v>716</v>
      </c>
      <c r="C268" s="622">
        <f>+C260*C267</f>
        <v>14412817.048669579</v>
      </c>
      <c r="D268" s="644">
        <f>+D260*D267</f>
        <v>12667408.903983355</v>
      </c>
      <c r="E268" s="622">
        <f t="shared" si="30"/>
        <v>-1745408.1446862239</v>
      </c>
    </row>
    <row r="269" spans="1:5" x14ac:dyDescent="0.2">
      <c r="A269" s="588">
        <v>12</v>
      </c>
      <c r="B269" s="587" t="s">
        <v>838</v>
      </c>
      <c r="C269" s="622">
        <f>((C17+C18+C28+C29)*C267)-(C50+C51+C61+C62)</f>
        <v>10715868.522185601</v>
      </c>
      <c r="D269" s="644">
        <f>((D17+D18+D28+D29)*D267)-(D50+D51+D61+D62)</f>
        <v>17729339.537682049</v>
      </c>
      <c r="E269" s="622">
        <f t="shared" si="30"/>
        <v>7013471.0154964477</v>
      </c>
    </row>
    <row r="270" spans="1:5" s="648" customFormat="1" x14ac:dyDescent="0.2">
      <c r="A270" s="645">
        <v>13</v>
      </c>
      <c r="B270" s="646" t="s">
        <v>839</v>
      </c>
      <c r="C270" s="647">
        <v>0</v>
      </c>
      <c r="D270" s="647">
        <v>0</v>
      </c>
      <c r="E270" s="622">
        <f t="shared" si="30"/>
        <v>0</v>
      </c>
    </row>
    <row r="271" spans="1:5" ht="25.5" x14ac:dyDescent="0.2">
      <c r="A271" s="588">
        <v>14</v>
      </c>
      <c r="B271" s="587" t="s">
        <v>840</v>
      </c>
      <c r="C271" s="622">
        <f>+C268+C269+C270</f>
        <v>25128685.570855178</v>
      </c>
      <c r="D271" s="622">
        <f>+D268+D269+D270</f>
        <v>30396748.441665404</v>
      </c>
      <c r="E271" s="625">
        <f t="shared" si="30"/>
        <v>5268062.8708102256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841</v>
      </c>
      <c r="B273" s="626" t="s">
        <v>842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843</v>
      </c>
      <c r="C275" s="425"/>
      <c r="D275" s="425"/>
      <c r="E275" s="596"/>
    </row>
    <row r="276" spans="1:5" x14ac:dyDescent="0.2">
      <c r="A276" s="588">
        <v>1</v>
      </c>
      <c r="B276" s="587" t="s">
        <v>656</v>
      </c>
      <c r="C276" s="623">
        <f t="shared" ref="C276:D284" si="31">IF(C14=0,0,+C47/C14)</f>
        <v>0.51471484656269573</v>
      </c>
      <c r="D276" s="623">
        <f t="shared" si="31"/>
        <v>0.56999169254808768</v>
      </c>
      <c r="E276" s="650">
        <f t="shared" ref="E276:E284" si="32">D276-C276</f>
        <v>5.5276845985391954E-2</v>
      </c>
    </row>
    <row r="277" spans="1:5" x14ac:dyDescent="0.2">
      <c r="A277" s="588">
        <v>2</v>
      </c>
      <c r="B277" s="587" t="s">
        <v>635</v>
      </c>
      <c r="C277" s="623">
        <f t="shared" si="31"/>
        <v>0.30378218197252843</v>
      </c>
      <c r="D277" s="623">
        <f t="shared" si="31"/>
        <v>0.29683228463894185</v>
      </c>
      <c r="E277" s="650">
        <f t="shared" si="32"/>
        <v>-6.9498973335865855E-3</v>
      </c>
    </row>
    <row r="278" spans="1:5" x14ac:dyDescent="0.2">
      <c r="A278" s="588">
        <v>3</v>
      </c>
      <c r="B278" s="587" t="s">
        <v>777</v>
      </c>
      <c r="C278" s="623">
        <f t="shared" si="31"/>
        <v>0.27023457229968151</v>
      </c>
      <c r="D278" s="623">
        <f t="shared" si="31"/>
        <v>0.20814950347139677</v>
      </c>
      <c r="E278" s="650">
        <f t="shared" si="32"/>
        <v>-6.208506882828474E-2</v>
      </c>
    </row>
    <row r="279" spans="1:5" x14ac:dyDescent="0.2">
      <c r="A279" s="588">
        <v>4</v>
      </c>
      <c r="B279" s="587" t="s">
        <v>115</v>
      </c>
      <c r="C279" s="623">
        <f t="shared" si="31"/>
        <v>0.26823679334671252</v>
      </c>
      <c r="D279" s="623">
        <f t="shared" si="31"/>
        <v>0.20849288146450728</v>
      </c>
      <c r="E279" s="650">
        <f t="shared" si="32"/>
        <v>-5.9743911882205236E-2</v>
      </c>
    </row>
    <row r="280" spans="1:5" x14ac:dyDescent="0.2">
      <c r="A280" s="588">
        <v>5</v>
      </c>
      <c r="B280" s="587" t="s">
        <v>743</v>
      </c>
      <c r="C280" s="623">
        <f t="shared" si="31"/>
        <v>0.39442956272337953</v>
      </c>
      <c r="D280" s="623">
        <f t="shared" si="31"/>
        <v>0.16397250992159521</v>
      </c>
      <c r="E280" s="650">
        <f t="shared" si="32"/>
        <v>-0.23045705280178433</v>
      </c>
    </row>
    <row r="281" spans="1:5" x14ac:dyDescent="0.2">
      <c r="A281" s="588">
        <v>6</v>
      </c>
      <c r="B281" s="587" t="s">
        <v>424</v>
      </c>
      <c r="C281" s="623">
        <f t="shared" si="31"/>
        <v>0.2023109802395002</v>
      </c>
      <c r="D281" s="623">
        <f t="shared" si="31"/>
        <v>0.34866998394393145</v>
      </c>
      <c r="E281" s="650">
        <f t="shared" si="32"/>
        <v>0.14635900370443125</v>
      </c>
    </row>
    <row r="282" spans="1:5" x14ac:dyDescent="0.2">
      <c r="A282" s="588">
        <v>7</v>
      </c>
      <c r="B282" s="587" t="s">
        <v>758</v>
      </c>
      <c r="C282" s="623">
        <f t="shared" si="31"/>
        <v>2.6180125448488675E-2</v>
      </c>
      <c r="D282" s="623">
        <f t="shared" si="31"/>
        <v>8.8267578301899519E-2</v>
      </c>
      <c r="E282" s="650">
        <f t="shared" si="32"/>
        <v>6.2087452853410843E-2</v>
      </c>
    </row>
    <row r="283" spans="1:5" ht="29.25" customHeight="1" x14ac:dyDescent="0.2">
      <c r="A283" s="588"/>
      <c r="B283" s="592" t="s">
        <v>844</v>
      </c>
      <c r="C283" s="651">
        <f t="shared" si="31"/>
        <v>0.29573024542072901</v>
      </c>
      <c r="D283" s="651">
        <f t="shared" si="31"/>
        <v>0.2760332162442139</v>
      </c>
      <c r="E283" s="652">
        <f t="shared" si="32"/>
        <v>-1.9697029176515113E-2</v>
      </c>
    </row>
    <row r="284" spans="1:5" x14ac:dyDescent="0.2">
      <c r="A284" s="588"/>
      <c r="B284" s="592" t="s">
        <v>845</v>
      </c>
      <c r="C284" s="651">
        <f t="shared" si="31"/>
        <v>0.36339308402420634</v>
      </c>
      <c r="D284" s="651">
        <f t="shared" si="31"/>
        <v>0.36233750079448346</v>
      </c>
      <c r="E284" s="652">
        <f t="shared" si="32"/>
        <v>-1.0555832297228784E-3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846</v>
      </c>
      <c r="C286" s="596"/>
      <c r="D286" s="596"/>
      <c r="E286" s="596"/>
    </row>
    <row r="287" spans="1:5" x14ac:dyDescent="0.2">
      <c r="A287" s="588">
        <v>1</v>
      </c>
      <c r="B287" s="587" t="s">
        <v>656</v>
      </c>
      <c r="C287" s="623">
        <f t="shared" ref="C287:D295" si="33">IF(C25=0,0,+C58/C25)</f>
        <v>0.49883644698820412</v>
      </c>
      <c r="D287" s="623">
        <f t="shared" si="33"/>
        <v>0.50127431165477032</v>
      </c>
      <c r="E287" s="650">
        <f t="shared" ref="E287:E295" si="34">D287-C287</f>
        <v>2.4378646665662029E-3</v>
      </c>
    </row>
    <row r="288" spans="1:5" x14ac:dyDescent="0.2">
      <c r="A288" s="588">
        <v>2</v>
      </c>
      <c r="B288" s="587" t="s">
        <v>635</v>
      </c>
      <c r="C288" s="623">
        <f t="shared" si="33"/>
        <v>0.17557713122723226</v>
      </c>
      <c r="D288" s="623">
        <f t="shared" si="33"/>
        <v>0.20306050196345096</v>
      </c>
      <c r="E288" s="650">
        <f t="shared" si="34"/>
        <v>2.7483370736218704E-2</v>
      </c>
    </row>
    <row r="289" spans="1:5" x14ac:dyDescent="0.2">
      <c r="A289" s="588">
        <v>3</v>
      </c>
      <c r="B289" s="587" t="s">
        <v>777</v>
      </c>
      <c r="C289" s="623">
        <f t="shared" si="33"/>
        <v>0.26574213779607281</v>
      </c>
      <c r="D289" s="623">
        <f t="shared" si="33"/>
        <v>0.25057989946673853</v>
      </c>
      <c r="E289" s="650">
        <f t="shared" si="34"/>
        <v>-1.5162238329334277E-2</v>
      </c>
    </row>
    <row r="290" spans="1:5" x14ac:dyDescent="0.2">
      <c r="A290" s="588">
        <v>4</v>
      </c>
      <c r="B290" s="587" t="s">
        <v>115</v>
      </c>
      <c r="C290" s="623">
        <f t="shared" si="33"/>
        <v>0.2650633701288958</v>
      </c>
      <c r="D290" s="623">
        <f t="shared" si="33"/>
        <v>0.25206610868178592</v>
      </c>
      <c r="E290" s="650">
        <f t="shared" si="34"/>
        <v>-1.2997261447109887E-2</v>
      </c>
    </row>
    <row r="291" spans="1:5" x14ac:dyDescent="0.2">
      <c r="A291" s="588">
        <v>5</v>
      </c>
      <c r="B291" s="587" t="s">
        <v>743</v>
      </c>
      <c r="C291" s="623">
        <f t="shared" si="33"/>
        <v>0.33946381861620256</v>
      </c>
      <c r="D291" s="623">
        <f t="shared" si="33"/>
        <v>9.3431379265721218E-2</v>
      </c>
      <c r="E291" s="650">
        <f t="shared" si="34"/>
        <v>-0.24603243935048136</v>
      </c>
    </row>
    <row r="292" spans="1:5" x14ac:dyDescent="0.2">
      <c r="A292" s="588">
        <v>6</v>
      </c>
      <c r="B292" s="587" t="s">
        <v>424</v>
      </c>
      <c r="C292" s="623">
        <f t="shared" si="33"/>
        <v>0.15179530031398764</v>
      </c>
      <c r="D292" s="623">
        <f t="shared" si="33"/>
        <v>0.17281714053714892</v>
      </c>
      <c r="E292" s="650">
        <f t="shared" si="34"/>
        <v>2.1021840223161281E-2</v>
      </c>
    </row>
    <row r="293" spans="1:5" x14ac:dyDescent="0.2">
      <c r="A293" s="588">
        <v>7</v>
      </c>
      <c r="B293" s="587" t="s">
        <v>758</v>
      </c>
      <c r="C293" s="623">
        <f t="shared" si="33"/>
        <v>7.3615642666911313E-2</v>
      </c>
      <c r="D293" s="623">
        <f t="shared" si="33"/>
        <v>7.9962494782596857E-2</v>
      </c>
      <c r="E293" s="650">
        <f t="shared" si="34"/>
        <v>6.3468521156855445E-3</v>
      </c>
    </row>
    <row r="294" spans="1:5" ht="29.25" customHeight="1" x14ac:dyDescent="0.2">
      <c r="A294" s="588"/>
      <c r="B294" s="592" t="s">
        <v>847</v>
      </c>
      <c r="C294" s="651">
        <f t="shared" si="33"/>
        <v>0.20423612136742691</v>
      </c>
      <c r="D294" s="651">
        <f t="shared" si="33"/>
        <v>0.21887999547833636</v>
      </c>
      <c r="E294" s="652">
        <f t="shared" si="34"/>
        <v>1.4643874110909449E-2</v>
      </c>
    </row>
    <row r="295" spans="1:5" x14ac:dyDescent="0.2">
      <c r="A295" s="588"/>
      <c r="B295" s="592" t="s">
        <v>848</v>
      </c>
      <c r="C295" s="651">
        <f t="shared" si="33"/>
        <v>0.3753975043490721</v>
      </c>
      <c r="D295" s="651">
        <f t="shared" si="33"/>
        <v>0.37302000576339989</v>
      </c>
      <c r="E295" s="652">
        <f t="shared" si="34"/>
        <v>-2.3774985856722108E-3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849</v>
      </c>
      <c r="B297" s="579" t="s">
        <v>850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851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654</v>
      </c>
      <c r="C301" s="590">
        <f>+C48+C47+C50+C51+C52+C59+C58+C61+C62+C63</f>
        <v>335531067</v>
      </c>
      <c r="D301" s="590">
        <f>+D48+D47+D50+D51+D52+D59+D58+D61+D62+D63</f>
        <v>335896039</v>
      </c>
      <c r="E301" s="590">
        <f>D301-C301</f>
        <v>364972</v>
      </c>
    </row>
    <row r="302" spans="1:5" ht="25.5" x14ac:dyDescent="0.2">
      <c r="A302" s="588">
        <v>2</v>
      </c>
      <c r="B302" s="587" t="s">
        <v>852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853</v>
      </c>
      <c r="C303" s="593">
        <f>+C301+C302</f>
        <v>335531067</v>
      </c>
      <c r="D303" s="593">
        <f>+D301+D302</f>
        <v>335896039</v>
      </c>
      <c r="E303" s="593">
        <f>D303-C303</f>
        <v>364972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854</v>
      </c>
      <c r="C305" s="589">
        <v>27736810</v>
      </c>
      <c r="D305" s="654">
        <v>-1764125</v>
      </c>
      <c r="E305" s="655">
        <f>D305-C305</f>
        <v>-29500935</v>
      </c>
    </row>
    <row r="306" spans="1:5" x14ac:dyDescent="0.2">
      <c r="A306" s="588">
        <v>4</v>
      </c>
      <c r="B306" s="592" t="s">
        <v>855</v>
      </c>
      <c r="C306" s="593">
        <f>+C303+C305+C194+C190-C191</f>
        <v>391355964</v>
      </c>
      <c r="D306" s="593">
        <f>+D303+D305</f>
        <v>334131914</v>
      </c>
      <c r="E306" s="656">
        <f>D306-C306</f>
        <v>-57224050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856</v>
      </c>
      <c r="C308" s="589">
        <v>363267877</v>
      </c>
      <c r="D308" s="589">
        <v>334131914</v>
      </c>
      <c r="E308" s="590">
        <f>D308-C308</f>
        <v>-29135963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857</v>
      </c>
      <c r="C310" s="657">
        <f>C306-C308</f>
        <v>28088087</v>
      </c>
      <c r="D310" s="658">
        <f>D306-D308</f>
        <v>0</v>
      </c>
      <c r="E310" s="656">
        <f>D310-C310</f>
        <v>-28088087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858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859</v>
      </c>
      <c r="C314" s="590">
        <f>+C14+C15+C16+C19+C25+C26+C27+C30</f>
        <v>908958362</v>
      </c>
      <c r="D314" s="590">
        <f>+D14+D15+D16+D19+D25+D26+D27+D30</f>
        <v>913394783</v>
      </c>
      <c r="E314" s="590">
        <f>D314-C314</f>
        <v>4436421</v>
      </c>
    </row>
    <row r="315" spans="1:5" x14ac:dyDescent="0.2">
      <c r="A315" s="588">
        <v>2</v>
      </c>
      <c r="B315" s="659" t="s">
        <v>860</v>
      </c>
      <c r="C315" s="589">
        <v>0</v>
      </c>
      <c r="D315" s="589">
        <v>0</v>
      </c>
      <c r="E315" s="590">
        <f>D315-C315</f>
        <v>0</v>
      </c>
    </row>
    <row r="316" spans="1:5" x14ac:dyDescent="0.2">
      <c r="A316" s="588"/>
      <c r="B316" s="592" t="s">
        <v>861</v>
      </c>
      <c r="C316" s="657">
        <f>C314+C315</f>
        <v>908958362</v>
      </c>
      <c r="D316" s="657">
        <f>D314+D315</f>
        <v>913394783</v>
      </c>
      <c r="E316" s="593">
        <f>D316-C316</f>
        <v>4436421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862</v>
      </c>
      <c r="C318" s="589">
        <v>908958362</v>
      </c>
      <c r="D318" s="589">
        <v>913394783</v>
      </c>
      <c r="E318" s="590">
        <f>D318-C318</f>
        <v>4436421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857</v>
      </c>
      <c r="C320" s="657">
        <f>C316-C318</f>
        <v>0</v>
      </c>
      <c r="D320" s="657">
        <f>D316-D318</f>
        <v>0</v>
      </c>
      <c r="E320" s="593">
        <f>D320-C320</f>
        <v>0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863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864</v>
      </c>
      <c r="C324" s="589">
        <f>+C193+C194</f>
        <v>41459477</v>
      </c>
      <c r="D324" s="589">
        <f>+D193+D194</f>
        <v>36108044</v>
      </c>
      <c r="E324" s="590">
        <f>D324-C324</f>
        <v>-5351433</v>
      </c>
    </row>
    <row r="325" spans="1:5" x14ac:dyDescent="0.2">
      <c r="A325" s="588">
        <v>2</v>
      </c>
      <c r="B325" s="587" t="s">
        <v>865</v>
      </c>
      <c r="C325" s="589">
        <v>0</v>
      </c>
      <c r="D325" s="589">
        <v>0</v>
      </c>
      <c r="E325" s="590">
        <f>D325-C325</f>
        <v>0</v>
      </c>
    </row>
    <row r="326" spans="1:5" x14ac:dyDescent="0.2">
      <c r="A326" s="588"/>
      <c r="B326" s="592" t="s">
        <v>866</v>
      </c>
      <c r="C326" s="657">
        <f>C324+C325</f>
        <v>41459477</v>
      </c>
      <c r="D326" s="657">
        <f>D324+D325</f>
        <v>36108044</v>
      </c>
      <c r="E326" s="593">
        <f>D326-C326</f>
        <v>-5351433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867</v>
      </c>
      <c r="C328" s="589">
        <v>41459477</v>
      </c>
      <c r="D328" s="589">
        <v>36108044</v>
      </c>
      <c r="E328" s="590">
        <f>D328-C328</f>
        <v>-5351433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868</v>
      </c>
      <c r="C330" s="657">
        <f>C326-C328</f>
        <v>0</v>
      </c>
      <c r="D330" s="657">
        <f>D326-D328</f>
        <v>0</v>
      </c>
      <c r="E330" s="593">
        <f>D330-C330</f>
        <v>0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25" right="0.25" top="0.5" bottom="0.5" header="0.25" footer="0.25"/>
  <pageSetup scale="72" fitToHeight="0" orientation="portrait" horizontalDpi="1200" verticalDpi="1200" r:id="rId1"/>
  <headerFooter>
    <oddHeader>&amp;LOFFICE OF HEALTH CARE ACCESS&amp;CTWELVE MONTHS ACTUAL FILING&amp;RNORWALK HOSPITAL</oddHeader>
    <oddFooter>&amp;LREPORT 100&amp;CPAGE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143"/>
  <sheetViews>
    <sheetView zoomScaleSheetLayoutView="75" workbookViewId="0">
      <selection sqref="A1:F1"/>
    </sheetView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629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869</v>
      </c>
      <c r="B5" s="824"/>
      <c r="C5" s="825"/>
      <c r="D5" s="661"/>
    </row>
    <row r="6" spans="1:58" s="662" customFormat="1" ht="15.75" customHeight="1" x14ac:dyDescent="0.25">
      <c r="A6" s="823" t="s">
        <v>870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871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872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776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656</v>
      </c>
      <c r="C14" s="589">
        <v>132429295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635</v>
      </c>
      <c r="C15" s="591">
        <v>243146941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777</v>
      </c>
      <c r="C16" s="591">
        <v>75009576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74431040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743</v>
      </c>
      <c r="C18" s="591">
        <v>578536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477701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758</v>
      </c>
      <c r="C20" s="591">
        <v>5189210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778</v>
      </c>
      <c r="C21" s="593">
        <f>SUM(C15+C16+C19)</f>
        <v>318634218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451063513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779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656</v>
      </c>
      <c r="C25" s="589">
        <v>252355457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635</v>
      </c>
      <c r="C26" s="591">
        <v>139541554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777</v>
      </c>
      <c r="C27" s="591">
        <v>70109135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69452300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743</v>
      </c>
      <c r="C29" s="591">
        <v>656835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325124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758</v>
      </c>
      <c r="C31" s="594">
        <v>29957432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780</v>
      </c>
      <c r="C32" s="593">
        <f>SUM(C26+C27+C30)</f>
        <v>209975813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462331270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653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873</v>
      </c>
      <c r="C36" s="590">
        <f>SUM(C14+C25)</f>
        <v>384784752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874</v>
      </c>
      <c r="C37" s="594">
        <f>SUM(C21+C32)</f>
        <v>528610031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653</v>
      </c>
      <c r="C38" s="593">
        <f>SUM(+C36+C37)</f>
        <v>913394783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789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656</v>
      </c>
      <c r="C41" s="589">
        <v>75483598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635</v>
      </c>
      <c r="C42" s="591">
        <v>72173862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777</v>
      </c>
      <c r="C43" s="591">
        <v>15613206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15518342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743</v>
      </c>
      <c r="C45" s="591">
        <v>94864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166560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758</v>
      </c>
      <c r="C47" s="591">
        <v>458039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790</v>
      </c>
      <c r="C48" s="593">
        <f>SUM(C42+C43+C46)</f>
        <v>87953628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163437226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791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656</v>
      </c>
      <c r="C52" s="589">
        <v>126499308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635</v>
      </c>
      <c r="C53" s="591">
        <v>28335378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777</v>
      </c>
      <c r="C54" s="591">
        <v>17567940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17506571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743</v>
      </c>
      <c r="C56" s="591">
        <v>61369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56187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758</v>
      </c>
      <c r="C58" s="591">
        <v>2395471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792</v>
      </c>
      <c r="C59" s="593">
        <f>SUM(C53+C54+C57)</f>
        <v>45959505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172458813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654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875</v>
      </c>
      <c r="C63" s="590">
        <f>SUM(C41+C52)</f>
        <v>201982906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876</v>
      </c>
      <c r="C64" s="594">
        <f>SUM(C48+C59)</f>
        <v>133913133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654</v>
      </c>
      <c r="C65" s="593">
        <f>SUM(+C63+C64)</f>
        <v>335896039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877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878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656</v>
      </c>
      <c r="C70" s="606">
        <v>4907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635</v>
      </c>
      <c r="C71" s="606">
        <v>5319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777</v>
      </c>
      <c r="C72" s="606">
        <v>2803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2782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743</v>
      </c>
      <c r="C74" s="606">
        <v>21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16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758</v>
      </c>
      <c r="C76" s="621">
        <v>193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807</v>
      </c>
      <c r="C77" s="608">
        <f>SUM(C71+C72+C75)</f>
        <v>8138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13045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811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656</v>
      </c>
      <c r="C81" s="617">
        <v>1.075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635</v>
      </c>
      <c r="C82" s="617">
        <v>1.4406000000000001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777</v>
      </c>
      <c r="C83" s="617">
        <f>((C73*C84)+(C74*C85))/(C73+C74)</f>
        <v>0.95943041027470577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0.95901999999999998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743</v>
      </c>
      <c r="C85" s="617">
        <v>1.0138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1.5285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758</v>
      </c>
      <c r="C87" s="617">
        <v>1.0650999999999999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812</v>
      </c>
      <c r="C88" s="619">
        <f>((C71*C82)+(C73*C84)+(C74*C85)+(C75*C86))/(C71+C73+C74+C75)</f>
        <v>1.2750418825264194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723</v>
      </c>
      <c r="C89" s="619">
        <f>((C70*C81)+(C71*C82)+(C73*C84)+(C74*C85)+(C75*C86))/(C70+C71+C73+C74+C75)</f>
        <v>1.1997942384055194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813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814</v>
      </c>
      <c r="C92" s="589">
        <v>349638109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815</v>
      </c>
      <c r="C93" s="622">
        <v>199129397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668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747</v>
      </c>
      <c r="C95" s="589">
        <f>+C92-C93</f>
        <v>150508712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670</v>
      </c>
      <c r="C96" s="681">
        <f>(+C92-C93)/C92</f>
        <v>0.43046998632520345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762</v>
      </c>
      <c r="C98" s="589">
        <v>17735548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748</v>
      </c>
      <c r="C99" s="589">
        <v>11644353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879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817</v>
      </c>
      <c r="C103" s="589">
        <v>18272000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818</v>
      </c>
      <c r="C104" s="589">
        <v>17836044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819</v>
      </c>
      <c r="C105" s="654">
        <f>+C103+C104</f>
        <v>36108044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820</v>
      </c>
      <c r="C107" s="589">
        <v>16843048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710</v>
      </c>
      <c r="C108" s="589">
        <v>338981125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850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851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654</v>
      </c>
      <c r="C114" s="590">
        <f>+C65</f>
        <v>335896039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852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853</v>
      </c>
      <c r="C116" s="593">
        <f>+C114+C115</f>
        <v>335896039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854</v>
      </c>
      <c r="C118" s="654">
        <v>-1764125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855</v>
      </c>
      <c r="C119" s="656">
        <f>+C116+C118</f>
        <v>334131914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856</v>
      </c>
      <c r="C121" s="589">
        <v>334131914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857</v>
      </c>
      <c r="C123" s="658">
        <f>C119-C121</f>
        <v>0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858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859</v>
      </c>
      <c r="C127" s="590">
        <f>C38</f>
        <v>913394783</v>
      </c>
      <c r="D127" s="664"/>
      <c r="AR127" s="485"/>
    </row>
    <row r="128" spans="1:58" s="421" customFormat="1" ht="12.75" x14ac:dyDescent="0.2">
      <c r="A128" s="588">
        <v>2</v>
      </c>
      <c r="B128" s="659" t="s">
        <v>860</v>
      </c>
      <c r="C128" s="589">
        <v>0</v>
      </c>
      <c r="D128" s="664"/>
      <c r="AR128" s="485"/>
    </row>
    <row r="129" spans="1:44" s="421" customFormat="1" ht="12.75" x14ac:dyDescent="0.2">
      <c r="A129" s="588"/>
      <c r="B129" s="671" t="s">
        <v>861</v>
      </c>
      <c r="C129" s="657">
        <f>C127+C128</f>
        <v>913394783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862</v>
      </c>
      <c r="C131" s="589">
        <v>913394783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857</v>
      </c>
      <c r="C133" s="657">
        <f>C129-C131</f>
        <v>0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863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864</v>
      </c>
      <c r="C137" s="589">
        <f>C105</f>
        <v>36108044</v>
      </c>
      <c r="D137" s="664"/>
      <c r="AR137" s="485"/>
    </row>
    <row r="138" spans="1:44" s="421" customFormat="1" ht="12.75" x14ac:dyDescent="0.2">
      <c r="A138" s="588">
        <v>2</v>
      </c>
      <c r="B138" s="669" t="s">
        <v>880</v>
      </c>
      <c r="C138" s="589">
        <v>0</v>
      </c>
      <c r="D138" s="664"/>
      <c r="AR138" s="485"/>
    </row>
    <row r="139" spans="1:44" s="421" customFormat="1" ht="12.75" x14ac:dyDescent="0.2">
      <c r="A139" s="588"/>
      <c r="B139" s="671" t="s">
        <v>866</v>
      </c>
      <c r="C139" s="657">
        <f>C137+C138</f>
        <v>36108044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881</v>
      </c>
      <c r="C141" s="589">
        <v>36108044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868</v>
      </c>
      <c r="C143" s="657">
        <f>C139-C141</f>
        <v>0</v>
      </c>
      <c r="D143" s="664"/>
      <c r="AR143" s="485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25" right="0.25" top="0.5" bottom="0.5" header="0.25" footer="0.25"/>
  <pageSetup scale="79" fitToHeight="0" orientation="portrait" horizontalDpi="1200" verticalDpi="1200" r:id="rId1"/>
  <headerFooter>
    <oddHeader>&amp;LOFFICE OF HEALTH CARE ACCESS&amp;CTWELVE MONTHS ACTUAL FILING&amp;RNORWALK HOSPITAL</oddHeader>
    <oddFooter>&amp;LREPORT 100&amp;CPAGE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>
      <selection sqref="A1:F1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9"/>
      <c r="B1" s="830"/>
      <c r="C1" s="830"/>
      <c r="D1" s="830"/>
      <c r="E1" s="830"/>
      <c r="F1" s="831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629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882</v>
      </c>
      <c r="B5" s="833"/>
      <c r="C5" s="833"/>
      <c r="D5" s="833"/>
      <c r="E5" s="833"/>
      <c r="F5" s="834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632</v>
      </c>
      <c r="D8" s="177" t="s">
        <v>632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883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884</v>
      </c>
      <c r="C12" s="185">
        <v>5008</v>
      </c>
      <c r="D12" s="185">
        <v>5135</v>
      </c>
      <c r="E12" s="185">
        <f>+D12-C12</f>
        <v>127</v>
      </c>
      <c r="F12" s="77">
        <f>IF(C12=0,0,+E12/C12)</f>
        <v>2.5359424920127795E-2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885</v>
      </c>
      <c r="C13" s="185">
        <v>4318</v>
      </c>
      <c r="D13" s="185">
        <v>4361</v>
      </c>
      <c r="E13" s="185">
        <f>+D13-C13</f>
        <v>43</v>
      </c>
      <c r="F13" s="77">
        <f>IF(C13=0,0,+E13/C13)</f>
        <v>9.9583140342751272E-3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886</v>
      </c>
      <c r="C15" s="76">
        <v>17929000</v>
      </c>
      <c r="D15" s="76">
        <v>18272000</v>
      </c>
      <c r="E15" s="76">
        <f>+D15-C15</f>
        <v>343000</v>
      </c>
      <c r="F15" s="77">
        <f>IF(C15=0,0,+E15/C15)</f>
        <v>1.9131016788443304E-2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887</v>
      </c>
      <c r="C16" s="79">
        <f>IF(C13=0,0,+C15/+C13)</f>
        <v>4152.1537748957853</v>
      </c>
      <c r="D16" s="79">
        <f>IF(D13=0,0,+D15/+D13)</f>
        <v>4189.8647099289155</v>
      </c>
      <c r="E16" s="79">
        <f>+D16-C16</f>
        <v>37.710935033130227</v>
      </c>
      <c r="F16" s="80">
        <f>IF(C16=0,0,+E16/C16)</f>
        <v>9.082258769203877E-3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888</v>
      </c>
      <c r="C18" s="704">
        <v>0.39072200000000001</v>
      </c>
      <c r="D18" s="704">
        <v>0.38950099999999999</v>
      </c>
      <c r="E18" s="704">
        <f>+D18-C18</f>
        <v>-1.2210000000000276E-3</v>
      </c>
      <c r="F18" s="77">
        <f>IF(C18=0,0,+E18/C18)</f>
        <v>-3.1249840039722044E-3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889</v>
      </c>
      <c r="C19" s="79">
        <f>+C15*C18</f>
        <v>7005254.7379999999</v>
      </c>
      <c r="D19" s="79">
        <f>+D15*D18</f>
        <v>7116962.2719999999</v>
      </c>
      <c r="E19" s="79">
        <f>+D19-C19</f>
        <v>111707.53399999999</v>
      </c>
      <c r="F19" s="80">
        <f>IF(C19=0,0,+E19/C19)</f>
        <v>1.594624866302756E-2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890</v>
      </c>
      <c r="C20" s="79">
        <f>IF(C13=0,0,+C19/C13)</f>
        <v>1622.3378272348309</v>
      </c>
      <c r="D20" s="79">
        <f>IF(D13=0,0,+D19/D13)</f>
        <v>1631.9564943820224</v>
      </c>
      <c r="E20" s="79">
        <f>+D20-C20</f>
        <v>9.6186671471914451</v>
      </c>
      <c r="F20" s="80">
        <f>IF(C20=0,0,+E20/C20)</f>
        <v>5.9288928518580102E-3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891</v>
      </c>
      <c r="C22" s="76">
        <v>2742745</v>
      </c>
      <c r="D22" s="76">
        <v>2478477</v>
      </c>
      <c r="E22" s="76">
        <f>+D22-C22</f>
        <v>-264268</v>
      </c>
      <c r="F22" s="77">
        <f>IF(C22=0,0,+E22/C22)</f>
        <v>-9.6351647710596497E-2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892</v>
      </c>
      <c r="C23" s="185">
        <v>10121147</v>
      </c>
      <c r="D23" s="185">
        <v>10856254</v>
      </c>
      <c r="E23" s="185">
        <f>+D23-C23</f>
        <v>735107</v>
      </c>
      <c r="F23" s="77">
        <f>IF(C23=0,0,+E23/C23)</f>
        <v>7.2630799651462422E-2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893</v>
      </c>
      <c r="C24" s="185">
        <v>5065108</v>
      </c>
      <c r="D24" s="185">
        <v>4937269</v>
      </c>
      <c r="E24" s="185">
        <f>+D24-C24</f>
        <v>-127839</v>
      </c>
      <c r="F24" s="77">
        <f>IF(C24=0,0,+E24/C24)</f>
        <v>-2.523914593726333E-2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894</v>
      </c>
      <c r="C25" s="79">
        <f>+C22+C23+C24</f>
        <v>17929000</v>
      </c>
      <c r="D25" s="79">
        <f>+D22+D23+D24</f>
        <v>18272000</v>
      </c>
      <c r="E25" s="79">
        <f>+E22+E23+E24</f>
        <v>343000</v>
      </c>
      <c r="F25" s="80">
        <f>IF(C25=0,0,+E25/C25)</f>
        <v>1.9131016788443304E-2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895</v>
      </c>
      <c r="C27" s="185">
        <v>1366</v>
      </c>
      <c r="D27" s="185">
        <v>1450</v>
      </c>
      <c r="E27" s="185">
        <f>+D27-C27</f>
        <v>84</v>
      </c>
      <c r="F27" s="77">
        <f>IF(C27=0,0,+E27/C27)</f>
        <v>6.149341142020498E-2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896</v>
      </c>
      <c r="C28" s="185">
        <v>330</v>
      </c>
      <c r="D28" s="185">
        <v>319</v>
      </c>
      <c r="E28" s="185">
        <f>+D28-C28</f>
        <v>-11</v>
      </c>
      <c r="F28" s="77">
        <f>IF(C28=0,0,+E28/C28)</f>
        <v>-3.3333333333333333E-2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897</v>
      </c>
      <c r="C29" s="185">
        <v>2289</v>
      </c>
      <c r="D29" s="185">
        <v>2276</v>
      </c>
      <c r="E29" s="185">
        <f>+D29-C29</f>
        <v>-13</v>
      </c>
      <c r="F29" s="77">
        <f>IF(C29=0,0,+E29/C29)</f>
        <v>-5.679335954565312E-3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898</v>
      </c>
      <c r="C30" s="185">
        <v>14697</v>
      </c>
      <c r="D30" s="185">
        <v>15478</v>
      </c>
      <c r="E30" s="185">
        <f>+D30-C30</f>
        <v>781</v>
      </c>
      <c r="F30" s="77">
        <f>IF(C30=0,0,+E30/C30)</f>
        <v>5.3140096618357488E-2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899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900</v>
      </c>
      <c r="C33" s="76">
        <v>7434470</v>
      </c>
      <c r="D33" s="76">
        <v>4741877</v>
      </c>
      <c r="E33" s="76">
        <f>+D33-C33</f>
        <v>-2692593</v>
      </c>
      <c r="F33" s="77">
        <f>IF(C33=0,0,+E33/C33)</f>
        <v>-0.36217685995101195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901</v>
      </c>
      <c r="C34" s="185">
        <v>6223202</v>
      </c>
      <c r="D34" s="185">
        <v>3232452</v>
      </c>
      <c r="E34" s="185">
        <f>+D34-C34</f>
        <v>-2990750</v>
      </c>
      <c r="F34" s="77">
        <f>IF(C34=0,0,+E34/C34)</f>
        <v>-0.48058057572291563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902</v>
      </c>
      <c r="C35" s="185">
        <v>9872805</v>
      </c>
      <c r="D35" s="185">
        <v>9861715</v>
      </c>
      <c r="E35" s="185">
        <f>+D35-C35</f>
        <v>-11090</v>
      </c>
      <c r="F35" s="77">
        <f>IF(C35=0,0,+E35/C35)</f>
        <v>-1.1232876573577621E-3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903</v>
      </c>
      <c r="C36" s="79">
        <f>+C33+C34+C35</f>
        <v>23530477</v>
      </c>
      <c r="D36" s="79">
        <f>+D33+D34+D35</f>
        <v>17836044</v>
      </c>
      <c r="E36" s="79">
        <f>+E33+E34+E35</f>
        <v>-5694433</v>
      </c>
      <c r="F36" s="80">
        <f>IF(C36=0,0,+E36/C36)</f>
        <v>-0.24200244644424335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904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905</v>
      </c>
      <c r="C39" s="76">
        <f>+C25</f>
        <v>17929000</v>
      </c>
      <c r="D39" s="76">
        <f>+D25</f>
        <v>18272000</v>
      </c>
      <c r="E39" s="76">
        <f>+D39-C39</f>
        <v>343000</v>
      </c>
      <c r="F39" s="77">
        <f>IF(C39=0,0,+E39/C39)</f>
        <v>1.9131016788443304E-2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906</v>
      </c>
      <c r="C40" s="185">
        <f>+C36</f>
        <v>23530477</v>
      </c>
      <c r="D40" s="185">
        <f>+D36</f>
        <v>17836044</v>
      </c>
      <c r="E40" s="185">
        <f>+D40-C40</f>
        <v>-5694433</v>
      </c>
      <c r="F40" s="77">
        <f>IF(C40=0,0,+E40/C40)</f>
        <v>-0.24200244644424335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907</v>
      </c>
      <c r="C41" s="79">
        <f>+C39+C40</f>
        <v>41459477</v>
      </c>
      <c r="D41" s="79">
        <f>+D39+D40</f>
        <v>36108044</v>
      </c>
      <c r="E41" s="79">
        <f>+E39+E40</f>
        <v>-5351433</v>
      </c>
      <c r="F41" s="80">
        <f>IF(C41=0,0,+E41/C41)</f>
        <v>-0.12907623026696646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908</v>
      </c>
      <c r="C43" s="76">
        <f t="shared" ref="C43:D45" si="0">+C22+C33</f>
        <v>10177215</v>
      </c>
      <c r="D43" s="76">
        <f t="shared" si="0"/>
        <v>7220354</v>
      </c>
      <c r="E43" s="76">
        <f>+D43-C43</f>
        <v>-2956861</v>
      </c>
      <c r="F43" s="77">
        <f>IF(C43=0,0,+E43/C43)</f>
        <v>-0.2905373424851494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909</v>
      </c>
      <c r="C44" s="185">
        <f t="shared" si="0"/>
        <v>16344349</v>
      </c>
      <c r="D44" s="185">
        <f t="shared" si="0"/>
        <v>14088706</v>
      </c>
      <c r="E44" s="185">
        <f>+D44-C44</f>
        <v>-2255643</v>
      </c>
      <c r="F44" s="77">
        <f>IF(C44=0,0,+E44/C44)</f>
        <v>-0.13800751562512523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910</v>
      </c>
      <c r="C45" s="185">
        <f t="shared" si="0"/>
        <v>14937913</v>
      </c>
      <c r="D45" s="185">
        <f t="shared" si="0"/>
        <v>14798984</v>
      </c>
      <c r="E45" s="185">
        <f>+D45-C45</f>
        <v>-138929</v>
      </c>
      <c r="F45" s="77">
        <f>IF(C45=0,0,+E45/C45)</f>
        <v>-9.3004290492252825E-3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907</v>
      </c>
      <c r="C46" s="79">
        <f>+C43+C44+C45</f>
        <v>41459477</v>
      </c>
      <c r="D46" s="79">
        <f>+D43+D44+D45</f>
        <v>36108044</v>
      </c>
      <c r="E46" s="79">
        <f>+E43+E44+E45</f>
        <v>-5351433</v>
      </c>
      <c r="F46" s="80">
        <f>IF(C46=0,0,+E46/C46)</f>
        <v>-0.12907623026696646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26" t="s">
        <v>911</v>
      </c>
      <c r="B48" s="827"/>
      <c r="C48" s="827"/>
      <c r="D48" s="827"/>
      <c r="E48" s="827"/>
      <c r="F48" s="828"/>
    </row>
  </sheetData>
  <mergeCells count="6">
    <mergeCell ref="A48:F48"/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FILING&amp;RNORWALK HOSPITAL</oddHeader>
    <oddFooter>&amp;LREPORT 100&amp;CPAGE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SheetLayoutView="90" workbookViewId="0">
      <selection sqref="A1:F1"/>
    </sheetView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629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912</v>
      </c>
      <c r="B5" s="833"/>
      <c r="C5" s="833"/>
      <c r="D5" s="833"/>
      <c r="E5" s="833"/>
      <c r="F5" s="834"/>
    </row>
    <row r="6" spans="1:14" ht="15.75" customHeight="1" x14ac:dyDescent="0.25">
      <c r="A6" s="832" t="s">
        <v>913</v>
      </c>
      <c r="B6" s="833"/>
      <c r="C6" s="833"/>
      <c r="D6" s="833"/>
      <c r="E6" s="833"/>
      <c r="F6" s="834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914</v>
      </c>
      <c r="D10" s="177" t="s">
        <v>914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915</v>
      </c>
      <c r="D11" s="693" t="s">
        <v>915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916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363988504</v>
      </c>
      <c r="D15" s="76">
        <v>349638109</v>
      </c>
      <c r="E15" s="76">
        <f>+D15-C15</f>
        <v>-14350395</v>
      </c>
      <c r="F15" s="77">
        <f>IF(C15=0,0,E15/C15)</f>
        <v>-3.9425407237586821E-2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530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917</v>
      </c>
      <c r="C17" s="76">
        <v>164825999</v>
      </c>
      <c r="D17" s="76">
        <v>150508712</v>
      </c>
      <c r="E17" s="76">
        <f>+D17-C17</f>
        <v>-14317287</v>
      </c>
      <c r="F17" s="77">
        <f>IF(C17=0,0,E17/C17)</f>
        <v>-8.6863037911876995E-2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918</v>
      </c>
      <c r="C19" s="79">
        <f>+C15-C17</f>
        <v>199162505</v>
      </c>
      <c r="D19" s="79">
        <f>+D15-D17</f>
        <v>199129397</v>
      </c>
      <c r="E19" s="79">
        <f>+D19-C19</f>
        <v>-33108</v>
      </c>
      <c r="F19" s="80">
        <f>IF(C19=0,0,E19/C19)</f>
        <v>-1.6623610955284981E-4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919</v>
      </c>
      <c r="C21" s="720">
        <f>IF(C15=0,0,C17/C15)</f>
        <v>0.4528329801317022</v>
      </c>
      <c r="D21" s="720">
        <f>IF(D15=0,0,D17/D15)</f>
        <v>0.43046998632520345</v>
      </c>
      <c r="E21" s="720">
        <f>+D21-C21</f>
        <v>-2.2362993806498754E-2</v>
      </c>
      <c r="F21" s="80">
        <f>IF(C21=0,0,E21/C21)</f>
        <v>-4.9384640226501811E-2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530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530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530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530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920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6:F26"/>
    <mergeCell ref="A2:F2"/>
    <mergeCell ref="A3:F3"/>
    <mergeCell ref="A4:F4"/>
    <mergeCell ref="A5:F5"/>
    <mergeCell ref="A6:F6"/>
  </mergeCells>
  <printOptions gridLines="1"/>
  <pageMargins left="0.25" right="0.25" top="0.5" bottom="0.5" header="0.25" footer="0.25"/>
  <pageSetup scale="67" fitToHeight="0" orientation="portrait" horizontalDpi="1200" verticalDpi="1200" r:id="rId1"/>
  <headerFooter>
    <oddHeader>&amp;LOFFICE OF HEALTH CARE ACCESS&amp;CTWELVE MONTHS ACTUAL FILING&amp;RNORWALK HOSPITAL</oddHeader>
    <oddFooter>&amp;LREPORT 100&amp;CPAGE &amp;P of &amp;N&amp;R&amp;D,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4"/>
  <sheetViews>
    <sheetView zoomScale="75" workbookViewId="0">
      <selection sqref="A1:E1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18.85546875" style="733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921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922</v>
      </c>
      <c r="B6" s="734" t="s">
        <v>923</v>
      </c>
      <c r="C6" s="734" t="s">
        <v>924</v>
      </c>
      <c r="D6" s="734" t="s">
        <v>925</v>
      </c>
      <c r="E6" s="734" t="s">
        <v>926</v>
      </c>
    </row>
    <row r="7" spans="1:6" ht="37.5" customHeight="1" x14ac:dyDescent="0.25">
      <c r="A7" s="735" t="s">
        <v>8</v>
      </c>
      <c r="B7" s="736" t="s">
        <v>9</v>
      </c>
      <c r="C7" s="737" t="s">
        <v>927</v>
      </c>
      <c r="D7" s="737" t="s">
        <v>928</v>
      </c>
      <c r="E7" s="737" t="s">
        <v>929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930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931</v>
      </c>
      <c r="C10" s="744">
        <v>456194748</v>
      </c>
      <c r="D10" s="744">
        <v>473961549</v>
      </c>
      <c r="E10" s="744">
        <v>451063513</v>
      </c>
    </row>
    <row r="11" spans="1:6" ht="26.1" customHeight="1" x14ac:dyDescent="0.25">
      <c r="A11" s="742">
        <v>2</v>
      </c>
      <c r="B11" s="743" t="s">
        <v>932</v>
      </c>
      <c r="C11" s="744">
        <v>397763358</v>
      </c>
      <c r="D11" s="744">
        <v>434996813</v>
      </c>
      <c r="E11" s="744">
        <v>462331270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853958106</v>
      </c>
      <c r="D12" s="744">
        <f>+D11+D10</f>
        <v>908958362</v>
      </c>
      <c r="E12" s="744">
        <f>+E11+E10</f>
        <v>913394783</v>
      </c>
    </row>
    <row r="13" spans="1:6" ht="26.1" customHeight="1" x14ac:dyDescent="0.25">
      <c r="A13" s="742">
        <v>4</v>
      </c>
      <c r="B13" s="743" t="s">
        <v>507</v>
      </c>
      <c r="C13" s="744">
        <v>350594448</v>
      </c>
      <c r="D13" s="744">
        <v>363267877</v>
      </c>
      <c r="E13" s="744">
        <v>334131914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933</v>
      </c>
      <c r="C16" s="744">
        <v>338475864</v>
      </c>
      <c r="D16" s="744">
        <v>361951445</v>
      </c>
      <c r="E16" s="744">
        <v>338981125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934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70355</v>
      </c>
      <c r="D19" s="747">
        <v>67341</v>
      </c>
      <c r="E19" s="747">
        <v>59611</v>
      </c>
    </row>
    <row r="20" spans="1:5" ht="26.1" customHeight="1" x14ac:dyDescent="0.25">
      <c r="A20" s="742">
        <v>2</v>
      </c>
      <c r="B20" s="743" t="s">
        <v>381</v>
      </c>
      <c r="C20" s="748">
        <v>14878</v>
      </c>
      <c r="D20" s="748">
        <v>15003</v>
      </c>
      <c r="E20" s="748">
        <v>13045</v>
      </c>
    </row>
    <row r="21" spans="1:5" ht="26.1" customHeight="1" x14ac:dyDescent="0.25">
      <c r="A21" s="742">
        <v>3</v>
      </c>
      <c r="B21" s="743" t="s">
        <v>935</v>
      </c>
      <c r="C21" s="749">
        <f>IF(C20=0,0,+C19/C20)</f>
        <v>4.728794192767845</v>
      </c>
      <c r="D21" s="749">
        <f>IF(D20=0,0,+D19/D20)</f>
        <v>4.4885022995400918</v>
      </c>
      <c r="E21" s="749">
        <f>IF(E20=0,0,+E19/E20)</f>
        <v>4.5696435415868146</v>
      </c>
    </row>
    <row r="22" spans="1:5" ht="26.1" customHeight="1" x14ac:dyDescent="0.25">
      <c r="A22" s="742">
        <v>4</v>
      </c>
      <c r="B22" s="743" t="s">
        <v>936</v>
      </c>
      <c r="C22" s="748">
        <f>IF(C10=0,0,C19*(C12/C10))</f>
        <v>131698.62829641782</v>
      </c>
      <c r="D22" s="748">
        <f>IF(D10=0,0,D19*(D12/D10))</f>
        <v>129145.84565897349</v>
      </c>
      <c r="E22" s="748">
        <f>IF(E10=0,0,E19*(E12/E10))</f>
        <v>120711.10794858949</v>
      </c>
    </row>
    <row r="23" spans="1:5" ht="26.1" customHeight="1" x14ac:dyDescent="0.25">
      <c r="A23" s="742">
        <v>0</v>
      </c>
      <c r="B23" s="743" t="s">
        <v>937</v>
      </c>
      <c r="C23" s="748">
        <f>IF(C10=0,0,C20*(C12/C10))</f>
        <v>27850.36162027012</v>
      </c>
      <c r="D23" s="748">
        <f>IF(D10=0,0,D20*(D12/D10))</f>
        <v>28772.592067560316</v>
      </c>
      <c r="E23" s="748">
        <f>IF(E10=0,0,E20*(E12/E10))</f>
        <v>26415.869607779601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938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1.1728776240086036</v>
      </c>
      <c r="D26" s="750">
        <v>1.1303147770445909</v>
      </c>
      <c r="E26" s="750">
        <v>1.1997942384055194</v>
      </c>
    </row>
    <row r="27" spans="1:5" ht="26.1" customHeight="1" x14ac:dyDescent="0.25">
      <c r="A27" s="742">
        <v>2</v>
      </c>
      <c r="B27" s="743" t="s">
        <v>939</v>
      </c>
      <c r="C27" s="748">
        <f>C19*C26</f>
        <v>82517.805237125314</v>
      </c>
      <c r="D27" s="748">
        <f>D19*D26</f>
        <v>76116.527400959792</v>
      </c>
      <c r="E27" s="748">
        <f>E19*E26</f>
        <v>71520.93434559142</v>
      </c>
    </row>
    <row r="28" spans="1:5" ht="26.1" customHeight="1" x14ac:dyDescent="0.25">
      <c r="A28" s="742">
        <v>3</v>
      </c>
      <c r="B28" s="743" t="s">
        <v>940</v>
      </c>
      <c r="C28" s="748">
        <f>C20*C26</f>
        <v>17450.073290000004</v>
      </c>
      <c r="D28" s="748">
        <f>D20*D26</f>
        <v>16958.112599999997</v>
      </c>
      <c r="E28" s="748">
        <f>E20*E26</f>
        <v>15651.315839999999</v>
      </c>
    </row>
    <row r="29" spans="1:5" ht="26.1" customHeight="1" x14ac:dyDescent="0.25">
      <c r="A29" s="742">
        <v>4</v>
      </c>
      <c r="B29" s="743" t="s">
        <v>941</v>
      </c>
      <c r="C29" s="748">
        <f>C22*C26</f>
        <v>154466.37424149478</v>
      </c>
      <c r="D29" s="748">
        <f>D22*D26</f>
        <v>145975.45774225777</v>
      </c>
      <c r="E29" s="748">
        <f>E22*E26</f>
        <v>144828.49182826435</v>
      </c>
    </row>
    <row r="30" spans="1:5" ht="26.1" customHeight="1" x14ac:dyDescent="0.25">
      <c r="A30" s="742">
        <v>5</v>
      </c>
      <c r="B30" s="743" t="s">
        <v>942</v>
      </c>
      <c r="C30" s="748">
        <f>C23*C26</f>
        <v>32665.065964962821</v>
      </c>
      <c r="D30" s="748">
        <f>D23*D26</f>
        <v>32522.085987839404</v>
      </c>
      <c r="E30" s="748">
        <f>E23*E26</f>
        <v>31693.608157885432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943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944</v>
      </c>
      <c r="C33" s="744">
        <f>IF(C19=0,0,C12/C19)</f>
        <v>12137.845298841588</v>
      </c>
      <c r="D33" s="744">
        <f>IF(D19=0,0,D12/D19)</f>
        <v>13497.844730550481</v>
      </c>
      <c r="E33" s="744">
        <f>IF(E19=0,0,E12/E19)</f>
        <v>15322.587827749912</v>
      </c>
    </row>
    <row r="34" spans="1:5" ht="26.1" customHeight="1" x14ac:dyDescent="0.25">
      <c r="A34" s="742">
        <v>2</v>
      </c>
      <c r="B34" s="743" t="s">
        <v>945</v>
      </c>
      <c r="C34" s="744">
        <f>IF(C20=0,0,C12/C20)</f>
        <v>57397.372361876594</v>
      </c>
      <c r="D34" s="744">
        <f>IF(D20=0,0,D12/D20)</f>
        <v>60585.107111910955</v>
      </c>
      <c r="E34" s="744">
        <f>IF(E20=0,0,E12/E20)</f>
        <v>70018.76450747413</v>
      </c>
    </row>
    <row r="35" spans="1:5" ht="26.1" customHeight="1" x14ac:dyDescent="0.25">
      <c r="A35" s="742">
        <v>3</v>
      </c>
      <c r="B35" s="743" t="s">
        <v>946</v>
      </c>
      <c r="C35" s="744">
        <f>IF(C22=0,0,C12/C22)</f>
        <v>6484.1837538199134</v>
      </c>
      <c r="D35" s="744">
        <f>IF(D22=0,0,D12/D22)</f>
        <v>7038.231523143405</v>
      </c>
      <c r="E35" s="744">
        <f>IF(E22=0,0,E12/E22)</f>
        <v>7566.783194376877</v>
      </c>
    </row>
    <row r="36" spans="1:5" ht="26.1" customHeight="1" x14ac:dyDescent="0.25">
      <c r="A36" s="742">
        <v>4</v>
      </c>
      <c r="B36" s="743" t="s">
        <v>947</v>
      </c>
      <c r="C36" s="744">
        <f>IF(C23=0,0,C12/C23)</f>
        <v>30662.370479903217</v>
      </c>
      <c r="D36" s="744">
        <f>IF(D23=0,0,D12/D23)</f>
        <v>31591.118376324735</v>
      </c>
      <c r="E36" s="744">
        <f>IF(E23=0,0,E12/E23)</f>
        <v>34577.501954771949</v>
      </c>
    </row>
    <row r="37" spans="1:5" ht="26.1" customHeight="1" x14ac:dyDescent="0.25">
      <c r="A37" s="742">
        <v>5</v>
      </c>
      <c r="B37" s="743" t="s">
        <v>948</v>
      </c>
      <c r="C37" s="744">
        <f>IF(C29=0,0,C12/C29)</f>
        <v>5528.4401552982044</v>
      </c>
      <c r="D37" s="744">
        <f>IF(D29=0,0,D12/D29)</f>
        <v>6226.7889140988782</v>
      </c>
      <c r="E37" s="744">
        <f>IF(E29=0,0,E12/E29)</f>
        <v>6306.7340650283859</v>
      </c>
    </row>
    <row r="38" spans="1:5" ht="26.1" customHeight="1" x14ac:dyDescent="0.25">
      <c r="A38" s="742">
        <v>6</v>
      </c>
      <c r="B38" s="743" t="s">
        <v>949</v>
      </c>
      <c r="C38" s="744">
        <f>IF(C30=0,0,C12/C30)</f>
        <v>26142.855701438715</v>
      </c>
      <c r="D38" s="744">
        <f>IF(D30=0,0,D12/D30)</f>
        <v>27948.956359683569</v>
      </c>
      <c r="E38" s="744">
        <f>IF(E30=0,0,E12/E30)</f>
        <v>28819.526588762521</v>
      </c>
    </row>
    <row r="39" spans="1:5" ht="26.1" customHeight="1" x14ac:dyDescent="0.25">
      <c r="A39" s="742">
        <v>7</v>
      </c>
      <c r="B39" s="743" t="s">
        <v>950</v>
      </c>
      <c r="C39" s="744">
        <f>IF(C22=0,0,C10/C22)</f>
        <v>3463.9293810504205</v>
      </c>
      <c r="D39" s="744">
        <f>IF(D22=0,0,D10/D22)</f>
        <v>3669.9713148462979</v>
      </c>
      <c r="E39" s="744">
        <f>IF(E22=0,0,E10/E22)</f>
        <v>3736.7191857116136</v>
      </c>
    </row>
    <row r="40" spans="1:5" ht="26.1" customHeight="1" x14ac:dyDescent="0.25">
      <c r="A40" s="742">
        <v>8</v>
      </c>
      <c r="B40" s="743" t="s">
        <v>951</v>
      </c>
      <c r="C40" s="744">
        <f>IF(C23=0,0,C10/C23)</f>
        <v>16380.209141269146</v>
      </c>
      <c r="D40" s="744">
        <f>IF(D23=0,0,D10/D23)</f>
        <v>16472.674685933784</v>
      </c>
      <c r="E40" s="744">
        <f>IF(E23=0,0,E10/E23)</f>
        <v>17075.474693710617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952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953</v>
      </c>
      <c r="C43" s="744">
        <f>IF(C19=0,0,C13/C19)</f>
        <v>4983.2200696467917</v>
      </c>
      <c r="D43" s="744">
        <f>IF(D19=0,0,D13/D19)</f>
        <v>5394.4532602723448</v>
      </c>
      <c r="E43" s="744">
        <f>IF(E19=0,0,E13/E19)</f>
        <v>5605.205649963933</v>
      </c>
    </row>
    <row r="44" spans="1:5" ht="26.1" customHeight="1" x14ac:dyDescent="0.25">
      <c r="A44" s="742">
        <v>2</v>
      </c>
      <c r="B44" s="743" t="s">
        <v>954</v>
      </c>
      <c r="C44" s="744">
        <f>IF(C20=0,0,C13/C20)</f>
        <v>23564.622126629922</v>
      </c>
      <c r="D44" s="744">
        <f>IF(D20=0,0,D13/D20)</f>
        <v>24213.015863493969</v>
      </c>
      <c r="E44" s="744">
        <f>IF(E20=0,0,E13/E20)</f>
        <v>25613.791797623609</v>
      </c>
    </row>
    <row r="45" spans="1:5" ht="26.1" customHeight="1" x14ac:dyDescent="0.25">
      <c r="A45" s="742">
        <v>3</v>
      </c>
      <c r="B45" s="743" t="s">
        <v>955</v>
      </c>
      <c r="C45" s="744">
        <f>IF(C22=0,0,C13/C22)</f>
        <v>2662.0964283007352</v>
      </c>
      <c r="D45" s="744">
        <f>IF(D22=0,0,D13/D22)</f>
        <v>2812.8498841476976</v>
      </c>
      <c r="E45" s="744">
        <f>IF(E22=0,0,E13/E22)</f>
        <v>2768.0295515331186</v>
      </c>
    </row>
    <row r="46" spans="1:5" ht="26.1" customHeight="1" x14ac:dyDescent="0.25">
      <c r="A46" s="742">
        <v>4</v>
      </c>
      <c r="B46" s="743" t="s">
        <v>956</v>
      </c>
      <c r="C46" s="744">
        <f>IF(C23=0,0,C13/C23)</f>
        <v>12588.506130736539</v>
      </c>
      <c r="D46" s="744">
        <f>IF(D23=0,0,D13/D23)</f>
        <v>12625.483173258022</v>
      </c>
      <c r="E46" s="744">
        <f>IF(E23=0,0,E13/E23)</f>
        <v>12648.908363084762</v>
      </c>
    </row>
    <row r="47" spans="1:5" ht="26.1" customHeight="1" x14ac:dyDescent="0.25">
      <c r="A47" s="742">
        <v>5</v>
      </c>
      <c r="B47" s="743" t="s">
        <v>957</v>
      </c>
      <c r="C47" s="744">
        <f>IF(C29=0,0,C13/C29)</f>
        <v>2269.7137142086081</v>
      </c>
      <c r="D47" s="744">
        <f>IF(D29=0,0,D13/D29)</f>
        <v>2488.554464007269</v>
      </c>
      <c r="E47" s="744">
        <f>IF(E29=0,0,E13/E29)</f>
        <v>2307.086884507567</v>
      </c>
    </row>
    <row r="48" spans="1:5" ht="26.1" customHeight="1" x14ac:dyDescent="0.25">
      <c r="A48" s="742">
        <v>6</v>
      </c>
      <c r="B48" s="743" t="s">
        <v>958</v>
      </c>
      <c r="C48" s="744">
        <f>IF(C30=0,0,C13/C30)</f>
        <v>10733.009030995203</v>
      </c>
      <c r="D48" s="744">
        <f>IF(D30=0,0,D13/D30)</f>
        <v>11169.882434227387</v>
      </c>
      <c r="E48" s="744">
        <f>IF(E30=0,0,E13/E30)</f>
        <v>10542.564681669648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959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960</v>
      </c>
      <c r="C51" s="744">
        <f>IF(C19=0,0,C16/C19)</f>
        <v>4810.9709899793907</v>
      </c>
      <c r="D51" s="744">
        <f>IF(D19=0,0,D16/D19)</f>
        <v>5374.9045158224562</v>
      </c>
      <c r="E51" s="744">
        <f>IF(E19=0,0,E16/E19)</f>
        <v>5686.5532368187078</v>
      </c>
    </row>
    <row r="52" spans="1:6" ht="26.1" customHeight="1" x14ac:dyDescent="0.25">
      <c r="A52" s="742">
        <v>2</v>
      </c>
      <c r="B52" s="743" t="s">
        <v>961</v>
      </c>
      <c r="C52" s="744">
        <f>IF(C20=0,0,C16/C20)</f>
        <v>22750.091678989113</v>
      </c>
      <c r="D52" s="744">
        <f>IF(D20=0,0,D16/D20)</f>
        <v>24125.271279077519</v>
      </c>
      <c r="E52" s="744">
        <f>IF(E20=0,0,E16/E20)</f>
        <v>25985.521272518206</v>
      </c>
    </row>
    <row r="53" spans="1:6" ht="26.1" customHeight="1" x14ac:dyDescent="0.25">
      <c r="A53" s="742">
        <v>3</v>
      </c>
      <c r="B53" s="743" t="s">
        <v>962</v>
      </c>
      <c r="C53" s="744">
        <f>IF(C22=0,0,C16/C22)</f>
        <v>2570.0788867609372</v>
      </c>
      <c r="D53" s="744">
        <f>IF(D22=0,0,D16/D22)</f>
        <v>2802.6565094147913</v>
      </c>
      <c r="E53" s="744">
        <f>IF(E22=0,0,E16/E22)</f>
        <v>2808.2015877475924</v>
      </c>
    </row>
    <row r="54" spans="1:6" ht="26.1" customHeight="1" x14ac:dyDescent="0.25">
      <c r="A54" s="742">
        <v>4</v>
      </c>
      <c r="B54" s="743" t="s">
        <v>963</v>
      </c>
      <c r="C54" s="744">
        <f>IF(C23=0,0,C16/C23)</f>
        <v>12153.374114670369</v>
      </c>
      <c r="D54" s="744">
        <f>IF(D23=0,0,D16/D23)</f>
        <v>12579.730187329298</v>
      </c>
      <c r="E54" s="744">
        <f>IF(E23=0,0,E16/E23)</f>
        <v>12832.480248924625</v>
      </c>
    </row>
    <row r="55" spans="1:6" ht="26.1" customHeight="1" x14ac:dyDescent="0.25">
      <c r="A55" s="742">
        <v>5</v>
      </c>
      <c r="B55" s="743" t="s">
        <v>964</v>
      </c>
      <c r="C55" s="744">
        <f>IF(C29=0,0,C16/C29)</f>
        <v>2191.2592022832255</v>
      </c>
      <c r="D55" s="744">
        <f>IF(D29=0,0,D16/D29)</f>
        <v>2479.536290539203</v>
      </c>
      <c r="E55" s="744">
        <f>IF(E29=0,0,E16/E29)</f>
        <v>2340.5693225194887</v>
      </c>
    </row>
    <row r="56" spans="1:6" ht="26.1" customHeight="1" x14ac:dyDescent="0.25">
      <c r="A56" s="742">
        <v>6</v>
      </c>
      <c r="B56" s="743" t="s">
        <v>965</v>
      </c>
      <c r="C56" s="744">
        <f>IF(C30=0,0,C16/C30)</f>
        <v>10362.013790606017</v>
      </c>
      <c r="D56" s="744">
        <f>IF(D30=0,0,D16/D30)</f>
        <v>11129.404341878322</v>
      </c>
      <c r="E56" s="744">
        <f>IF(E30=0,0,E16/E30)</f>
        <v>10695.567488287408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966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967</v>
      </c>
      <c r="C59" s="752">
        <v>45217418</v>
      </c>
      <c r="D59" s="752">
        <v>46217962</v>
      </c>
      <c r="E59" s="752">
        <v>46255451</v>
      </c>
    </row>
    <row r="60" spans="1:6" ht="26.1" customHeight="1" x14ac:dyDescent="0.25">
      <c r="A60" s="742">
        <v>2</v>
      </c>
      <c r="B60" s="743" t="s">
        <v>968</v>
      </c>
      <c r="C60" s="752">
        <v>12997496</v>
      </c>
      <c r="D60" s="752">
        <v>14427766</v>
      </c>
      <c r="E60" s="752">
        <v>15513984</v>
      </c>
    </row>
    <row r="61" spans="1:6" ht="26.1" customHeight="1" x14ac:dyDescent="0.25">
      <c r="A61" s="753">
        <v>3</v>
      </c>
      <c r="B61" s="754" t="s">
        <v>969</v>
      </c>
      <c r="C61" s="755">
        <f>C59+C60</f>
        <v>58214914</v>
      </c>
      <c r="D61" s="755">
        <f>D59+D60</f>
        <v>60645728</v>
      </c>
      <c r="E61" s="755">
        <f>E59+E60</f>
        <v>61769435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970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971</v>
      </c>
      <c r="C64" s="744">
        <v>15263892</v>
      </c>
      <c r="D64" s="744">
        <v>9930604</v>
      </c>
      <c r="E64" s="752">
        <v>11928508</v>
      </c>
      <c r="F64" s="756"/>
    </row>
    <row r="65" spans="1:6" ht="26.1" customHeight="1" x14ac:dyDescent="0.25">
      <c r="A65" s="742">
        <v>2</v>
      </c>
      <c r="B65" s="743" t="s">
        <v>972</v>
      </c>
      <c r="C65" s="752">
        <v>3697361</v>
      </c>
      <c r="D65" s="752">
        <v>2996514</v>
      </c>
      <c r="E65" s="752">
        <v>3620814</v>
      </c>
      <c r="F65" s="756"/>
    </row>
    <row r="66" spans="1:6" ht="26.1" customHeight="1" x14ac:dyDescent="0.25">
      <c r="A66" s="753">
        <v>3</v>
      </c>
      <c r="B66" s="754" t="s">
        <v>973</v>
      </c>
      <c r="C66" s="757">
        <f>C64+C65</f>
        <v>18961253</v>
      </c>
      <c r="D66" s="757">
        <f>D64+D65</f>
        <v>12927118</v>
      </c>
      <c r="E66" s="757">
        <f>E64+E65</f>
        <v>15549322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974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975</v>
      </c>
      <c r="C69" s="752">
        <v>71810399</v>
      </c>
      <c r="D69" s="752">
        <v>77433917</v>
      </c>
      <c r="E69" s="752">
        <v>80198641</v>
      </c>
    </row>
    <row r="70" spans="1:6" ht="26.1" customHeight="1" x14ac:dyDescent="0.25">
      <c r="A70" s="742">
        <v>2</v>
      </c>
      <c r="B70" s="743" t="s">
        <v>976</v>
      </c>
      <c r="C70" s="752">
        <v>25879074</v>
      </c>
      <c r="D70" s="752">
        <v>30346364</v>
      </c>
      <c r="E70" s="752">
        <v>32551822</v>
      </c>
    </row>
    <row r="71" spans="1:6" ht="26.1" customHeight="1" x14ac:dyDescent="0.25">
      <c r="A71" s="753">
        <v>3</v>
      </c>
      <c r="B71" s="754" t="s">
        <v>977</v>
      </c>
      <c r="C71" s="755">
        <f>C69+C70</f>
        <v>97689473</v>
      </c>
      <c r="D71" s="755">
        <f>D69+D70</f>
        <v>107780281</v>
      </c>
      <c r="E71" s="755">
        <f>E69+E70</f>
        <v>112750463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978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979</v>
      </c>
      <c r="C75" s="744">
        <f t="shared" ref="C75:E76" si="0">+C59+C64+C69</f>
        <v>132291709</v>
      </c>
      <c r="D75" s="744">
        <f t="shared" si="0"/>
        <v>133582483</v>
      </c>
      <c r="E75" s="744">
        <f t="shared" si="0"/>
        <v>138382600</v>
      </c>
    </row>
    <row r="76" spans="1:6" ht="26.1" customHeight="1" x14ac:dyDescent="0.25">
      <c r="A76" s="742">
        <v>2</v>
      </c>
      <c r="B76" s="743" t="s">
        <v>980</v>
      </c>
      <c r="C76" s="744">
        <f t="shared" si="0"/>
        <v>42573931</v>
      </c>
      <c r="D76" s="744">
        <f t="shared" si="0"/>
        <v>47770644</v>
      </c>
      <c r="E76" s="744">
        <f t="shared" si="0"/>
        <v>51686620</v>
      </c>
    </row>
    <row r="77" spans="1:6" ht="26.1" customHeight="1" x14ac:dyDescent="0.25">
      <c r="A77" s="753">
        <v>3</v>
      </c>
      <c r="B77" s="754" t="s">
        <v>978</v>
      </c>
      <c r="C77" s="757">
        <f>C75+C76</f>
        <v>174865640</v>
      </c>
      <c r="D77" s="757">
        <f>D75+D76</f>
        <v>181353127</v>
      </c>
      <c r="E77" s="757">
        <f>E75+E76</f>
        <v>190069220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981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616</v>
      </c>
      <c r="C80" s="749">
        <v>462.7</v>
      </c>
      <c r="D80" s="749">
        <v>453.2</v>
      </c>
      <c r="E80" s="749">
        <v>450.4</v>
      </c>
    </row>
    <row r="81" spans="1:5" ht="26.1" customHeight="1" x14ac:dyDescent="0.25">
      <c r="A81" s="742">
        <v>2</v>
      </c>
      <c r="B81" s="743" t="s">
        <v>617</v>
      </c>
      <c r="C81" s="749">
        <v>103.9</v>
      </c>
      <c r="D81" s="749">
        <v>90.7</v>
      </c>
      <c r="E81" s="749">
        <v>91.8</v>
      </c>
    </row>
    <row r="82" spans="1:5" ht="26.1" customHeight="1" x14ac:dyDescent="0.25">
      <c r="A82" s="742">
        <v>3</v>
      </c>
      <c r="B82" s="743" t="s">
        <v>982</v>
      </c>
      <c r="C82" s="749">
        <v>1131.8</v>
      </c>
      <c r="D82" s="749">
        <v>1154.9000000000001</v>
      </c>
      <c r="E82" s="749">
        <v>1143.2</v>
      </c>
    </row>
    <row r="83" spans="1:5" ht="26.1" customHeight="1" x14ac:dyDescent="0.25">
      <c r="A83" s="753">
        <v>4</v>
      </c>
      <c r="B83" s="754" t="s">
        <v>981</v>
      </c>
      <c r="C83" s="759">
        <f>C80+C81+C82</f>
        <v>1698.4</v>
      </c>
      <c r="D83" s="759">
        <f>D80+D81+D82</f>
        <v>1698.8000000000002</v>
      </c>
      <c r="E83" s="759">
        <f>E80+E81+E82</f>
        <v>1685.4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983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984</v>
      </c>
      <c r="C86" s="752">
        <f>IF(C80=0,0,C59/C80)</f>
        <v>97725.130754268423</v>
      </c>
      <c r="D86" s="752">
        <f>IF(D80=0,0,D59/D80)</f>
        <v>101981.3812886143</v>
      </c>
      <c r="E86" s="752">
        <f>IF(E80=0,0,E59/E80)</f>
        <v>102698.60346358793</v>
      </c>
    </row>
    <row r="87" spans="1:5" ht="26.1" customHeight="1" x14ac:dyDescent="0.25">
      <c r="A87" s="742">
        <v>2</v>
      </c>
      <c r="B87" s="743" t="s">
        <v>985</v>
      </c>
      <c r="C87" s="752">
        <f>IF(C80=0,0,C60/C80)</f>
        <v>28090.546790577049</v>
      </c>
      <c r="D87" s="752">
        <f>IF(D80=0,0,D60/D80)</f>
        <v>31835.317740511917</v>
      </c>
      <c r="E87" s="752">
        <f>IF(E80=0,0,E60/E80)</f>
        <v>34444.90230905862</v>
      </c>
    </row>
    <row r="88" spans="1:5" ht="26.1" customHeight="1" x14ac:dyDescent="0.25">
      <c r="A88" s="753">
        <v>3</v>
      </c>
      <c r="B88" s="754" t="s">
        <v>986</v>
      </c>
      <c r="C88" s="755">
        <f>+C86+C87</f>
        <v>125815.67754484547</v>
      </c>
      <c r="D88" s="755">
        <f>+D86+D87</f>
        <v>133816.6990291262</v>
      </c>
      <c r="E88" s="755">
        <f>+E86+E87</f>
        <v>137143.50577264655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987</v>
      </c>
    </row>
    <row r="91" spans="1:5" ht="26.1" customHeight="1" x14ac:dyDescent="0.25">
      <c r="A91" s="742">
        <v>1</v>
      </c>
      <c r="B91" s="743" t="s">
        <v>988</v>
      </c>
      <c r="C91" s="744">
        <f>IF(C81=0,0,C64/C81)</f>
        <v>146909.45139557266</v>
      </c>
      <c r="D91" s="744">
        <f>IF(D81=0,0,D64/D81)</f>
        <v>109488.46747519294</v>
      </c>
      <c r="E91" s="744">
        <f>IF(E81=0,0,E64/E81)</f>
        <v>129940.17429193901</v>
      </c>
    </row>
    <row r="92" spans="1:5" ht="26.1" customHeight="1" x14ac:dyDescent="0.25">
      <c r="A92" s="742">
        <v>2</v>
      </c>
      <c r="B92" s="743" t="s">
        <v>989</v>
      </c>
      <c r="C92" s="744">
        <f>IF(C81=0,0,C65/C81)</f>
        <v>35585.765158806542</v>
      </c>
      <c r="D92" s="744">
        <f>IF(D81=0,0,D65/D81)</f>
        <v>33037.640573318633</v>
      </c>
      <c r="E92" s="744">
        <f>IF(E81=0,0,E65/E81)</f>
        <v>39442.418300653597</v>
      </c>
    </row>
    <row r="93" spans="1:5" ht="26.1" customHeight="1" x14ac:dyDescent="0.25">
      <c r="A93" s="753">
        <v>3</v>
      </c>
      <c r="B93" s="754" t="s">
        <v>990</v>
      </c>
      <c r="C93" s="757">
        <f>+C91+C92</f>
        <v>182495.21655437921</v>
      </c>
      <c r="D93" s="757">
        <f>+D91+D92</f>
        <v>142526.10804851158</v>
      </c>
      <c r="E93" s="757">
        <f>+E91+E92</f>
        <v>169382.59259259261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991</v>
      </c>
      <c r="B95" s="745" t="s">
        <v>992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993</v>
      </c>
      <c r="C96" s="752">
        <f>IF(C82=0,0,C69/C82)</f>
        <v>63447.958119809155</v>
      </c>
      <c r="D96" s="752">
        <f>IF(D82=0,0,D69/D82)</f>
        <v>67048.157416226502</v>
      </c>
      <c r="E96" s="752">
        <f>IF(E82=0,0,E69/E82)</f>
        <v>70152.765045486347</v>
      </c>
    </row>
    <row r="97" spans="1:5" ht="26.1" customHeight="1" x14ac:dyDescent="0.25">
      <c r="A97" s="742">
        <v>2</v>
      </c>
      <c r="B97" s="743" t="s">
        <v>994</v>
      </c>
      <c r="C97" s="752">
        <f>IF(C82=0,0,C70/C82)</f>
        <v>22865.412617070153</v>
      </c>
      <c r="D97" s="752">
        <f>IF(D82=0,0,D70/D82)</f>
        <v>26276.183219326347</v>
      </c>
      <c r="E97" s="752">
        <f>IF(E82=0,0,E70/E82)</f>
        <v>28474.301959412176</v>
      </c>
    </row>
    <row r="98" spans="1:5" ht="26.1" customHeight="1" x14ac:dyDescent="0.25">
      <c r="A98" s="753">
        <v>3</v>
      </c>
      <c r="B98" s="754" t="s">
        <v>995</v>
      </c>
      <c r="C98" s="757">
        <f>+C96+C97</f>
        <v>86313.370736879311</v>
      </c>
      <c r="D98" s="757">
        <f>+D96+D97</f>
        <v>93324.340635552857</v>
      </c>
      <c r="E98" s="757">
        <f>+E96+E97</f>
        <v>98627.067004898519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996</v>
      </c>
      <c r="B100" s="745" t="s">
        <v>997</v>
      </c>
    </row>
    <row r="101" spans="1:5" ht="26.1" customHeight="1" x14ac:dyDescent="0.25">
      <c r="A101" s="742">
        <v>1</v>
      </c>
      <c r="B101" s="743" t="s">
        <v>998</v>
      </c>
      <c r="C101" s="744">
        <f>IF(C83=0,0,C75/C83)</f>
        <v>77891.962435233159</v>
      </c>
      <c r="D101" s="744">
        <f>IF(D83=0,0,D75/D83)</f>
        <v>78633.437132093241</v>
      </c>
      <c r="E101" s="744">
        <f>IF(E83=0,0,E75/E83)</f>
        <v>82106.680906609705</v>
      </c>
    </row>
    <row r="102" spans="1:5" ht="26.1" customHeight="1" x14ac:dyDescent="0.25">
      <c r="A102" s="742">
        <v>2</v>
      </c>
      <c r="B102" s="743" t="s">
        <v>999</v>
      </c>
      <c r="C102" s="761">
        <f>IF(C83=0,0,C76/C83)</f>
        <v>25067.081370701835</v>
      </c>
      <c r="D102" s="761">
        <f>IF(D83=0,0,D76/D83)</f>
        <v>28120.228396515184</v>
      </c>
      <c r="E102" s="761">
        <f>IF(E83=0,0,E76/E83)</f>
        <v>30667.271864245875</v>
      </c>
    </row>
    <row r="103" spans="1:5" ht="26.1" customHeight="1" x14ac:dyDescent="0.25">
      <c r="A103" s="753">
        <v>3</v>
      </c>
      <c r="B103" s="754" t="s">
        <v>997</v>
      </c>
      <c r="C103" s="757">
        <f>+C101+C102</f>
        <v>102959.043805935</v>
      </c>
      <c r="D103" s="757">
        <f>+D101+D102</f>
        <v>106753.66552860843</v>
      </c>
      <c r="E103" s="757">
        <f>+E101+E102</f>
        <v>112773.95277085558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1000</v>
      </c>
      <c r="B107" s="736" t="s">
        <v>1001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1002</v>
      </c>
      <c r="C108" s="744">
        <f>IF(C19=0,0,C77/C19)</f>
        <v>2485.4756591571318</v>
      </c>
      <c r="D108" s="744">
        <f>IF(D19=0,0,D77/D19)</f>
        <v>2693.056637115576</v>
      </c>
      <c r="E108" s="744">
        <f>IF(E19=0,0,E77/E19)</f>
        <v>3188.492392343695</v>
      </c>
    </row>
    <row r="109" spans="1:5" ht="26.1" customHeight="1" x14ac:dyDescent="0.25">
      <c r="A109" s="742">
        <v>2</v>
      </c>
      <c r="B109" s="743" t="s">
        <v>1003</v>
      </c>
      <c r="C109" s="744">
        <f>IF(C20=0,0,C77/C20)</f>
        <v>11753.302863288076</v>
      </c>
      <c r="D109" s="744">
        <f>IF(D20=0,0,D77/D20)</f>
        <v>12087.790908484969</v>
      </c>
      <c r="E109" s="744">
        <f>IF(E20=0,0,E77/E20)</f>
        <v>14570.273668072059</v>
      </c>
    </row>
    <row r="110" spans="1:5" ht="26.1" customHeight="1" x14ac:dyDescent="0.25">
      <c r="A110" s="742">
        <v>3</v>
      </c>
      <c r="B110" s="743" t="s">
        <v>1004</v>
      </c>
      <c r="C110" s="744">
        <f>IF(C22=0,0,C77/C22)</f>
        <v>1327.7711564802707</v>
      </c>
      <c r="D110" s="744">
        <f>IF(D22=0,0,D77/D22)</f>
        <v>1404.2505670595606</v>
      </c>
      <c r="E110" s="744">
        <f>IF(E22=0,0,E77/E22)</f>
        <v>1574.5793674675733</v>
      </c>
    </row>
    <row r="111" spans="1:5" ht="26.1" customHeight="1" x14ac:dyDescent="0.25">
      <c r="A111" s="742">
        <v>4</v>
      </c>
      <c r="B111" s="743" t="s">
        <v>1005</v>
      </c>
      <c r="C111" s="744">
        <f>IF(C23=0,0,C77/C23)</f>
        <v>6278.7565340885503</v>
      </c>
      <c r="D111" s="744">
        <f>IF(D23=0,0,D77/D23)</f>
        <v>6302.9818993773151</v>
      </c>
      <c r="E111" s="744">
        <f>IF(E23=0,0,E77/E23)</f>
        <v>7195.2664372640493</v>
      </c>
    </row>
    <row r="112" spans="1:5" ht="26.1" customHeight="1" x14ac:dyDescent="0.25">
      <c r="A112" s="742">
        <v>5</v>
      </c>
      <c r="B112" s="743" t="s">
        <v>1006</v>
      </c>
      <c r="C112" s="744">
        <f>IF(C29=0,0,C77/C29)</f>
        <v>1132.062825056104</v>
      </c>
      <c r="D112" s="744">
        <f>IF(D29=0,0,D77/D29)</f>
        <v>1242.3535421975314</v>
      </c>
      <c r="E112" s="744">
        <f>IF(E29=0,0,E77/E29)</f>
        <v>1312.3745031149085</v>
      </c>
    </row>
    <row r="113" spans="1:7" ht="25.5" customHeight="1" x14ac:dyDescent="0.25">
      <c r="A113" s="742">
        <v>6</v>
      </c>
      <c r="B113" s="743" t="s">
        <v>1007</v>
      </c>
      <c r="C113" s="744">
        <f>IF(C30=0,0,C77/C30)</f>
        <v>5353.292112973666</v>
      </c>
      <c r="D113" s="744">
        <f>IF(D30=0,0,D77/D30)</f>
        <v>5576.3067309953985</v>
      </c>
      <c r="E113" s="744">
        <f>IF(E30=0,0,E77/E30)</f>
        <v>5997.0836723022467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scale="68" fitToHeight="0" orientation="portrait" horizontalDpi="1200" verticalDpi="1200" r:id="rId1"/>
  <headerFooter>
    <oddHeader>&amp;LOFFICE OF HEALTH CARE ACCESS&amp;CTWELVE MONTHS ACTUAL FILING&amp;RNORWALK HOSPITAL</oddHeader>
    <oddFooter>&amp;LREPORT 100&amp;CPAGE &amp;P of &amp;N&amp;R&amp;D,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zoomScale="75" zoomScaleSheetLayoutView="75" workbookViewId="0">
      <selection sqref="A1:F1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908958362</v>
      </c>
      <c r="D12" s="76">
        <v>913394783</v>
      </c>
      <c r="E12" s="76">
        <f t="shared" ref="E12:E21" si="0">D12-C12</f>
        <v>4436421</v>
      </c>
      <c r="F12" s="77">
        <f t="shared" ref="F12:F21" si="1">IF(C12=0,0,E12/C12)</f>
        <v>4.8807747257404071E-3</v>
      </c>
    </row>
    <row r="13" spans="1:8" ht="23.1" customHeight="1" x14ac:dyDescent="0.2">
      <c r="A13" s="74">
        <v>2</v>
      </c>
      <c r="B13" s="75" t="s">
        <v>72</v>
      </c>
      <c r="C13" s="76">
        <v>527761485</v>
      </c>
      <c r="D13" s="76">
        <v>543154825</v>
      </c>
      <c r="E13" s="76">
        <f t="shared" si="0"/>
        <v>15393340</v>
      </c>
      <c r="F13" s="77">
        <f t="shared" si="1"/>
        <v>2.916722882875775E-2</v>
      </c>
    </row>
    <row r="14" spans="1:8" ht="23.1" customHeight="1" x14ac:dyDescent="0.2">
      <c r="A14" s="74">
        <v>3</v>
      </c>
      <c r="B14" s="75" t="s">
        <v>73</v>
      </c>
      <c r="C14" s="76">
        <v>17929000</v>
      </c>
      <c r="D14" s="76">
        <v>18272000</v>
      </c>
      <c r="E14" s="76">
        <f t="shared" si="0"/>
        <v>343000</v>
      </c>
      <c r="F14" s="77">
        <f t="shared" si="1"/>
        <v>1.9131016788443304E-2</v>
      </c>
    </row>
    <row r="15" spans="1:8" ht="23.1" customHeight="1" x14ac:dyDescent="0.2">
      <c r="A15" s="74">
        <v>4</v>
      </c>
      <c r="B15" s="75" t="s">
        <v>74</v>
      </c>
      <c r="C15" s="76">
        <v>0</v>
      </c>
      <c r="D15" s="76">
        <v>0</v>
      </c>
      <c r="E15" s="76">
        <f t="shared" si="0"/>
        <v>0</v>
      </c>
      <c r="F15" s="77">
        <f t="shared" si="1"/>
        <v>0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363267877</v>
      </c>
      <c r="D16" s="79">
        <f>D12-D13-D14-D15</f>
        <v>351967958</v>
      </c>
      <c r="E16" s="79">
        <f t="shared" si="0"/>
        <v>-11299919</v>
      </c>
      <c r="F16" s="80">
        <f t="shared" si="1"/>
        <v>-3.1106298452037367E-2</v>
      </c>
    </row>
    <row r="17" spans="1:7" ht="23.1" customHeight="1" x14ac:dyDescent="0.2">
      <c r="A17" s="74">
        <v>5</v>
      </c>
      <c r="B17" s="75" t="s">
        <v>76</v>
      </c>
      <c r="C17" s="76">
        <v>0</v>
      </c>
      <c r="D17" s="76">
        <v>17836044</v>
      </c>
      <c r="E17" s="76">
        <f t="shared" si="0"/>
        <v>17836044</v>
      </c>
      <c r="F17" s="77">
        <f t="shared" si="1"/>
        <v>0</v>
      </c>
      <c r="G17" s="65"/>
    </row>
    <row r="18" spans="1:7" ht="31.5" customHeight="1" x14ac:dyDescent="0.25">
      <c r="A18" s="71"/>
      <c r="B18" s="81" t="s">
        <v>77</v>
      </c>
      <c r="C18" s="79">
        <f>C16-C17</f>
        <v>363267877</v>
      </c>
      <c r="D18" s="79">
        <f>D16-D17</f>
        <v>334131914</v>
      </c>
      <c r="E18" s="79">
        <f t="shared" si="0"/>
        <v>-29135963</v>
      </c>
      <c r="F18" s="80">
        <f t="shared" si="1"/>
        <v>-8.020517321987157E-2</v>
      </c>
    </row>
    <row r="19" spans="1:7" ht="23.1" customHeight="1" x14ac:dyDescent="0.2">
      <c r="A19" s="74">
        <v>6</v>
      </c>
      <c r="B19" s="75" t="s">
        <v>78</v>
      </c>
      <c r="C19" s="76">
        <v>20310592</v>
      </c>
      <c r="D19" s="76">
        <v>16843048</v>
      </c>
      <c r="E19" s="76">
        <f t="shared" si="0"/>
        <v>-3467544</v>
      </c>
      <c r="F19" s="77">
        <f t="shared" si="1"/>
        <v>-0.1707258951388517</v>
      </c>
      <c r="G19" s="65"/>
    </row>
    <row r="20" spans="1:7" ht="33" customHeight="1" x14ac:dyDescent="0.2">
      <c r="A20" s="74">
        <v>7</v>
      </c>
      <c r="B20" s="82" t="s">
        <v>79</v>
      </c>
      <c r="C20" s="76">
        <v>0</v>
      </c>
      <c r="D20" s="76">
        <v>0</v>
      </c>
      <c r="E20" s="76">
        <f t="shared" si="0"/>
        <v>0</v>
      </c>
      <c r="F20" s="77">
        <f t="shared" si="1"/>
        <v>0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383578469</v>
      </c>
      <c r="D21" s="79">
        <f>SUM(D18:D20)</f>
        <v>350974962</v>
      </c>
      <c r="E21" s="79">
        <f t="shared" si="0"/>
        <v>-32603507</v>
      </c>
      <c r="F21" s="80">
        <f t="shared" si="1"/>
        <v>-8.49982718920545E-2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133582483</v>
      </c>
      <c r="D24" s="76">
        <v>138382600</v>
      </c>
      <c r="E24" s="76">
        <f t="shared" ref="E24:E33" si="2">D24-C24</f>
        <v>4800117</v>
      </c>
      <c r="F24" s="77">
        <f t="shared" ref="F24:F33" si="3">IF(C24=0,0,E24/C24)</f>
        <v>3.5933730921890408E-2</v>
      </c>
    </row>
    <row r="25" spans="1:7" ht="23.1" customHeight="1" x14ac:dyDescent="0.2">
      <c r="A25" s="74">
        <v>2</v>
      </c>
      <c r="B25" s="75" t="s">
        <v>83</v>
      </c>
      <c r="C25" s="76">
        <v>47770644</v>
      </c>
      <c r="D25" s="76">
        <v>51686620</v>
      </c>
      <c r="E25" s="76">
        <f t="shared" si="2"/>
        <v>3915976</v>
      </c>
      <c r="F25" s="77">
        <f t="shared" si="3"/>
        <v>8.197452812233387E-2</v>
      </c>
    </row>
    <row r="26" spans="1:7" ht="23.1" customHeight="1" x14ac:dyDescent="0.2">
      <c r="A26" s="74">
        <v>3</v>
      </c>
      <c r="B26" s="75" t="s">
        <v>84</v>
      </c>
      <c r="C26" s="76">
        <v>7854008</v>
      </c>
      <c r="D26" s="76">
        <v>7455185</v>
      </c>
      <c r="E26" s="76">
        <f t="shared" si="2"/>
        <v>-398823</v>
      </c>
      <c r="F26" s="77">
        <f t="shared" si="3"/>
        <v>-5.0779551026685993E-2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31420219</v>
      </c>
      <c r="D27" s="76">
        <v>30741799</v>
      </c>
      <c r="E27" s="76">
        <f t="shared" si="2"/>
        <v>-678420</v>
      </c>
      <c r="F27" s="77">
        <f t="shared" si="3"/>
        <v>-2.1591829133972618E-2</v>
      </c>
    </row>
    <row r="28" spans="1:7" ht="23.1" customHeight="1" x14ac:dyDescent="0.2">
      <c r="A28" s="74">
        <v>5</v>
      </c>
      <c r="B28" s="75" t="s">
        <v>86</v>
      </c>
      <c r="C28" s="76">
        <v>20380372</v>
      </c>
      <c r="D28" s="76">
        <v>18635476</v>
      </c>
      <c r="E28" s="76">
        <f t="shared" si="2"/>
        <v>-1744896</v>
      </c>
      <c r="F28" s="77">
        <f t="shared" si="3"/>
        <v>-8.5616494144464095E-2</v>
      </c>
    </row>
    <row r="29" spans="1:7" ht="23.1" customHeight="1" x14ac:dyDescent="0.2">
      <c r="A29" s="74">
        <v>6</v>
      </c>
      <c r="B29" s="75" t="s">
        <v>87</v>
      </c>
      <c r="C29" s="76">
        <v>23530477</v>
      </c>
      <c r="D29" s="76">
        <v>0</v>
      </c>
      <c r="E29" s="76">
        <f t="shared" si="2"/>
        <v>-23530477</v>
      </c>
      <c r="F29" s="77">
        <f t="shared" si="3"/>
        <v>-1</v>
      </c>
    </row>
    <row r="30" spans="1:7" ht="23.1" customHeight="1" x14ac:dyDescent="0.2">
      <c r="A30" s="74">
        <v>7</v>
      </c>
      <c r="B30" s="75" t="s">
        <v>88</v>
      </c>
      <c r="C30" s="76">
        <v>2025836</v>
      </c>
      <c r="D30" s="76">
        <v>2529391</v>
      </c>
      <c r="E30" s="76">
        <f t="shared" si="2"/>
        <v>503555</v>
      </c>
      <c r="F30" s="77">
        <f t="shared" si="3"/>
        <v>0.24856651772404084</v>
      </c>
    </row>
    <row r="31" spans="1:7" ht="23.1" customHeight="1" x14ac:dyDescent="0.2">
      <c r="A31" s="74">
        <v>8</v>
      </c>
      <c r="B31" s="75" t="s">
        <v>89</v>
      </c>
      <c r="C31" s="76">
        <v>7605175</v>
      </c>
      <c r="D31" s="76">
        <v>5816594</v>
      </c>
      <c r="E31" s="76">
        <f t="shared" si="2"/>
        <v>-1788581</v>
      </c>
      <c r="F31" s="77">
        <f t="shared" si="3"/>
        <v>-0.2351794666131943</v>
      </c>
    </row>
    <row r="32" spans="1:7" ht="23.1" customHeight="1" x14ac:dyDescent="0.2">
      <c r="A32" s="74">
        <v>9</v>
      </c>
      <c r="B32" s="75" t="s">
        <v>90</v>
      </c>
      <c r="C32" s="76">
        <v>87782231</v>
      </c>
      <c r="D32" s="76">
        <v>83733460</v>
      </c>
      <c r="E32" s="76">
        <f t="shared" si="2"/>
        <v>-4048771</v>
      </c>
      <c r="F32" s="77">
        <f t="shared" si="3"/>
        <v>-4.6122899291543409E-2</v>
      </c>
    </row>
    <row r="33" spans="1:6" ht="23.1" customHeight="1" x14ac:dyDescent="0.25">
      <c r="A33" s="71"/>
      <c r="B33" s="78" t="s">
        <v>91</v>
      </c>
      <c r="C33" s="79">
        <f>SUM(C24:C32)</f>
        <v>361951445</v>
      </c>
      <c r="D33" s="79">
        <f>SUM(D24:D32)</f>
        <v>338981125</v>
      </c>
      <c r="E33" s="79">
        <f t="shared" si="2"/>
        <v>-22970320</v>
      </c>
      <c r="F33" s="80">
        <f t="shared" si="3"/>
        <v>-6.3462434857802549E-2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21627024</v>
      </c>
      <c r="D35" s="79">
        <f>+D21-D33</f>
        <v>11993837</v>
      </c>
      <c r="E35" s="79">
        <f>D35-C35</f>
        <v>-9633187</v>
      </c>
      <c r="F35" s="80">
        <f>IF(C35=0,0,E35/C35)</f>
        <v>-0.44542360520800273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1273038</v>
      </c>
      <c r="D38" s="76">
        <v>2302857</v>
      </c>
      <c r="E38" s="76">
        <f>D38-C38</f>
        <v>1029819</v>
      </c>
      <c r="F38" s="77">
        <f>IF(C38=0,0,E38/C38)</f>
        <v>0.80894600161189223</v>
      </c>
    </row>
    <row r="39" spans="1:6" ht="23.1" customHeight="1" x14ac:dyDescent="0.2">
      <c r="A39" s="85">
        <v>2</v>
      </c>
      <c r="B39" s="75" t="s">
        <v>95</v>
      </c>
      <c r="C39" s="76">
        <v>0</v>
      </c>
      <c r="D39" s="76">
        <v>0</v>
      </c>
      <c r="E39" s="76">
        <f>D39-C39</f>
        <v>0</v>
      </c>
      <c r="F39" s="77">
        <f>IF(C39=0,0,E39/C39)</f>
        <v>0</v>
      </c>
    </row>
    <row r="40" spans="1:6" ht="23.1" customHeight="1" x14ac:dyDescent="0.2">
      <c r="A40" s="85">
        <v>3</v>
      </c>
      <c r="B40" s="75" t="s">
        <v>96</v>
      </c>
      <c r="C40" s="76">
        <v>0</v>
      </c>
      <c r="D40" s="76">
        <v>0</v>
      </c>
      <c r="E40" s="76">
        <f>D40-C40</f>
        <v>0</v>
      </c>
      <c r="F40" s="77">
        <f>IF(C40=0,0,E40/C40)</f>
        <v>0</v>
      </c>
    </row>
    <row r="41" spans="1:6" ht="23.1" customHeight="1" x14ac:dyDescent="0.25">
      <c r="A41" s="83"/>
      <c r="B41" s="78" t="s">
        <v>97</v>
      </c>
      <c r="C41" s="79">
        <f>SUM(C38:C40)</f>
        <v>1273038</v>
      </c>
      <c r="D41" s="79">
        <f>SUM(D38:D40)</f>
        <v>2302857</v>
      </c>
      <c r="E41" s="79">
        <f>D41-C41</f>
        <v>1029819</v>
      </c>
      <c r="F41" s="80">
        <f>IF(C41=0,0,E41/C41)</f>
        <v>0.80894600161189223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22900062</v>
      </c>
      <c r="D43" s="79">
        <f>D35+D41</f>
        <v>14296694</v>
      </c>
      <c r="E43" s="79">
        <f>D43-C43</f>
        <v>-8603368</v>
      </c>
      <c r="F43" s="80">
        <f>IF(C43=0,0,E43/C43)</f>
        <v>-0.37569190860705964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6656576</v>
      </c>
      <c r="D46" s="76">
        <v>7513809</v>
      </c>
      <c r="E46" s="76">
        <f>D46-C46</f>
        <v>857233</v>
      </c>
      <c r="F46" s="77">
        <f>IF(C46=0,0,E46/C46)</f>
        <v>0.12877987121306811</v>
      </c>
    </row>
    <row r="47" spans="1:6" ht="23.1" customHeight="1" x14ac:dyDescent="0.2">
      <c r="A47" s="85"/>
      <c r="B47" s="75" t="s">
        <v>101</v>
      </c>
      <c r="C47" s="76">
        <v>0</v>
      </c>
      <c r="D47" s="76">
        <v>0</v>
      </c>
      <c r="E47" s="76">
        <f>D47-C47</f>
        <v>0</v>
      </c>
      <c r="F47" s="77">
        <f>IF(C47=0,0,E47/C47)</f>
        <v>0</v>
      </c>
    </row>
    <row r="48" spans="1:6" ht="23.1" customHeight="1" x14ac:dyDescent="0.25">
      <c r="A48" s="83"/>
      <c r="B48" s="78" t="s">
        <v>102</v>
      </c>
      <c r="C48" s="79">
        <f>SUM(C46:C47)</f>
        <v>6656576</v>
      </c>
      <c r="D48" s="79">
        <f>SUM(D46:D47)</f>
        <v>7513809</v>
      </c>
      <c r="E48" s="79">
        <f>D48-C48</f>
        <v>857233</v>
      </c>
      <c r="F48" s="80">
        <f>IF(C48=0,0,E48/C48)</f>
        <v>0.12877987121306811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29556638</v>
      </c>
      <c r="D50" s="79">
        <f>D43+D48</f>
        <v>21810503</v>
      </c>
      <c r="E50" s="79">
        <f>D50-C50</f>
        <v>-7746135</v>
      </c>
      <c r="F50" s="80">
        <f>IF(C50=0,0,E50/C50)</f>
        <v>-0.26207767608751714</v>
      </c>
    </row>
    <row r="51" spans="1:6" ht="23.1" customHeight="1" x14ac:dyDescent="0.2">
      <c r="A51" s="85"/>
      <c r="B51" s="75" t="s">
        <v>104</v>
      </c>
      <c r="C51" s="76">
        <v>4834597</v>
      </c>
      <c r="D51" s="76">
        <v>12900862</v>
      </c>
      <c r="E51" s="76">
        <f>D51-C51</f>
        <v>8066265</v>
      </c>
      <c r="F51" s="77">
        <f>IF(C51=0,0,E51/C51)</f>
        <v>1.668446201410376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FILING&amp;RNORWALK HOSPITAL</oddHeader>
    <oddFooter>&amp;LREPORT 100&amp;CPAGE &amp;P of &amp;N&amp;R&amp;D, &amp;T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9"/>
  <sheetViews>
    <sheetView zoomScale="75" workbookViewId="0">
      <selection sqref="A1:F1"/>
    </sheetView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79" t="s">
        <v>0</v>
      </c>
      <c r="B2" s="779"/>
      <c r="C2" s="779"/>
      <c r="D2" s="779"/>
      <c r="E2" s="779"/>
      <c r="F2" s="779"/>
    </row>
    <row r="3" spans="1:6" ht="15.75" customHeight="1" x14ac:dyDescent="0.25">
      <c r="A3" s="779" t="s">
        <v>1</v>
      </c>
      <c r="B3" s="779"/>
      <c r="C3" s="779"/>
      <c r="D3" s="779"/>
      <c r="E3" s="779"/>
      <c r="F3" s="779"/>
    </row>
    <row r="4" spans="1:6" ht="15.75" customHeight="1" x14ac:dyDescent="0.25">
      <c r="A4" s="779" t="s">
        <v>2</v>
      </c>
      <c r="B4" s="779"/>
      <c r="C4" s="779"/>
      <c r="D4" s="779"/>
      <c r="E4" s="779"/>
      <c r="F4" s="779"/>
    </row>
    <row r="5" spans="1:6" ht="15.75" customHeight="1" x14ac:dyDescent="0.25">
      <c r="A5" s="779" t="s">
        <v>105</v>
      </c>
      <c r="B5" s="779"/>
      <c r="C5" s="779"/>
      <c r="D5" s="779"/>
      <c r="E5" s="779"/>
      <c r="F5" s="77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80"/>
      <c r="D9" s="781"/>
      <c r="E9" s="781"/>
      <c r="F9" s="782"/>
    </row>
    <row r="10" spans="1:6" x14ac:dyDescent="0.2">
      <c r="A10" s="769" t="s">
        <v>12</v>
      </c>
      <c r="B10" s="771" t="s">
        <v>111</v>
      </c>
      <c r="C10" s="773"/>
      <c r="D10" s="774"/>
      <c r="E10" s="774"/>
      <c r="F10" s="775"/>
    </row>
    <row r="11" spans="1:6" x14ac:dyDescent="0.2">
      <c r="A11" s="770"/>
      <c r="B11" s="772"/>
      <c r="C11" s="776"/>
      <c r="D11" s="777"/>
      <c r="E11" s="777"/>
      <c r="F11" s="778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222980504</v>
      </c>
      <c r="D14" s="113">
        <v>212800842</v>
      </c>
      <c r="E14" s="113">
        <f t="shared" ref="E14:E25" si="0">D14-C14</f>
        <v>-10179662</v>
      </c>
      <c r="F14" s="114">
        <f t="shared" ref="F14:F25" si="1">IF(C14=0,0,E14/C14)</f>
        <v>-4.5652699753517462E-2</v>
      </c>
    </row>
    <row r="15" spans="1:6" x14ac:dyDescent="0.2">
      <c r="A15" s="115">
        <v>2</v>
      </c>
      <c r="B15" s="116" t="s">
        <v>114</v>
      </c>
      <c r="C15" s="113">
        <v>26976401</v>
      </c>
      <c r="D15" s="113">
        <v>30346099</v>
      </c>
      <c r="E15" s="113">
        <f t="shared" si="0"/>
        <v>3369698</v>
      </c>
      <c r="F15" s="114">
        <f t="shared" si="1"/>
        <v>0.12491280805026586</v>
      </c>
    </row>
    <row r="16" spans="1:6" x14ac:dyDescent="0.2">
      <c r="A16" s="115">
        <v>3</v>
      </c>
      <c r="B16" s="116" t="s">
        <v>115</v>
      </c>
      <c r="C16" s="113">
        <v>70589407</v>
      </c>
      <c r="D16" s="113">
        <v>74431040</v>
      </c>
      <c r="E16" s="113">
        <f t="shared" si="0"/>
        <v>3841633</v>
      </c>
      <c r="F16" s="114">
        <f t="shared" si="1"/>
        <v>5.4422230802987193E-2</v>
      </c>
    </row>
    <row r="17" spans="1:6" x14ac:dyDescent="0.2">
      <c r="A17" s="115">
        <v>4</v>
      </c>
      <c r="B17" s="116" t="s">
        <v>116</v>
      </c>
      <c r="C17" s="113">
        <v>5229953</v>
      </c>
      <c r="D17" s="113">
        <v>0</v>
      </c>
      <c r="E17" s="113">
        <f t="shared" si="0"/>
        <v>-5229953</v>
      </c>
      <c r="F17" s="114">
        <f t="shared" si="1"/>
        <v>-1</v>
      </c>
    </row>
    <row r="18" spans="1:6" x14ac:dyDescent="0.2">
      <c r="A18" s="115">
        <v>5</v>
      </c>
      <c r="B18" s="116" t="s">
        <v>117</v>
      </c>
      <c r="C18" s="113">
        <v>518914</v>
      </c>
      <c r="D18" s="113">
        <v>477701</v>
      </c>
      <c r="E18" s="113">
        <f t="shared" si="0"/>
        <v>-41213</v>
      </c>
      <c r="F18" s="114">
        <f t="shared" si="1"/>
        <v>-7.942163826761274E-2</v>
      </c>
    </row>
    <row r="19" spans="1:6" x14ac:dyDescent="0.2">
      <c r="A19" s="115">
        <v>6</v>
      </c>
      <c r="B19" s="116" t="s">
        <v>118</v>
      </c>
      <c r="C19" s="113">
        <v>11655546</v>
      </c>
      <c r="D19" s="113">
        <v>12270152</v>
      </c>
      <c r="E19" s="113">
        <f t="shared" si="0"/>
        <v>614606</v>
      </c>
      <c r="F19" s="114">
        <f t="shared" si="1"/>
        <v>5.2730777262600996E-2</v>
      </c>
    </row>
    <row r="20" spans="1:6" x14ac:dyDescent="0.2">
      <c r="A20" s="115">
        <v>7</v>
      </c>
      <c r="B20" s="116" t="s">
        <v>119</v>
      </c>
      <c r="C20" s="113">
        <v>126465042</v>
      </c>
      <c r="D20" s="113">
        <v>113124738</v>
      </c>
      <c r="E20" s="113">
        <f t="shared" si="0"/>
        <v>-13340304</v>
      </c>
      <c r="F20" s="114">
        <f t="shared" si="1"/>
        <v>-0.10548609947087195</v>
      </c>
    </row>
    <row r="21" spans="1:6" x14ac:dyDescent="0.2">
      <c r="A21" s="115">
        <v>8</v>
      </c>
      <c r="B21" s="116" t="s">
        <v>120</v>
      </c>
      <c r="C21" s="113">
        <v>1936929</v>
      </c>
      <c r="D21" s="113">
        <v>1845195</v>
      </c>
      <c r="E21" s="113">
        <f t="shared" si="0"/>
        <v>-91734</v>
      </c>
      <c r="F21" s="114">
        <f t="shared" si="1"/>
        <v>-4.7360538254112565E-2</v>
      </c>
    </row>
    <row r="22" spans="1:6" x14ac:dyDescent="0.2">
      <c r="A22" s="115">
        <v>9</v>
      </c>
      <c r="B22" s="116" t="s">
        <v>121</v>
      </c>
      <c r="C22" s="113">
        <v>6389236</v>
      </c>
      <c r="D22" s="113">
        <v>5189210</v>
      </c>
      <c r="E22" s="113">
        <f t="shared" si="0"/>
        <v>-1200026</v>
      </c>
      <c r="F22" s="114">
        <f t="shared" si="1"/>
        <v>-0.18781995218207623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1219617</v>
      </c>
      <c r="D24" s="113">
        <v>578536</v>
      </c>
      <c r="E24" s="113">
        <f t="shared" si="0"/>
        <v>-641081</v>
      </c>
      <c r="F24" s="114">
        <f t="shared" si="1"/>
        <v>-0.52564124639128518</v>
      </c>
    </row>
    <row r="25" spans="1:6" ht="15.75" x14ac:dyDescent="0.25">
      <c r="A25" s="117"/>
      <c r="B25" s="118" t="s">
        <v>124</v>
      </c>
      <c r="C25" s="119">
        <f>SUM(C14:C24)</f>
        <v>473961549</v>
      </c>
      <c r="D25" s="119">
        <f>SUM(D14:D24)</f>
        <v>451063513</v>
      </c>
      <c r="E25" s="119">
        <f t="shared" si="0"/>
        <v>-22898036</v>
      </c>
      <c r="F25" s="120">
        <f t="shared" si="1"/>
        <v>-4.8312011909641218E-2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109039819</v>
      </c>
      <c r="D27" s="113">
        <v>121877481</v>
      </c>
      <c r="E27" s="113">
        <f t="shared" ref="E27:E38" si="2">D27-C27</f>
        <v>12837662</v>
      </c>
      <c r="F27" s="114">
        <f t="shared" ref="F27:F38" si="3">IF(C27=0,0,E27/C27)</f>
        <v>0.11773370606933968</v>
      </c>
    </row>
    <row r="28" spans="1:6" x14ac:dyDescent="0.2">
      <c r="A28" s="115">
        <v>2</v>
      </c>
      <c r="B28" s="116" t="s">
        <v>114</v>
      </c>
      <c r="C28" s="113">
        <v>14793586</v>
      </c>
      <c r="D28" s="113">
        <v>17664073</v>
      </c>
      <c r="E28" s="113">
        <f t="shared" si="2"/>
        <v>2870487</v>
      </c>
      <c r="F28" s="114">
        <f t="shared" si="3"/>
        <v>0.19403591529464187</v>
      </c>
    </row>
    <row r="29" spans="1:6" x14ac:dyDescent="0.2">
      <c r="A29" s="115">
        <v>3</v>
      </c>
      <c r="B29" s="116" t="s">
        <v>115</v>
      </c>
      <c r="C29" s="113">
        <v>50968702</v>
      </c>
      <c r="D29" s="113">
        <v>69452300</v>
      </c>
      <c r="E29" s="113">
        <f t="shared" si="2"/>
        <v>18483598</v>
      </c>
      <c r="F29" s="114">
        <f t="shared" si="3"/>
        <v>0.36264604109400311</v>
      </c>
    </row>
    <row r="30" spans="1:6" x14ac:dyDescent="0.2">
      <c r="A30" s="115">
        <v>4</v>
      </c>
      <c r="B30" s="116" t="s">
        <v>116</v>
      </c>
      <c r="C30" s="113">
        <v>6539229</v>
      </c>
      <c r="D30" s="113">
        <v>0</v>
      </c>
      <c r="E30" s="113">
        <f t="shared" si="2"/>
        <v>-6539229</v>
      </c>
      <c r="F30" s="114">
        <f t="shared" si="3"/>
        <v>-1</v>
      </c>
    </row>
    <row r="31" spans="1:6" x14ac:dyDescent="0.2">
      <c r="A31" s="115">
        <v>5</v>
      </c>
      <c r="B31" s="116" t="s">
        <v>117</v>
      </c>
      <c r="C31" s="113">
        <v>394920</v>
      </c>
      <c r="D31" s="113">
        <v>325124</v>
      </c>
      <c r="E31" s="113">
        <f t="shared" si="2"/>
        <v>-69796</v>
      </c>
      <c r="F31" s="114">
        <f t="shared" si="3"/>
        <v>-0.17673452851210372</v>
      </c>
    </row>
    <row r="32" spans="1:6" x14ac:dyDescent="0.2">
      <c r="A32" s="115">
        <v>6</v>
      </c>
      <c r="B32" s="116" t="s">
        <v>118</v>
      </c>
      <c r="C32" s="113">
        <v>17679546</v>
      </c>
      <c r="D32" s="113">
        <v>18279219</v>
      </c>
      <c r="E32" s="113">
        <f t="shared" si="2"/>
        <v>599673</v>
      </c>
      <c r="F32" s="114">
        <f t="shared" si="3"/>
        <v>3.3919027106239043E-2</v>
      </c>
    </row>
    <row r="33" spans="1:6" x14ac:dyDescent="0.2">
      <c r="A33" s="115">
        <v>7</v>
      </c>
      <c r="B33" s="116" t="s">
        <v>119</v>
      </c>
      <c r="C33" s="113">
        <v>200735856</v>
      </c>
      <c r="D33" s="113">
        <v>198166912</v>
      </c>
      <c r="E33" s="113">
        <f t="shared" si="2"/>
        <v>-2568944</v>
      </c>
      <c r="F33" s="114">
        <f t="shared" si="3"/>
        <v>-1.2797633921465431E-2</v>
      </c>
    </row>
    <row r="34" spans="1:6" x14ac:dyDescent="0.2">
      <c r="A34" s="115">
        <v>8</v>
      </c>
      <c r="B34" s="116" t="s">
        <v>120</v>
      </c>
      <c r="C34" s="113">
        <v>5517307</v>
      </c>
      <c r="D34" s="113">
        <v>5951894</v>
      </c>
      <c r="E34" s="113">
        <f t="shared" si="2"/>
        <v>434587</v>
      </c>
      <c r="F34" s="114">
        <f t="shared" si="3"/>
        <v>7.8767956903612574E-2</v>
      </c>
    </row>
    <row r="35" spans="1:6" x14ac:dyDescent="0.2">
      <c r="A35" s="115">
        <v>9</v>
      </c>
      <c r="B35" s="116" t="s">
        <v>121</v>
      </c>
      <c r="C35" s="113">
        <v>28798363</v>
      </c>
      <c r="D35" s="113">
        <v>29957432</v>
      </c>
      <c r="E35" s="113">
        <f t="shared" si="2"/>
        <v>1159069</v>
      </c>
      <c r="F35" s="114">
        <f t="shared" si="3"/>
        <v>4.0247739081558209E-2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529485</v>
      </c>
      <c r="D37" s="113">
        <v>656835</v>
      </c>
      <c r="E37" s="113">
        <f t="shared" si="2"/>
        <v>127350</v>
      </c>
      <c r="F37" s="114">
        <f t="shared" si="3"/>
        <v>0.24051672851922151</v>
      </c>
    </row>
    <row r="38" spans="1:6" ht="15.75" x14ac:dyDescent="0.25">
      <c r="A38" s="117"/>
      <c r="B38" s="118" t="s">
        <v>126</v>
      </c>
      <c r="C38" s="119">
        <f>SUM(C27:C37)</f>
        <v>434996813</v>
      </c>
      <c r="D38" s="119">
        <f>SUM(D27:D37)</f>
        <v>462331270</v>
      </c>
      <c r="E38" s="119">
        <f t="shared" si="2"/>
        <v>27334457</v>
      </c>
      <c r="F38" s="120">
        <f t="shared" si="3"/>
        <v>6.2838292564685982E-2</v>
      </c>
    </row>
    <row r="39" spans="1:6" ht="15" customHeight="1" x14ac:dyDescent="0.2">
      <c r="A39" s="769" t="s">
        <v>127</v>
      </c>
      <c r="B39" s="771" t="s">
        <v>128</v>
      </c>
      <c r="C39" s="773"/>
      <c r="D39" s="774"/>
      <c r="E39" s="774"/>
      <c r="F39" s="775"/>
    </row>
    <row r="40" spans="1:6" ht="15" customHeight="1" x14ac:dyDescent="0.2">
      <c r="A40" s="770"/>
      <c r="B40" s="772"/>
      <c r="C40" s="776"/>
      <c r="D40" s="777"/>
      <c r="E40" s="777"/>
      <c r="F40" s="778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332020323</v>
      </c>
      <c r="D41" s="119">
        <f t="shared" si="4"/>
        <v>334678323</v>
      </c>
      <c r="E41" s="123">
        <f t="shared" ref="E41:E52" si="5">D41-C41</f>
        <v>2658000</v>
      </c>
      <c r="F41" s="124">
        <f t="shared" ref="F41:F52" si="6">IF(C41=0,0,E41/C41)</f>
        <v>8.0055340467818283E-3</v>
      </c>
    </row>
    <row r="42" spans="1:6" ht="15.75" x14ac:dyDescent="0.25">
      <c r="A42" s="121">
        <v>2</v>
      </c>
      <c r="B42" s="122" t="s">
        <v>114</v>
      </c>
      <c r="C42" s="119">
        <f t="shared" si="4"/>
        <v>41769987</v>
      </c>
      <c r="D42" s="119">
        <f t="shared" si="4"/>
        <v>48010172</v>
      </c>
      <c r="E42" s="123">
        <f t="shared" si="5"/>
        <v>6240185</v>
      </c>
      <c r="F42" s="124">
        <f t="shared" si="6"/>
        <v>0.14939398951692276</v>
      </c>
    </row>
    <row r="43" spans="1:6" ht="15.75" x14ac:dyDescent="0.25">
      <c r="A43" s="121">
        <v>3</v>
      </c>
      <c r="B43" s="122" t="s">
        <v>115</v>
      </c>
      <c r="C43" s="119">
        <f t="shared" si="4"/>
        <v>121558109</v>
      </c>
      <c r="D43" s="119">
        <f t="shared" si="4"/>
        <v>143883340</v>
      </c>
      <c r="E43" s="123">
        <f t="shared" si="5"/>
        <v>22325231</v>
      </c>
      <c r="F43" s="124">
        <f t="shared" si="6"/>
        <v>0.18365891986687619</v>
      </c>
    </row>
    <row r="44" spans="1:6" ht="15.75" x14ac:dyDescent="0.25">
      <c r="A44" s="121">
        <v>4</v>
      </c>
      <c r="B44" s="122" t="s">
        <v>116</v>
      </c>
      <c r="C44" s="119">
        <f t="shared" si="4"/>
        <v>11769182</v>
      </c>
      <c r="D44" s="119">
        <f t="shared" si="4"/>
        <v>0</v>
      </c>
      <c r="E44" s="123">
        <f t="shared" si="5"/>
        <v>-11769182</v>
      </c>
      <c r="F44" s="124">
        <f t="shared" si="6"/>
        <v>-1</v>
      </c>
    </row>
    <row r="45" spans="1:6" ht="15.75" x14ac:dyDescent="0.25">
      <c r="A45" s="121">
        <v>5</v>
      </c>
      <c r="B45" s="122" t="s">
        <v>117</v>
      </c>
      <c r="C45" s="119">
        <f t="shared" si="4"/>
        <v>913834</v>
      </c>
      <c r="D45" s="119">
        <f t="shared" si="4"/>
        <v>802825</v>
      </c>
      <c r="E45" s="123">
        <f t="shared" si="5"/>
        <v>-111009</v>
      </c>
      <c r="F45" s="124">
        <f t="shared" si="6"/>
        <v>-0.1214761105408641</v>
      </c>
    </row>
    <row r="46" spans="1:6" ht="15.75" x14ac:dyDescent="0.25">
      <c r="A46" s="121">
        <v>6</v>
      </c>
      <c r="B46" s="122" t="s">
        <v>118</v>
      </c>
      <c r="C46" s="119">
        <f t="shared" si="4"/>
        <v>29335092</v>
      </c>
      <c r="D46" s="119">
        <f t="shared" si="4"/>
        <v>30549371</v>
      </c>
      <c r="E46" s="123">
        <f t="shared" si="5"/>
        <v>1214279</v>
      </c>
      <c r="F46" s="124">
        <f t="shared" si="6"/>
        <v>4.13933932779212E-2</v>
      </c>
    </row>
    <row r="47" spans="1:6" ht="15.75" x14ac:dyDescent="0.25">
      <c r="A47" s="121">
        <v>7</v>
      </c>
      <c r="B47" s="122" t="s">
        <v>119</v>
      </c>
      <c r="C47" s="119">
        <f t="shared" si="4"/>
        <v>327200898</v>
      </c>
      <c r="D47" s="119">
        <f t="shared" si="4"/>
        <v>311291650</v>
      </c>
      <c r="E47" s="123">
        <f t="shared" si="5"/>
        <v>-15909248</v>
      </c>
      <c r="F47" s="124">
        <f t="shared" si="6"/>
        <v>-4.8622262644279171E-2</v>
      </c>
    </row>
    <row r="48" spans="1:6" ht="15.75" x14ac:dyDescent="0.25">
      <c r="A48" s="121">
        <v>8</v>
      </c>
      <c r="B48" s="122" t="s">
        <v>120</v>
      </c>
      <c r="C48" s="119">
        <f t="shared" si="4"/>
        <v>7454236</v>
      </c>
      <c r="D48" s="119">
        <f t="shared" si="4"/>
        <v>7797089</v>
      </c>
      <c r="E48" s="123">
        <f t="shared" si="5"/>
        <v>342853</v>
      </c>
      <c r="F48" s="124">
        <f t="shared" si="6"/>
        <v>4.599438493763814E-2</v>
      </c>
    </row>
    <row r="49" spans="1:6" ht="15.75" x14ac:dyDescent="0.25">
      <c r="A49" s="121">
        <v>9</v>
      </c>
      <c r="B49" s="122" t="s">
        <v>121</v>
      </c>
      <c r="C49" s="119">
        <f t="shared" si="4"/>
        <v>35187599</v>
      </c>
      <c r="D49" s="119">
        <f t="shared" si="4"/>
        <v>35146642</v>
      </c>
      <c r="E49" s="123">
        <f t="shared" si="5"/>
        <v>-40957</v>
      </c>
      <c r="F49" s="124">
        <f t="shared" si="6"/>
        <v>-1.1639612012175084E-3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1749102</v>
      </c>
      <c r="D51" s="119">
        <f t="shared" si="4"/>
        <v>1235371</v>
      </c>
      <c r="E51" s="123">
        <f t="shared" si="5"/>
        <v>-513731</v>
      </c>
      <c r="F51" s="124">
        <f t="shared" si="6"/>
        <v>-0.29371128727770024</v>
      </c>
    </row>
    <row r="52" spans="1:6" ht="18.75" customHeight="1" thickBot="1" x14ac:dyDescent="0.3">
      <c r="A52" s="125"/>
      <c r="B52" s="126" t="s">
        <v>128</v>
      </c>
      <c r="C52" s="127">
        <f>SUM(C41:C51)</f>
        <v>908958362</v>
      </c>
      <c r="D52" s="128">
        <f>SUM(D41:D51)</f>
        <v>913394783</v>
      </c>
      <c r="E52" s="127">
        <f t="shared" si="5"/>
        <v>4436421</v>
      </c>
      <c r="F52" s="129">
        <f t="shared" si="6"/>
        <v>4.8807747257404071E-3</v>
      </c>
    </row>
    <row r="53" spans="1:6" x14ac:dyDescent="0.2">
      <c r="A53" s="769" t="s">
        <v>44</v>
      </c>
      <c r="B53" s="771" t="s">
        <v>129</v>
      </c>
      <c r="C53" s="773"/>
      <c r="D53" s="774"/>
      <c r="E53" s="774"/>
      <c r="F53" s="775"/>
    </row>
    <row r="54" spans="1:6" ht="15" customHeight="1" x14ac:dyDescent="0.2">
      <c r="A54" s="770"/>
      <c r="B54" s="772"/>
      <c r="C54" s="776"/>
      <c r="D54" s="777"/>
      <c r="E54" s="777"/>
      <c r="F54" s="778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68553363</v>
      </c>
      <c r="D57" s="113">
        <v>64164032</v>
      </c>
      <c r="E57" s="113">
        <f t="shared" ref="E57:E68" si="7">D57-C57</f>
        <v>-4389331</v>
      </c>
      <c r="F57" s="114">
        <f t="shared" ref="F57:F68" si="8">IF(C57=0,0,E57/C57)</f>
        <v>-6.402794564578837E-2</v>
      </c>
    </row>
    <row r="58" spans="1:6" x14ac:dyDescent="0.2">
      <c r="A58" s="115">
        <v>2</v>
      </c>
      <c r="B58" s="116" t="s">
        <v>114</v>
      </c>
      <c r="C58" s="113">
        <v>7379091</v>
      </c>
      <c r="D58" s="113">
        <v>8009830</v>
      </c>
      <c r="E58" s="113">
        <f t="shared" si="7"/>
        <v>630739</v>
      </c>
      <c r="F58" s="114">
        <f t="shared" si="8"/>
        <v>8.5476517365079246E-2</v>
      </c>
    </row>
    <row r="59" spans="1:6" x14ac:dyDescent="0.2">
      <c r="A59" s="115">
        <v>3</v>
      </c>
      <c r="B59" s="116" t="s">
        <v>115</v>
      </c>
      <c r="C59" s="113">
        <v>19245055</v>
      </c>
      <c r="D59" s="113">
        <v>15518342</v>
      </c>
      <c r="E59" s="113">
        <f t="shared" si="7"/>
        <v>-3726713</v>
      </c>
      <c r="F59" s="114">
        <f t="shared" si="8"/>
        <v>-0.19364522470837314</v>
      </c>
    </row>
    <row r="60" spans="1:6" x14ac:dyDescent="0.2">
      <c r="A60" s="115">
        <v>4</v>
      </c>
      <c r="B60" s="116" t="s">
        <v>116</v>
      </c>
      <c r="C60" s="113">
        <v>1092487</v>
      </c>
      <c r="D60" s="113">
        <v>0</v>
      </c>
      <c r="E60" s="113">
        <f t="shared" si="7"/>
        <v>-1092487</v>
      </c>
      <c r="F60" s="114">
        <f t="shared" si="8"/>
        <v>-1</v>
      </c>
    </row>
    <row r="61" spans="1:6" x14ac:dyDescent="0.2">
      <c r="A61" s="115">
        <v>5</v>
      </c>
      <c r="B61" s="116" t="s">
        <v>117</v>
      </c>
      <c r="C61" s="113">
        <v>104982</v>
      </c>
      <c r="D61" s="113">
        <v>166560</v>
      </c>
      <c r="E61" s="113">
        <f t="shared" si="7"/>
        <v>61578</v>
      </c>
      <c r="F61" s="114">
        <f t="shared" si="8"/>
        <v>0.58655769560496085</v>
      </c>
    </row>
    <row r="62" spans="1:6" x14ac:dyDescent="0.2">
      <c r="A62" s="115">
        <v>6</v>
      </c>
      <c r="B62" s="116" t="s">
        <v>118</v>
      </c>
      <c r="C62" s="113">
        <v>6494222</v>
      </c>
      <c r="D62" s="113">
        <v>6359352</v>
      </c>
      <c r="E62" s="113">
        <f t="shared" si="7"/>
        <v>-134870</v>
      </c>
      <c r="F62" s="114">
        <f t="shared" si="8"/>
        <v>-2.0767691649592513E-2</v>
      </c>
    </row>
    <row r="63" spans="1:6" x14ac:dyDescent="0.2">
      <c r="A63" s="115">
        <v>7</v>
      </c>
      <c r="B63" s="116" t="s">
        <v>119</v>
      </c>
      <c r="C63" s="113">
        <v>67388928</v>
      </c>
      <c r="D63" s="113">
        <v>67498670</v>
      </c>
      <c r="E63" s="113">
        <f t="shared" si="7"/>
        <v>109742</v>
      </c>
      <c r="F63" s="114">
        <f t="shared" si="8"/>
        <v>1.6284871010264475E-3</v>
      </c>
    </row>
    <row r="64" spans="1:6" x14ac:dyDescent="0.2">
      <c r="A64" s="115">
        <v>8</v>
      </c>
      <c r="B64" s="116" t="s">
        <v>120</v>
      </c>
      <c r="C64" s="113">
        <v>1327897</v>
      </c>
      <c r="D64" s="113">
        <v>1167537</v>
      </c>
      <c r="E64" s="113">
        <f t="shared" si="7"/>
        <v>-160360</v>
      </c>
      <c r="F64" s="114">
        <f t="shared" si="8"/>
        <v>-0.12076237840736141</v>
      </c>
    </row>
    <row r="65" spans="1:6" x14ac:dyDescent="0.2">
      <c r="A65" s="115">
        <v>9</v>
      </c>
      <c r="B65" s="116" t="s">
        <v>121</v>
      </c>
      <c r="C65" s="113">
        <v>167271</v>
      </c>
      <c r="D65" s="113">
        <v>458039</v>
      </c>
      <c r="E65" s="113">
        <f t="shared" si="7"/>
        <v>290768</v>
      </c>
      <c r="F65" s="114">
        <f t="shared" si="8"/>
        <v>1.7383049064093596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481053</v>
      </c>
      <c r="D67" s="113">
        <v>94864</v>
      </c>
      <c r="E67" s="113">
        <f t="shared" si="7"/>
        <v>-386189</v>
      </c>
      <c r="F67" s="114">
        <f t="shared" si="8"/>
        <v>-0.80279927575547805</v>
      </c>
    </row>
    <row r="68" spans="1:6" ht="15.75" x14ac:dyDescent="0.25">
      <c r="A68" s="117"/>
      <c r="B68" s="118" t="s">
        <v>131</v>
      </c>
      <c r="C68" s="119">
        <f>SUM(C57:C67)</f>
        <v>172234349</v>
      </c>
      <c r="D68" s="119">
        <f>SUM(D57:D67)</f>
        <v>163437226</v>
      </c>
      <c r="E68" s="119">
        <f t="shared" si="7"/>
        <v>-8797123</v>
      </c>
      <c r="F68" s="120">
        <f t="shared" si="8"/>
        <v>-5.1076472556586261E-2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18275049</v>
      </c>
      <c r="D70" s="113">
        <v>24707861</v>
      </c>
      <c r="E70" s="113">
        <f t="shared" ref="E70:E81" si="9">D70-C70</f>
        <v>6432812</v>
      </c>
      <c r="F70" s="114">
        <f t="shared" ref="F70:F81" si="10">IF(C70=0,0,E70/C70)</f>
        <v>0.35199971283250731</v>
      </c>
    </row>
    <row r="71" spans="1:6" x14ac:dyDescent="0.2">
      <c r="A71" s="115">
        <v>2</v>
      </c>
      <c r="B71" s="116" t="s">
        <v>114</v>
      </c>
      <c r="C71" s="113">
        <v>3467265</v>
      </c>
      <c r="D71" s="113">
        <v>3627517</v>
      </c>
      <c r="E71" s="113">
        <f t="shared" si="9"/>
        <v>160252</v>
      </c>
      <c r="F71" s="114">
        <f t="shared" si="10"/>
        <v>4.6218561315619085E-2</v>
      </c>
    </row>
    <row r="72" spans="1:6" x14ac:dyDescent="0.2">
      <c r="A72" s="115">
        <v>3</v>
      </c>
      <c r="B72" s="116" t="s">
        <v>115</v>
      </c>
      <c r="C72" s="113">
        <v>13976031</v>
      </c>
      <c r="D72" s="113">
        <v>17506571</v>
      </c>
      <c r="E72" s="113">
        <f t="shared" si="9"/>
        <v>3530540</v>
      </c>
      <c r="F72" s="114">
        <f t="shared" si="10"/>
        <v>0.25261392164914342</v>
      </c>
    </row>
    <row r="73" spans="1:6" x14ac:dyDescent="0.2">
      <c r="A73" s="115">
        <v>4</v>
      </c>
      <c r="B73" s="116" t="s">
        <v>116</v>
      </c>
      <c r="C73" s="113">
        <v>1267215</v>
      </c>
      <c r="D73" s="113">
        <v>0</v>
      </c>
      <c r="E73" s="113">
        <f t="shared" si="9"/>
        <v>-1267215</v>
      </c>
      <c r="F73" s="114">
        <f t="shared" si="10"/>
        <v>-1</v>
      </c>
    </row>
    <row r="74" spans="1:6" x14ac:dyDescent="0.2">
      <c r="A74" s="115">
        <v>5</v>
      </c>
      <c r="B74" s="116" t="s">
        <v>117</v>
      </c>
      <c r="C74" s="113">
        <v>59947</v>
      </c>
      <c r="D74" s="113">
        <v>56187</v>
      </c>
      <c r="E74" s="113">
        <f t="shared" si="9"/>
        <v>-3760</v>
      </c>
      <c r="F74" s="114">
        <f t="shared" si="10"/>
        <v>-6.2722071162860521E-2</v>
      </c>
    </row>
    <row r="75" spans="1:6" x14ac:dyDescent="0.2">
      <c r="A75" s="115">
        <v>6</v>
      </c>
      <c r="B75" s="116" t="s">
        <v>118</v>
      </c>
      <c r="C75" s="113">
        <v>8815788</v>
      </c>
      <c r="D75" s="113">
        <v>8879833</v>
      </c>
      <c r="E75" s="113">
        <f t="shared" si="9"/>
        <v>64045</v>
      </c>
      <c r="F75" s="114">
        <f t="shared" si="10"/>
        <v>7.2648071845647835E-3</v>
      </c>
    </row>
    <row r="76" spans="1:6" x14ac:dyDescent="0.2">
      <c r="A76" s="115">
        <v>7</v>
      </c>
      <c r="B76" s="116" t="s">
        <v>119</v>
      </c>
      <c r="C76" s="113">
        <v>112965638</v>
      </c>
      <c r="D76" s="113">
        <v>112392075</v>
      </c>
      <c r="E76" s="113">
        <f t="shared" si="9"/>
        <v>-573563</v>
      </c>
      <c r="F76" s="114">
        <f t="shared" si="10"/>
        <v>-5.0773227164883535E-3</v>
      </c>
    </row>
    <row r="77" spans="1:6" x14ac:dyDescent="0.2">
      <c r="A77" s="115">
        <v>8</v>
      </c>
      <c r="B77" s="116" t="s">
        <v>120</v>
      </c>
      <c r="C77" s="113">
        <v>2170034</v>
      </c>
      <c r="D77" s="113">
        <v>2831929</v>
      </c>
      <c r="E77" s="113">
        <f t="shared" si="9"/>
        <v>661895</v>
      </c>
      <c r="F77" s="114">
        <f t="shared" si="10"/>
        <v>0.30501595827530814</v>
      </c>
    </row>
    <row r="78" spans="1:6" x14ac:dyDescent="0.2">
      <c r="A78" s="115">
        <v>9</v>
      </c>
      <c r="B78" s="116" t="s">
        <v>121</v>
      </c>
      <c r="C78" s="113">
        <v>2120010</v>
      </c>
      <c r="D78" s="113">
        <v>2395471</v>
      </c>
      <c r="E78" s="113">
        <f t="shared" si="9"/>
        <v>275461</v>
      </c>
      <c r="F78" s="114">
        <f t="shared" si="10"/>
        <v>0.12993382106688176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179741</v>
      </c>
      <c r="D80" s="113">
        <v>61369</v>
      </c>
      <c r="E80" s="113">
        <f t="shared" si="9"/>
        <v>-118372</v>
      </c>
      <c r="F80" s="114">
        <f t="shared" si="10"/>
        <v>-0.65856983103465538</v>
      </c>
    </row>
    <row r="81" spans="1:6" ht="15.75" x14ac:dyDescent="0.25">
      <c r="A81" s="117"/>
      <c r="B81" s="118" t="s">
        <v>133</v>
      </c>
      <c r="C81" s="119">
        <f>SUM(C70:C80)</f>
        <v>163296718</v>
      </c>
      <c r="D81" s="119">
        <f>SUM(D70:D80)</f>
        <v>172458813</v>
      </c>
      <c r="E81" s="119">
        <f t="shared" si="9"/>
        <v>9162095</v>
      </c>
      <c r="F81" s="120">
        <f t="shared" si="10"/>
        <v>5.6107037007320622E-2</v>
      </c>
    </row>
    <row r="82" spans="1:6" ht="15" customHeight="1" x14ac:dyDescent="0.2">
      <c r="A82" s="769" t="s">
        <v>127</v>
      </c>
      <c r="B82" s="771" t="s">
        <v>134</v>
      </c>
      <c r="C82" s="773"/>
      <c r="D82" s="774"/>
      <c r="E82" s="774"/>
      <c r="F82" s="775"/>
    </row>
    <row r="83" spans="1:6" ht="15" customHeight="1" x14ac:dyDescent="0.2">
      <c r="A83" s="770"/>
      <c r="B83" s="772"/>
      <c r="C83" s="776"/>
      <c r="D83" s="777"/>
      <c r="E83" s="777"/>
      <c r="F83" s="778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86828412</v>
      </c>
      <c r="D84" s="119">
        <f t="shared" si="11"/>
        <v>88871893</v>
      </c>
      <c r="E84" s="119">
        <f t="shared" ref="E84:E95" si="12">D84-C84</f>
        <v>2043481</v>
      </c>
      <c r="F84" s="120">
        <f t="shared" ref="F84:F95" si="13">IF(C84=0,0,E84/C84)</f>
        <v>2.3534704285505071E-2</v>
      </c>
    </row>
    <row r="85" spans="1:6" ht="15.75" x14ac:dyDescent="0.25">
      <c r="A85" s="130">
        <v>2</v>
      </c>
      <c r="B85" s="122" t="s">
        <v>114</v>
      </c>
      <c r="C85" s="119">
        <f t="shared" si="11"/>
        <v>10846356</v>
      </c>
      <c r="D85" s="119">
        <f t="shared" si="11"/>
        <v>11637347</v>
      </c>
      <c r="E85" s="119">
        <f t="shared" si="12"/>
        <v>790991</v>
      </c>
      <c r="F85" s="120">
        <f t="shared" si="13"/>
        <v>7.2926888993870384E-2</v>
      </c>
    </row>
    <row r="86" spans="1:6" ht="15.75" x14ac:dyDescent="0.25">
      <c r="A86" s="130">
        <v>3</v>
      </c>
      <c r="B86" s="122" t="s">
        <v>115</v>
      </c>
      <c r="C86" s="119">
        <f t="shared" si="11"/>
        <v>33221086</v>
      </c>
      <c r="D86" s="119">
        <f t="shared" si="11"/>
        <v>33024913</v>
      </c>
      <c r="E86" s="119">
        <f t="shared" si="12"/>
        <v>-196173</v>
      </c>
      <c r="F86" s="120">
        <f t="shared" si="13"/>
        <v>-5.9050748672093379E-3</v>
      </c>
    </row>
    <row r="87" spans="1:6" ht="15.75" x14ac:dyDescent="0.25">
      <c r="A87" s="130">
        <v>4</v>
      </c>
      <c r="B87" s="122" t="s">
        <v>116</v>
      </c>
      <c r="C87" s="119">
        <f t="shared" si="11"/>
        <v>2359702</v>
      </c>
      <c r="D87" s="119">
        <f t="shared" si="11"/>
        <v>0</v>
      </c>
      <c r="E87" s="119">
        <f t="shared" si="12"/>
        <v>-2359702</v>
      </c>
      <c r="F87" s="120">
        <f t="shared" si="13"/>
        <v>-1</v>
      </c>
    </row>
    <row r="88" spans="1:6" ht="15.75" x14ac:dyDescent="0.25">
      <c r="A88" s="130">
        <v>5</v>
      </c>
      <c r="B88" s="122" t="s">
        <v>117</v>
      </c>
      <c r="C88" s="119">
        <f t="shared" si="11"/>
        <v>164929</v>
      </c>
      <c r="D88" s="119">
        <f t="shared" si="11"/>
        <v>222747</v>
      </c>
      <c r="E88" s="119">
        <f t="shared" si="12"/>
        <v>57818</v>
      </c>
      <c r="F88" s="120">
        <f t="shared" si="13"/>
        <v>0.35056296952021782</v>
      </c>
    </row>
    <row r="89" spans="1:6" ht="15.75" x14ac:dyDescent="0.25">
      <c r="A89" s="130">
        <v>6</v>
      </c>
      <c r="B89" s="122" t="s">
        <v>118</v>
      </c>
      <c r="C89" s="119">
        <f t="shared" si="11"/>
        <v>15310010</v>
      </c>
      <c r="D89" s="119">
        <f t="shared" si="11"/>
        <v>15239185</v>
      </c>
      <c r="E89" s="119">
        <f t="shared" si="12"/>
        <v>-70825</v>
      </c>
      <c r="F89" s="120">
        <f t="shared" si="13"/>
        <v>-4.6260583761865599E-3</v>
      </c>
    </row>
    <row r="90" spans="1:6" ht="15.75" x14ac:dyDescent="0.25">
      <c r="A90" s="130">
        <v>7</v>
      </c>
      <c r="B90" s="122" t="s">
        <v>119</v>
      </c>
      <c r="C90" s="119">
        <f t="shared" si="11"/>
        <v>180354566</v>
      </c>
      <c r="D90" s="119">
        <f t="shared" si="11"/>
        <v>179890745</v>
      </c>
      <c r="E90" s="119">
        <f t="shared" si="12"/>
        <v>-463821</v>
      </c>
      <c r="F90" s="120">
        <f t="shared" si="13"/>
        <v>-2.5717175355571536E-3</v>
      </c>
    </row>
    <row r="91" spans="1:6" ht="15.75" x14ac:dyDescent="0.25">
      <c r="A91" s="130">
        <v>8</v>
      </c>
      <c r="B91" s="122" t="s">
        <v>120</v>
      </c>
      <c r="C91" s="119">
        <f t="shared" si="11"/>
        <v>3497931</v>
      </c>
      <c r="D91" s="119">
        <f t="shared" si="11"/>
        <v>3999466</v>
      </c>
      <c r="E91" s="119">
        <f t="shared" si="12"/>
        <v>501535</v>
      </c>
      <c r="F91" s="120">
        <f t="shared" si="13"/>
        <v>0.14338047262796208</v>
      </c>
    </row>
    <row r="92" spans="1:6" ht="15.75" x14ac:dyDescent="0.25">
      <c r="A92" s="130">
        <v>9</v>
      </c>
      <c r="B92" s="122" t="s">
        <v>121</v>
      </c>
      <c r="C92" s="119">
        <f t="shared" si="11"/>
        <v>2287281</v>
      </c>
      <c r="D92" s="119">
        <f t="shared" si="11"/>
        <v>2853510</v>
      </c>
      <c r="E92" s="119">
        <f t="shared" si="12"/>
        <v>566229</v>
      </c>
      <c r="F92" s="120">
        <f t="shared" si="13"/>
        <v>0.24755550367445014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660794</v>
      </c>
      <c r="D94" s="119">
        <f t="shared" si="11"/>
        <v>156233</v>
      </c>
      <c r="E94" s="119">
        <f t="shared" si="12"/>
        <v>-504561</v>
      </c>
      <c r="F94" s="120">
        <f t="shared" si="13"/>
        <v>-0.76356776847247398</v>
      </c>
    </row>
    <row r="95" spans="1:6" ht="18.75" customHeight="1" thickBot="1" x14ac:dyDescent="0.3">
      <c r="A95" s="131"/>
      <c r="B95" s="132" t="s">
        <v>134</v>
      </c>
      <c r="C95" s="128">
        <f>SUM(C84:C94)</f>
        <v>335531067</v>
      </c>
      <c r="D95" s="128">
        <f>SUM(D84:D94)</f>
        <v>335896039</v>
      </c>
      <c r="E95" s="128">
        <f t="shared" si="12"/>
        <v>364972</v>
      </c>
      <c r="F95" s="129">
        <f t="shared" si="13"/>
        <v>1.0877442833035786E-3</v>
      </c>
    </row>
    <row r="96" spans="1:6" x14ac:dyDescent="0.2">
      <c r="A96" s="769" t="s">
        <v>135</v>
      </c>
      <c r="B96" s="771" t="s">
        <v>136</v>
      </c>
      <c r="C96" s="773"/>
      <c r="D96" s="774"/>
      <c r="E96" s="774"/>
      <c r="F96" s="775"/>
    </row>
    <row r="97" spans="1:6" ht="15" customHeight="1" x14ac:dyDescent="0.2">
      <c r="A97" s="770"/>
      <c r="B97" s="772"/>
      <c r="C97" s="776"/>
      <c r="D97" s="777"/>
      <c r="E97" s="777"/>
      <c r="F97" s="778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5494</v>
      </c>
      <c r="D100" s="133">
        <v>4676</v>
      </c>
      <c r="E100" s="133">
        <f t="shared" ref="E100:E111" si="14">D100-C100</f>
        <v>-818</v>
      </c>
      <c r="F100" s="114">
        <f t="shared" ref="F100:F111" si="15">IF(C100=0,0,E100/C100)</f>
        <v>-0.14888969785220241</v>
      </c>
    </row>
    <row r="101" spans="1:6" x14ac:dyDescent="0.2">
      <c r="A101" s="115">
        <v>2</v>
      </c>
      <c r="B101" s="116" t="s">
        <v>114</v>
      </c>
      <c r="C101" s="133">
        <v>653</v>
      </c>
      <c r="D101" s="133">
        <v>643</v>
      </c>
      <c r="E101" s="133">
        <f t="shared" si="14"/>
        <v>-10</v>
      </c>
      <c r="F101" s="114">
        <f t="shared" si="15"/>
        <v>-1.5313935681470138E-2</v>
      </c>
    </row>
    <row r="102" spans="1:6" x14ac:dyDescent="0.2">
      <c r="A102" s="115">
        <v>3</v>
      </c>
      <c r="B102" s="116" t="s">
        <v>115</v>
      </c>
      <c r="C102" s="133">
        <v>2758</v>
      </c>
      <c r="D102" s="133">
        <v>2782</v>
      </c>
      <c r="E102" s="133">
        <f t="shared" si="14"/>
        <v>24</v>
      </c>
      <c r="F102" s="114">
        <f t="shared" si="15"/>
        <v>8.7019579405366206E-3</v>
      </c>
    </row>
    <row r="103" spans="1:6" x14ac:dyDescent="0.2">
      <c r="A103" s="115">
        <v>4</v>
      </c>
      <c r="B103" s="116" t="s">
        <v>116</v>
      </c>
      <c r="C103" s="133">
        <v>244</v>
      </c>
      <c r="D103" s="133">
        <v>0</v>
      </c>
      <c r="E103" s="133">
        <f t="shared" si="14"/>
        <v>-244</v>
      </c>
      <c r="F103" s="114">
        <f t="shared" si="15"/>
        <v>-1</v>
      </c>
    </row>
    <row r="104" spans="1:6" x14ac:dyDescent="0.2">
      <c r="A104" s="115">
        <v>5</v>
      </c>
      <c r="B104" s="116" t="s">
        <v>117</v>
      </c>
      <c r="C104" s="133">
        <v>15</v>
      </c>
      <c r="D104" s="133">
        <v>16</v>
      </c>
      <c r="E104" s="133">
        <f t="shared" si="14"/>
        <v>1</v>
      </c>
      <c r="F104" s="114">
        <f t="shared" si="15"/>
        <v>6.6666666666666666E-2</v>
      </c>
    </row>
    <row r="105" spans="1:6" x14ac:dyDescent="0.2">
      <c r="A105" s="115">
        <v>6</v>
      </c>
      <c r="B105" s="116" t="s">
        <v>118</v>
      </c>
      <c r="C105" s="133">
        <v>477</v>
      </c>
      <c r="D105" s="133">
        <v>490</v>
      </c>
      <c r="E105" s="133">
        <f t="shared" si="14"/>
        <v>13</v>
      </c>
      <c r="F105" s="114">
        <f t="shared" si="15"/>
        <v>2.7253668763102725E-2</v>
      </c>
    </row>
    <row r="106" spans="1:6" x14ac:dyDescent="0.2">
      <c r="A106" s="115">
        <v>7</v>
      </c>
      <c r="B106" s="116" t="s">
        <v>119</v>
      </c>
      <c r="C106" s="133">
        <v>5008</v>
      </c>
      <c r="D106" s="133">
        <v>4185</v>
      </c>
      <c r="E106" s="133">
        <f t="shared" si="14"/>
        <v>-823</v>
      </c>
      <c r="F106" s="114">
        <f t="shared" si="15"/>
        <v>-0.1643370607028754</v>
      </c>
    </row>
    <row r="107" spans="1:6" x14ac:dyDescent="0.2">
      <c r="A107" s="115">
        <v>8</v>
      </c>
      <c r="B107" s="116" t="s">
        <v>120</v>
      </c>
      <c r="C107" s="133">
        <v>47</v>
      </c>
      <c r="D107" s="133">
        <v>39</v>
      </c>
      <c r="E107" s="133">
        <f t="shared" si="14"/>
        <v>-8</v>
      </c>
      <c r="F107" s="114">
        <f t="shared" si="15"/>
        <v>-0.1702127659574468</v>
      </c>
    </row>
    <row r="108" spans="1:6" x14ac:dyDescent="0.2">
      <c r="A108" s="115">
        <v>9</v>
      </c>
      <c r="B108" s="116" t="s">
        <v>121</v>
      </c>
      <c r="C108" s="133">
        <v>267</v>
      </c>
      <c r="D108" s="133">
        <v>193</v>
      </c>
      <c r="E108" s="133">
        <f t="shared" si="14"/>
        <v>-74</v>
      </c>
      <c r="F108" s="114">
        <f t="shared" si="15"/>
        <v>-0.27715355805243447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40</v>
      </c>
      <c r="D110" s="133">
        <v>21</v>
      </c>
      <c r="E110" s="133">
        <f t="shared" si="14"/>
        <v>-19</v>
      </c>
      <c r="F110" s="114">
        <f t="shared" si="15"/>
        <v>-0.47499999999999998</v>
      </c>
    </row>
    <row r="111" spans="1:6" ht="15.75" x14ac:dyDescent="0.25">
      <c r="A111" s="117"/>
      <c r="B111" s="118" t="s">
        <v>138</v>
      </c>
      <c r="C111" s="134">
        <f>SUM(C100:C110)</f>
        <v>15003</v>
      </c>
      <c r="D111" s="134">
        <f>SUM(D100:D110)</f>
        <v>13045</v>
      </c>
      <c r="E111" s="134">
        <f t="shared" si="14"/>
        <v>-1958</v>
      </c>
      <c r="F111" s="120">
        <f t="shared" si="15"/>
        <v>-0.13050723188695595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31637</v>
      </c>
      <c r="D113" s="133">
        <v>27585</v>
      </c>
      <c r="E113" s="133">
        <f t="shared" ref="E113:E124" si="16">D113-C113</f>
        <v>-4052</v>
      </c>
      <c r="F113" s="114">
        <f t="shared" ref="F113:F124" si="17">IF(C113=0,0,E113/C113)</f>
        <v>-0.12807788349084931</v>
      </c>
    </row>
    <row r="114" spans="1:6" x14ac:dyDescent="0.2">
      <c r="A114" s="115">
        <v>2</v>
      </c>
      <c r="B114" s="116" t="s">
        <v>114</v>
      </c>
      <c r="C114" s="133">
        <v>3619</v>
      </c>
      <c r="D114" s="133">
        <v>3792</v>
      </c>
      <c r="E114" s="133">
        <f t="shared" si="16"/>
        <v>173</v>
      </c>
      <c r="F114" s="114">
        <f t="shared" si="17"/>
        <v>4.7803260569218013E-2</v>
      </c>
    </row>
    <row r="115" spans="1:6" x14ac:dyDescent="0.2">
      <c r="A115" s="115">
        <v>3</v>
      </c>
      <c r="B115" s="116" t="s">
        <v>115</v>
      </c>
      <c r="C115" s="133">
        <v>10815</v>
      </c>
      <c r="D115" s="133">
        <v>10948</v>
      </c>
      <c r="E115" s="133">
        <f t="shared" si="16"/>
        <v>133</v>
      </c>
      <c r="F115" s="114">
        <f t="shared" si="17"/>
        <v>1.2297734627831715E-2</v>
      </c>
    </row>
    <row r="116" spans="1:6" x14ac:dyDescent="0.2">
      <c r="A116" s="115">
        <v>4</v>
      </c>
      <c r="B116" s="116" t="s">
        <v>116</v>
      </c>
      <c r="C116" s="133">
        <v>794</v>
      </c>
      <c r="D116" s="133">
        <v>0</v>
      </c>
      <c r="E116" s="133">
        <f t="shared" si="16"/>
        <v>-794</v>
      </c>
      <c r="F116" s="114">
        <f t="shared" si="17"/>
        <v>-1</v>
      </c>
    </row>
    <row r="117" spans="1:6" x14ac:dyDescent="0.2">
      <c r="A117" s="115">
        <v>5</v>
      </c>
      <c r="B117" s="116" t="s">
        <v>117</v>
      </c>
      <c r="C117" s="133">
        <v>68</v>
      </c>
      <c r="D117" s="133">
        <v>51</v>
      </c>
      <c r="E117" s="133">
        <f t="shared" si="16"/>
        <v>-17</v>
      </c>
      <c r="F117" s="114">
        <f t="shared" si="17"/>
        <v>-0.25</v>
      </c>
    </row>
    <row r="118" spans="1:6" x14ac:dyDescent="0.2">
      <c r="A118" s="115">
        <v>6</v>
      </c>
      <c r="B118" s="116" t="s">
        <v>118</v>
      </c>
      <c r="C118" s="133">
        <v>1857</v>
      </c>
      <c r="D118" s="133">
        <v>1727</v>
      </c>
      <c r="E118" s="133">
        <f t="shared" si="16"/>
        <v>-130</v>
      </c>
      <c r="F118" s="114">
        <f t="shared" si="17"/>
        <v>-7.0005385029617659E-2</v>
      </c>
    </row>
    <row r="119" spans="1:6" x14ac:dyDescent="0.2">
      <c r="A119" s="115">
        <v>7</v>
      </c>
      <c r="B119" s="116" t="s">
        <v>119</v>
      </c>
      <c r="C119" s="133">
        <v>17356</v>
      </c>
      <c r="D119" s="133">
        <v>14685</v>
      </c>
      <c r="E119" s="133">
        <f t="shared" si="16"/>
        <v>-2671</v>
      </c>
      <c r="F119" s="114">
        <f t="shared" si="17"/>
        <v>-0.15389490666052086</v>
      </c>
    </row>
    <row r="120" spans="1:6" x14ac:dyDescent="0.2">
      <c r="A120" s="115">
        <v>8</v>
      </c>
      <c r="B120" s="116" t="s">
        <v>120</v>
      </c>
      <c r="C120" s="133">
        <v>154</v>
      </c>
      <c r="D120" s="133">
        <v>154</v>
      </c>
      <c r="E120" s="133">
        <f t="shared" si="16"/>
        <v>0</v>
      </c>
      <c r="F120" s="114">
        <f t="shared" si="17"/>
        <v>0</v>
      </c>
    </row>
    <row r="121" spans="1:6" x14ac:dyDescent="0.2">
      <c r="A121" s="115">
        <v>9</v>
      </c>
      <c r="B121" s="116" t="s">
        <v>121</v>
      </c>
      <c r="C121" s="133">
        <v>844</v>
      </c>
      <c r="D121" s="133">
        <v>590</v>
      </c>
      <c r="E121" s="133">
        <f t="shared" si="16"/>
        <v>-254</v>
      </c>
      <c r="F121" s="114">
        <f t="shared" si="17"/>
        <v>-0.3009478672985782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197</v>
      </c>
      <c r="D123" s="133">
        <v>79</v>
      </c>
      <c r="E123" s="133">
        <f t="shared" si="16"/>
        <v>-118</v>
      </c>
      <c r="F123" s="114">
        <f t="shared" si="17"/>
        <v>-0.59898477157360408</v>
      </c>
    </row>
    <row r="124" spans="1:6" ht="15.75" x14ac:dyDescent="0.25">
      <c r="A124" s="117"/>
      <c r="B124" s="118" t="s">
        <v>140</v>
      </c>
      <c r="C124" s="134">
        <f>SUM(C113:C123)</f>
        <v>67341</v>
      </c>
      <c r="D124" s="134">
        <f>SUM(D113:D123)</f>
        <v>59611</v>
      </c>
      <c r="E124" s="134">
        <f t="shared" si="16"/>
        <v>-7730</v>
      </c>
      <c r="F124" s="120">
        <f t="shared" si="17"/>
        <v>-0.11478891017359409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59677</v>
      </c>
      <c r="D126" s="133">
        <v>58585</v>
      </c>
      <c r="E126" s="133">
        <f t="shared" ref="E126:E137" si="18">D126-C126</f>
        <v>-1092</v>
      </c>
      <c r="F126" s="114">
        <f t="shared" ref="F126:F137" si="19">IF(C126=0,0,E126/C126)</f>
        <v>-1.8298506962481358E-2</v>
      </c>
    </row>
    <row r="127" spans="1:6" x14ac:dyDescent="0.2">
      <c r="A127" s="115">
        <v>2</v>
      </c>
      <c r="B127" s="116" t="s">
        <v>114</v>
      </c>
      <c r="C127" s="133">
        <v>7666</v>
      </c>
      <c r="D127" s="133">
        <v>8492</v>
      </c>
      <c r="E127" s="133">
        <f t="shared" si="18"/>
        <v>826</v>
      </c>
      <c r="F127" s="114">
        <f t="shared" si="19"/>
        <v>0.10774849986955387</v>
      </c>
    </row>
    <row r="128" spans="1:6" x14ac:dyDescent="0.2">
      <c r="A128" s="115">
        <v>3</v>
      </c>
      <c r="B128" s="116" t="s">
        <v>115</v>
      </c>
      <c r="C128" s="133">
        <v>35049</v>
      </c>
      <c r="D128" s="133">
        <v>43071</v>
      </c>
      <c r="E128" s="133">
        <f t="shared" si="18"/>
        <v>8022</v>
      </c>
      <c r="F128" s="114">
        <f t="shared" si="19"/>
        <v>0.22887956860395448</v>
      </c>
    </row>
    <row r="129" spans="1:6" x14ac:dyDescent="0.2">
      <c r="A129" s="115">
        <v>4</v>
      </c>
      <c r="B129" s="116" t="s">
        <v>116</v>
      </c>
      <c r="C129" s="133">
        <v>5117</v>
      </c>
      <c r="D129" s="133">
        <v>0</v>
      </c>
      <c r="E129" s="133">
        <f t="shared" si="18"/>
        <v>-5117</v>
      </c>
      <c r="F129" s="114">
        <f t="shared" si="19"/>
        <v>-1</v>
      </c>
    </row>
    <row r="130" spans="1:6" x14ac:dyDescent="0.2">
      <c r="A130" s="115">
        <v>5</v>
      </c>
      <c r="B130" s="116" t="s">
        <v>117</v>
      </c>
      <c r="C130" s="133">
        <v>201</v>
      </c>
      <c r="D130" s="133">
        <v>192</v>
      </c>
      <c r="E130" s="133">
        <f t="shared" si="18"/>
        <v>-9</v>
      </c>
      <c r="F130" s="114">
        <f t="shared" si="19"/>
        <v>-4.4776119402985072E-2</v>
      </c>
    </row>
    <row r="131" spans="1:6" x14ac:dyDescent="0.2">
      <c r="A131" s="115">
        <v>6</v>
      </c>
      <c r="B131" s="116" t="s">
        <v>118</v>
      </c>
      <c r="C131" s="133">
        <v>13482</v>
      </c>
      <c r="D131" s="133">
        <v>11783</v>
      </c>
      <c r="E131" s="133">
        <f t="shared" si="18"/>
        <v>-1699</v>
      </c>
      <c r="F131" s="114">
        <f t="shared" si="19"/>
        <v>-0.12601987835632694</v>
      </c>
    </row>
    <row r="132" spans="1:6" x14ac:dyDescent="0.2">
      <c r="A132" s="115">
        <v>7</v>
      </c>
      <c r="B132" s="116" t="s">
        <v>119</v>
      </c>
      <c r="C132" s="133">
        <v>120769</v>
      </c>
      <c r="D132" s="133">
        <v>113631</v>
      </c>
      <c r="E132" s="133">
        <f t="shared" si="18"/>
        <v>-7138</v>
      </c>
      <c r="F132" s="114">
        <f t="shared" si="19"/>
        <v>-5.9104571537397843E-2</v>
      </c>
    </row>
    <row r="133" spans="1:6" x14ac:dyDescent="0.2">
      <c r="A133" s="115">
        <v>8</v>
      </c>
      <c r="B133" s="116" t="s">
        <v>120</v>
      </c>
      <c r="C133" s="133">
        <v>2525</v>
      </c>
      <c r="D133" s="133">
        <v>3241</v>
      </c>
      <c r="E133" s="133">
        <f t="shared" si="18"/>
        <v>716</v>
      </c>
      <c r="F133" s="114">
        <f t="shared" si="19"/>
        <v>0.28356435643564354</v>
      </c>
    </row>
    <row r="134" spans="1:6" x14ac:dyDescent="0.2">
      <c r="A134" s="115">
        <v>9</v>
      </c>
      <c r="B134" s="116" t="s">
        <v>121</v>
      </c>
      <c r="C134" s="133">
        <v>20504</v>
      </c>
      <c r="D134" s="133">
        <v>21817</v>
      </c>
      <c r="E134" s="133">
        <f t="shared" si="18"/>
        <v>1313</v>
      </c>
      <c r="F134" s="114">
        <f t="shared" si="19"/>
        <v>6.4036285602809204E-2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245</v>
      </c>
      <c r="D136" s="133">
        <v>211</v>
      </c>
      <c r="E136" s="133">
        <f t="shared" si="18"/>
        <v>-34</v>
      </c>
      <c r="F136" s="114">
        <f t="shared" si="19"/>
        <v>-0.13877551020408163</v>
      </c>
    </row>
    <row r="137" spans="1:6" ht="15.75" x14ac:dyDescent="0.25">
      <c r="A137" s="117"/>
      <c r="B137" s="118" t="s">
        <v>142</v>
      </c>
      <c r="C137" s="134">
        <f>SUM(C126:C136)</f>
        <v>265235</v>
      </c>
      <c r="D137" s="134">
        <f>SUM(D126:D136)</f>
        <v>261023</v>
      </c>
      <c r="E137" s="134">
        <f t="shared" si="18"/>
        <v>-4212</v>
      </c>
      <c r="F137" s="120">
        <f t="shared" si="19"/>
        <v>-1.5880257130469207E-2</v>
      </c>
    </row>
    <row r="138" spans="1:6" x14ac:dyDescent="0.2">
      <c r="A138" s="769" t="s">
        <v>143</v>
      </c>
      <c r="B138" s="771" t="s">
        <v>144</v>
      </c>
      <c r="C138" s="773"/>
      <c r="D138" s="774"/>
      <c r="E138" s="774"/>
      <c r="F138" s="775"/>
    </row>
    <row r="139" spans="1:6" ht="15" customHeight="1" x14ac:dyDescent="0.2">
      <c r="A139" s="770"/>
      <c r="B139" s="772"/>
      <c r="C139" s="776"/>
      <c r="D139" s="777"/>
      <c r="E139" s="777"/>
      <c r="F139" s="778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27413439</v>
      </c>
      <c r="D142" s="113">
        <v>35675959</v>
      </c>
      <c r="E142" s="113">
        <f t="shared" ref="E142:E153" si="20">D142-C142</f>
        <v>8262520</v>
      </c>
      <c r="F142" s="114">
        <f t="shared" ref="F142:F153" si="21">IF(C142=0,0,E142/C142)</f>
        <v>0.30140399385863265</v>
      </c>
    </row>
    <row r="143" spans="1:6" x14ac:dyDescent="0.2">
      <c r="A143" s="115">
        <v>2</v>
      </c>
      <c r="B143" s="116" t="s">
        <v>114</v>
      </c>
      <c r="C143" s="113">
        <v>3475720</v>
      </c>
      <c r="D143" s="113">
        <v>4813696</v>
      </c>
      <c r="E143" s="113">
        <f t="shared" si="20"/>
        <v>1337976</v>
      </c>
      <c r="F143" s="114">
        <f t="shared" si="21"/>
        <v>0.38494930546764411</v>
      </c>
    </row>
    <row r="144" spans="1:6" x14ac:dyDescent="0.2">
      <c r="A144" s="115">
        <v>3</v>
      </c>
      <c r="B144" s="116" t="s">
        <v>115</v>
      </c>
      <c r="C144" s="113">
        <v>24924501</v>
      </c>
      <c r="D144" s="113">
        <v>32159396</v>
      </c>
      <c r="E144" s="113">
        <f t="shared" si="20"/>
        <v>7234895</v>
      </c>
      <c r="F144" s="114">
        <f t="shared" si="21"/>
        <v>0.29027241107053658</v>
      </c>
    </row>
    <row r="145" spans="1:6" x14ac:dyDescent="0.2">
      <c r="A145" s="115">
        <v>4</v>
      </c>
      <c r="B145" s="116" t="s">
        <v>116</v>
      </c>
      <c r="C145" s="113">
        <v>3647933</v>
      </c>
      <c r="D145" s="113">
        <v>0</v>
      </c>
      <c r="E145" s="113">
        <f t="shared" si="20"/>
        <v>-3647933</v>
      </c>
      <c r="F145" s="114">
        <f t="shared" si="21"/>
        <v>-1</v>
      </c>
    </row>
    <row r="146" spans="1:6" x14ac:dyDescent="0.2">
      <c r="A146" s="115">
        <v>5</v>
      </c>
      <c r="B146" s="116" t="s">
        <v>117</v>
      </c>
      <c r="C146" s="113">
        <v>155293</v>
      </c>
      <c r="D146" s="113">
        <v>156969</v>
      </c>
      <c r="E146" s="113">
        <f t="shared" si="20"/>
        <v>1676</v>
      </c>
      <c r="F146" s="114">
        <f t="shared" si="21"/>
        <v>1.0792501915733485E-2</v>
      </c>
    </row>
    <row r="147" spans="1:6" x14ac:dyDescent="0.2">
      <c r="A147" s="115">
        <v>6</v>
      </c>
      <c r="B147" s="116" t="s">
        <v>118</v>
      </c>
      <c r="C147" s="113">
        <v>7088046</v>
      </c>
      <c r="D147" s="113">
        <v>7410124</v>
      </c>
      <c r="E147" s="113">
        <f t="shared" si="20"/>
        <v>322078</v>
      </c>
      <c r="F147" s="114">
        <f t="shared" si="21"/>
        <v>4.5439603524017762E-2</v>
      </c>
    </row>
    <row r="148" spans="1:6" x14ac:dyDescent="0.2">
      <c r="A148" s="115">
        <v>7</v>
      </c>
      <c r="B148" s="116" t="s">
        <v>119</v>
      </c>
      <c r="C148" s="113">
        <v>49726272</v>
      </c>
      <c r="D148" s="113">
        <v>50410015</v>
      </c>
      <c r="E148" s="113">
        <f t="shared" si="20"/>
        <v>683743</v>
      </c>
      <c r="F148" s="114">
        <f t="shared" si="21"/>
        <v>1.3750135944234871E-2</v>
      </c>
    </row>
    <row r="149" spans="1:6" x14ac:dyDescent="0.2">
      <c r="A149" s="115">
        <v>8</v>
      </c>
      <c r="B149" s="116" t="s">
        <v>120</v>
      </c>
      <c r="C149" s="113">
        <v>1904840</v>
      </c>
      <c r="D149" s="113">
        <v>2092411</v>
      </c>
      <c r="E149" s="113">
        <f t="shared" si="20"/>
        <v>187571</v>
      </c>
      <c r="F149" s="114">
        <f t="shared" si="21"/>
        <v>9.8470737699754313E-2</v>
      </c>
    </row>
    <row r="150" spans="1:6" x14ac:dyDescent="0.2">
      <c r="A150" s="115">
        <v>9</v>
      </c>
      <c r="B150" s="116" t="s">
        <v>121</v>
      </c>
      <c r="C150" s="113">
        <v>14659538</v>
      </c>
      <c r="D150" s="113">
        <v>14797556</v>
      </c>
      <c r="E150" s="113">
        <f t="shared" si="20"/>
        <v>138018</v>
      </c>
      <c r="F150" s="114">
        <f t="shared" si="21"/>
        <v>9.4148942483726298E-3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490042</v>
      </c>
      <c r="D152" s="113">
        <v>618032</v>
      </c>
      <c r="E152" s="113">
        <f t="shared" si="20"/>
        <v>127990</v>
      </c>
      <c r="F152" s="114">
        <f t="shared" si="21"/>
        <v>0.2611816946302562</v>
      </c>
    </row>
    <row r="153" spans="1:6" ht="33.75" customHeight="1" x14ac:dyDescent="0.25">
      <c r="A153" s="117"/>
      <c r="B153" s="118" t="s">
        <v>146</v>
      </c>
      <c r="C153" s="119">
        <f>SUM(C142:C152)</f>
        <v>133485624</v>
      </c>
      <c r="D153" s="119">
        <f>SUM(D142:D152)</f>
        <v>148134158</v>
      </c>
      <c r="E153" s="119">
        <f t="shared" si="20"/>
        <v>14648534</v>
      </c>
      <c r="F153" s="120">
        <f t="shared" si="21"/>
        <v>0.10973866369310301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4684525</v>
      </c>
      <c r="D155" s="113">
        <v>5959802</v>
      </c>
      <c r="E155" s="113">
        <f t="shared" ref="E155:E166" si="22">D155-C155</f>
        <v>1275277</v>
      </c>
      <c r="F155" s="114">
        <f t="shared" ref="F155:F166" si="23">IF(C155=0,0,E155/C155)</f>
        <v>0.27223186982671671</v>
      </c>
    </row>
    <row r="156" spans="1:6" x14ac:dyDescent="0.2">
      <c r="A156" s="115">
        <v>2</v>
      </c>
      <c r="B156" s="116" t="s">
        <v>114</v>
      </c>
      <c r="C156" s="113">
        <v>592139</v>
      </c>
      <c r="D156" s="113">
        <v>811105</v>
      </c>
      <c r="E156" s="113">
        <f t="shared" si="22"/>
        <v>218966</v>
      </c>
      <c r="F156" s="114">
        <f t="shared" si="23"/>
        <v>0.36978817473599951</v>
      </c>
    </row>
    <row r="157" spans="1:6" x14ac:dyDescent="0.2">
      <c r="A157" s="115">
        <v>3</v>
      </c>
      <c r="B157" s="116" t="s">
        <v>115</v>
      </c>
      <c r="C157" s="113">
        <v>4698044</v>
      </c>
      <c r="D157" s="113">
        <v>6513017</v>
      </c>
      <c r="E157" s="113">
        <f t="shared" si="22"/>
        <v>1814973</v>
      </c>
      <c r="F157" s="114">
        <f t="shared" si="23"/>
        <v>0.38632524514457506</v>
      </c>
    </row>
    <row r="158" spans="1:6" x14ac:dyDescent="0.2">
      <c r="A158" s="115">
        <v>4</v>
      </c>
      <c r="B158" s="116" t="s">
        <v>116</v>
      </c>
      <c r="C158" s="113">
        <v>697039</v>
      </c>
      <c r="D158" s="113">
        <v>0</v>
      </c>
      <c r="E158" s="113">
        <f t="shared" si="22"/>
        <v>-697039</v>
      </c>
      <c r="F158" s="114">
        <f t="shared" si="23"/>
        <v>-1</v>
      </c>
    </row>
    <row r="159" spans="1:6" x14ac:dyDescent="0.2">
      <c r="A159" s="115">
        <v>5</v>
      </c>
      <c r="B159" s="116" t="s">
        <v>117</v>
      </c>
      <c r="C159" s="113">
        <v>29886</v>
      </c>
      <c r="D159" s="113">
        <v>25056</v>
      </c>
      <c r="E159" s="113">
        <f t="shared" si="22"/>
        <v>-4830</v>
      </c>
      <c r="F159" s="114">
        <f t="shared" si="23"/>
        <v>-0.16161413370809075</v>
      </c>
    </row>
    <row r="160" spans="1:6" x14ac:dyDescent="0.2">
      <c r="A160" s="115">
        <v>6</v>
      </c>
      <c r="B160" s="116" t="s">
        <v>118</v>
      </c>
      <c r="C160" s="113">
        <v>5115597</v>
      </c>
      <c r="D160" s="113">
        <v>4185672</v>
      </c>
      <c r="E160" s="113">
        <f t="shared" si="22"/>
        <v>-929925</v>
      </c>
      <c r="F160" s="114">
        <f t="shared" si="23"/>
        <v>-0.18178230224155656</v>
      </c>
    </row>
    <row r="161" spans="1:6" x14ac:dyDescent="0.2">
      <c r="A161" s="115">
        <v>7</v>
      </c>
      <c r="B161" s="116" t="s">
        <v>119</v>
      </c>
      <c r="C161" s="113">
        <v>29037141</v>
      </c>
      <c r="D161" s="113">
        <v>33526942</v>
      </c>
      <c r="E161" s="113">
        <f t="shared" si="22"/>
        <v>4489801</v>
      </c>
      <c r="F161" s="114">
        <f t="shared" si="23"/>
        <v>0.15462269512001889</v>
      </c>
    </row>
    <row r="162" spans="1:6" x14ac:dyDescent="0.2">
      <c r="A162" s="115">
        <v>8</v>
      </c>
      <c r="B162" s="116" t="s">
        <v>120</v>
      </c>
      <c r="C162" s="113">
        <v>1215969</v>
      </c>
      <c r="D162" s="113">
        <v>1224093</v>
      </c>
      <c r="E162" s="113">
        <f t="shared" si="22"/>
        <v>8124</v>
      </c>
      <c r="F162" s="114">
        <f t="shared" si="23"/>
        <v>6.6810913765071311E-3</v>
      </c>
    </row>
    <row r="163" spans="1:6" x14ac:dyDescent="0.2">
      <c r="A163" s="115">
        <v>9</v>
      </c>
      <c r="B163" s="116" t="s">
        <v>121</v>
      </c>
      <c r="C163" s="113">
        <v>1070499</v>
      </c>
      <c r="D163" s="113">
        <v>459446</v>
      </c>
      <c r="E163" s="113">
        <f t="shared" si="22"/>
        <v>-611053</v>
      </c>
      <c r="F163" s="114">
        <f t="shared" si="23"/>
        <v>-0.57081136927731835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152654</v>
      </c>
      <c r="D165" s="113">
        <v>53354</v>
      </c>
      <c r="E165" s="113">
        <f t="shared" si="22"/>
        <v>-99300</v>
      </c>
      <c r="F165" s="114">
        <f t="shared" si="23"/>
        <v>-0.65049065206283496</v>
      </c>
    </row>
    <row r="166" spans="1:6" ht="33.75" customHeight="1" x14ac:dyDescent="0.25">
      <c r="A166" s="117"/>
      <c r="B166" s="118" t="s">
        <v>148</v>
      </c>
      <c r="C166" s="119">
        <f>SUM(C155:C165)</f>
        <v>47293493</v>
      </c>
      <c r="D166" s="119">
        <f>SUM(D155:D165)</f>
        <v>52758487</v>
      </c>
      <c r="E166" s="119">
        <f t="shared" si="22"/>
        <v>5464994</v>
      </c>
      <c r="F166" s="120">
        <f t="shared" si="23"/>
        <v>0.11555488193692946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6127</v>
      </c>
      <c r="D168" s="133">
        <v>6488</v>
      </c>
      <c r="E168" s="133">
        <f t="shared" ref="E168:E179" si="24">D168-C168</f>
        <v>361</v>
      </c>
      <c r="F168" s="114">
        <f t="shared" ref="F168:F179" si="25">IF(C168=0,0,E168/C168)</f>
        <v>5.8919536477884775E-2</v>
      </c>
    </row>
    <row r="169" spans="1:6" x14ac:dyDescent="0.2">
      <c r="A169" s="115">
        <v>2</v>
      </c>
      <c r="B169" s="116" t="s">
        <v>114</v>
      </c>
      <c r="C169" s="133">
        <v>736</v>
      </c>
      <c r="D169" s="133">
        <v>904</v>
      </c>
      <c r="E169" s="133">
        <f t="shared" si="24"/>
        <v>168</v>
      </c>
      <c r="F169" s="114">
        <f t="shared" si="25"/>
        <v>0.22826086956521738</v>
      </c>
    </row>
    <row r="170" spans="1:6" x14ac:dyDescent="0.2">
      <c r="A170" s="115">
        <v>3</v>
      </c>
      <c r="B170" s="116" t="s">
        <v>115</v>
      </c>
      <c r="C170" s="133">
        <v>8896</v>
      </c>
      <c r="D170" s="133">
        <v>11040</v>
      </c>
      <c r="E170" s="133">
        <f t="shared" si="24"/>
        <v>2144</v>
      </c>
      <c r="F170" s="114">
        <f t="shared" si="25"/>
        <v>0.24100719424460432</v>
      </c>
    </row>
    <row r="171" spans="1:6" x14ac:dyDescent="0.2">
      <c r="A171" s="115">
        <v>4</v>
      </c>
      <c r="B171" s="116" t="s">
        <v>116</v>
      </c>
      <c r="C171" s="133">
        <v>1526</v>
      </c>
      <c r="D171" s="133">
        <v>0</v>
      </c>
      <c r="E171" s="133">
        <f t="shared" si="24"/>
        <v>-1526</v>
      </c>
      <c r="F171" s="114">
        <f t="shared" si="25"/>
        <v>-1</v>
      </c>
    </row>
    <row r="172" spans="1:6" x14ac:dyDescent="0.2">
      <c r="A172" s="115">
        <v>5</v>
      </c>
      <c r="B172" s="116" t="s">
        <v>117</v>
      </c>
      <c r="C172" s="133">
        <v>59</v>
      </c>
      <c r="D172" s="133">
        <v>55</v>
      </c>
      <c r="E172" s="133">
        <f t="shared" si="24"/>
        <v>-4</v>
      </c>
      <c r="F172" s="114">
        <f t="shared" si="25"/>
        <v>-6.7796610169491525E-2</v>
      </c>
    </row>
    <row r="173" spans="1:6" x14ac:dyDescent="0.2">
      <c r="A173" s="115">
        <v>6</v>
      </c>
      <c r="B173" s="116" t="s">
        <v>118</v>
      </c>
      <c r="C173" s="133">
        <v>2022</v>
      </c>
      <c r="D173" s="133">
        <v>1948</v>
      </c>
      <c r="E173" s="133">
        <f t="shared" si="24"/>
        <v>-74</v>
      </c>
      <c r="F173" s="114">
        <f t="shared" si="25"/>
        <v>-3.6597428288822946E-2</v>
      </c>
    </row>
    <row r="174" spans="1:6" x14ac:dyDescent="0.2">
      <c r="A174" s="115">
        <v>7</v>
      </c>
      <c r="B174" s="116" t="s">
        <v>119</v>
      </c>
      <c r="C174" s="133">
        <v>14600</v>
      </c>
      <c r="D174" s="133">
        <v>13810</v>
      </c>
      <c r="E174" s="133">
        <f t="shared" si="24"/>
        <v>-790</v>
      </c>
      <c r="F174" s="114">
        <f t="shared" si="25"/>
        <v>-5.410958904109589E-2</v>
      </c>
    </row>
    <row r="175" spans="1:6" x14ac:dyDescent="0.2">
      <c r="A175" s="115">
        <v>8</v>
      </c>
      <c r="B175" s="116" t="s">
        <v>120</v>
      </c>
      <c r="C175" s="133">
        <v>810</v>
      </c>
      <c r="D175" s="133">
        <v>856</v>
      </c>
      <c r="E175" s="133">
        <f t="shared" si="24"/>
        <v>46</v>
      </c>
      <c r="F175" s="114">
        <f t="shared" si="25"/>
        <v>5.6790123456790124E-2</v>
      </c>
    </row>
    <row r="176" spans="1:6" x14ac:dyDescent="0.2">
      <c r="A176" s="115">
        <v>9</v>
      </c>
      <c r="B176" s="116" t="s">
        <v>121</v>
      </c>
      <c r="C176" s="133">
        <v>4588</v>
      </c>
      <c r="D176" s="133">
        <v>4559</v>
      </c>
      <c r="E176" s="133">
        <f t="shared" si="24"/>
        <v>-29</v>
      </c>
      <c r="F176" s="114">
        <f t="shared" si="25"/>
        <v>-6.320836965998256E-3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186</v>
      </c>
      <c r="D178" s="133">
        <v>178</v>
      </c>
      <c r="E178" s="133">
        <f t="shared" si="24"/>
        <v>-8</v>
      </c>
      <c r="F178" s="114">
        <f t="shared" si="25"/>
        <v>-4.3010752688172046E-2</v>
      </c>
    </row>
    <row r="179" spans="1:6" ht="33.75" customHeight="1" x14ac:dyDescent="0.25">
      <c r="A179" s="117"/>
      <c r="B179" s="118" t="s">
        <v>150</v>
      </c>
      <c r="C179" s="134">
        <f>SUM(C168:C178)</f>
        <v>39550</v>
      </c>
      <c r="D179" s="134">
        <f>SUM(D168:D178)</f>
        <v>39838</v>
      </c>
      <c r="E179" s="134">
        <f t="shared" si="24"/>
        <v>288</v>
      </c>
      <c r="F179" s="120">
        <f t="shared" si="25"/>
        <v>7.2819216182048044E-3</v>
      </c>
    </row>
  </sheetData>
  <mergeCells count="23">
    <mergeCell ref="A2:F2"/>
    <mergeCell ref="A3:F3"/>
    <mergeCell ref="A4:F4"/>
    <mergeCell ref="A5:F5"/>
    <mergeCell ref="C9:F9"/>
    <mergeCell ref="A10:A11"/>
    <mergeCell ref="B10:B11"/>
    <mergeCell ref="C10:F11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FILING&amp;RNORWALK HOSPITAL</oddHeader>
    <oddFooter>&amp;LREPORT 100&amp;CPAGE &amp;P of &amp;N&amp;R&amp;D, 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1"/>
  <sheetViews>
    <sheetView zoomScale="75" workbookViewId="0">
      <selection sqref="A1:F1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9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46217962</v>
      </c>
      <c r="D15" s="157">
        <v>46255451</v>
      </c>
      <c r="E15" s="157">
        <f>+D15-C15</f>
        <v>37489</v>
      </c>
      <c r="F15" s="161">
        <f>IF(C15=0,0,E15/C15)</f>
        <v>8.1113485704973319E-4</v>
      </c>
    </row>
    <row r="16" spans="1:6" ht="15" customHeight="1" x14ac:dyDescent="0.2">
      <c r="A16" s="147">
        <v>2</v>
      </c>
      <c r="B16" s="160" t="s">
        <v>157</v>
      </c>
      <c r="C16" s="157">
        <v>9930604</v>
      </c>
      <c r="D16" s="157">
        <v>11928508</v>
      </c>
      <c r="E16" s="157">
        <f>+D16-C16</f>
        <v>1997904</v>
      </c>
      <c r="F16" s="161">
        <f>IF(C16=0,0,E16/C16)</f>
        <v>0.20118655421160686</v>
      </c>
    </row>
    <row r="17" spans="1:6" ht="15" customHeight="1" x14ac:dyDescent="0.2">
      <c r="A17" s="147">
        <v>3</v>
      </c>
      <c r="B17" s="160" t="s">
        <v>158</v>
      </c>
      <c r="C17" s="157">
        <v>77433917</v>
      </c>
      <c r="D17" s="157">
        <v>80198641</v>
      </c>
      <c r="E17" s="157">
        <f>+D17-C17</f>
        <v>2764724</v>
      </c>
      <c r="F17" s="161">
        <f>IF(C17=0,0,E17/C17)</f>
        <v>3.5704302547422469E-2</v>
      </c>
    </row>
    <row r="18" spans="1:6" ht="15.75" customHeight="1" x14ac:dyDescent="0.25">
      <c r="A18" s="147"/>
      <c r="B18" s="162" t="s">
        <v>159</v>
      </c>
      <c r="C18" s="158">
        <f>SUM(C15:C17)</f>
        <v>133582483</v>
      </c>
      <c r="D18" s="158">
        <f>SUM(D15:D17)</f>
        <v>138382600</v>
      </c>
      <c r="E18" s="158">
        <f>+D18-C18</f>
        <v>4800117</v>
      </c>
      <c r="F18" s="159">
        <f>IF(C18=0,0,E18/C18)</f>
        <v>3.5933730921890408E-2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14427766</v>
      </c>
      <c r="D21" s="157">
        <v>15513984</v>
      </c>
      <c r="E21" s="157">
        <f>+D21-C21</f>
        <v>1086218</v>
      </c>
      <c r="F21" s="161">
        <f>IF(C21=0,0,E21/C21)</f>
        <v>7.528663827788723E-2</v>
      </c>
    </row>
    <row r="22" spans="1:6" ht="15" customHeight="1" x14ac:dyDescent="0.2">
      <c r="A22" s="147">
        <v>2</v>
      </c>
      <c r="B22" s="160" t="s">
        <v>162</v>
      </c>
      <c r="C22" s="157">
        <v>2996514</v>
      </c>
      <c r="D22" s="157">
        <v>3620814</v>
      </c>
      <c r="E22" s="157">
        <f>+D22-C22</f>
        <v>624300</v>
      </c>
      <c r="F22" s="161">
        <f>IF(C22=0,0,E22/C22)</f>
        <v>0.20834209351266172</v>
      </c>
    </row>
    <row r="23" spans="1:6" ht="15" customHeight="1" x14ac:dyDescent="0.2">
      <c r="A23" s="147">
        <v>3</v>
      </c>
      <c r="B23" s="160" t="s">
        <v>163</v>
      </c>
      <c r="C23" s="157">
        <v>30346364</v>
      </c>
      <c r="D23" s="157">
        <v>32551822</v>
      </c>
      <c r="E23" s="157">
        <f>+D23-C23</f>
        <v>2205458</v>
      </c>
      <c r="F23" s="161">
        <f>IF(C23=0,0,E23/C23)</f>
        <v>7.2676186181646008E-2</v>
      </c>
    </row>
    <row r="24" spans="1:6" ht="15.75" customHeight="1" x14ac:dyDescent="0.25">
      <c r="A24" s="147"/>
      <c r="B24" s="162" t="s">
        <v>164</v>
      </c>
      <c r="C24" s="158">
        <f>SUM(C21:C23)</f>
        <v>47770644</v>
      </c>
      <c r="D24" s="158">
        <f>SUM(D21:D23)</f>
        <v>51686620</v>
      </c>
      <c r="E24" s="158">
        <f>+D24-C24</f>
        <v>3915976</v>
      </c>
      <c r="F24" s="159">
        <f>IF(C24=0,0,E24/C24)</f>
        <v>8.197452812233387E-2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1598864</v>
      </c>
      <c r="D27" s="157">
        <v>480087</v>
      </c>
      <c r="E27" s="157">
        <f>+D27-C27</f>
        <v>-1118777</v>
      </c>
      <c r="F27" s="161">
        <f>IF(C27=0,0,E27/C27)</f>
        <v>-0.6997324350288705</v>
      </c>
    </row>
    <row r="28" spans="1:6" ht="15" customHeight="1" x14ac:dyDescent="0.2">
      <c r="A28" s="147">
        <v>2</v>
      </c>
      <c r="B28" s="160" t="s">
        <v>167</v>
      </c>
      <c r="C28" s="157">
        <v>7854008</v>
      </c>
      <c r="D28" s="157">
        <v>7455185</v>
      </c>
      <c r="E28" s="157">
        <f>+D28-C28</f>
        <v>-398823</v>
      </c>
      <c r="F28" s="161">
        <f>IF(C28=0,0,E28/C28)</f>
        <v>-5.0779551026685993E-2</v>
      </c>
    </row>
    <row r="29" spans="1:6" ht="15" customHeight="1" x14ac:dyDescent="0.2">
      <c r="A29" s="147">
        <v>3</v>
      </c>
      <c r="B29" s="160" t="s">
        <v>168</v>
      </c>
      <c r="C29" s="157">
        <v>8144964</v>
      </c>
      <c r="D29" s="157">
        <v>7086120</v>
      </c>
      <c r="E29" s="157">
        <f>+D29-C29</f>
        <v>-1058844</v>
      </c>
      <c r="F29" s="161">
        <f>IF(C29=0,0,E29/C29)</f>
        <v>-0.12999983793666858</v>
      </c>
    </row>
    <row r="30" spans="1:6" ht="15.75" customHeight="1" x14ac:dyDescent="0.25">
      <c r="A30" s="147"/>
      <c r="B30" s="162" t="s">
        <v>169</v>
      </c>
      <c r="C30" s="158">
        <f>SUM(C27:C29)</f>
        <v>17597836</v>
      </c>
      <c r="D30" s="158">
        <f>SUM(D27:D29)</f>
        <v>15021392</v>
      </c>
      <c r="E30" s="158">
        <f>+D30-C30</f>
        <v>-2576444</v>
      </c>
      <c r="F30" s="159">
        <f>IF(C30=0,0,E30/C30)</f>
        <v>-0.14640686502590433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23803821</v>
      </c>
      <c r="D33" s="157">
        <v>23207797</v>
      </c>
      <c r="E33" s="157">
        <f>+D33-C33</f>
        <v>-596024</v>
      </c>
      <c r="F33" s="161">
        <f>IF(C33=0,0,E33/C33)</f>
        <v>-2.5039005292469642E-2</v>
      </c>
    </row>
    <row r="34" spans="1:6" ht="15" customHeight="1" x14ac:dyDescent="0.2">
      <c r="A34" s="147">
        <v>2</v>
      </c>
      <c r="B34" s="160" t="s">
        <v>173</v>
      </c>
      <c r="C34" s="157">
        <v>7616398</v>
      </c>
      <c r="D34" s="157">
        <v>7534002</v>
      </c>
      <c r="E34" s="157">
        <f>+D34-C34</f>
        <v>-82396</v>
      </c>
      <c r="F34" s="161">
        <f>IF(C34=0,0,E34/C34)</f>
        <v>-1.0818237177206338E-2</v>
      </c>
    </row>
    <row r="35" spans="1:6" ht="15.75" customHeight="1" x14ac:dyDescent="0.25">
      <c r="A35" s="147"/>
      <c r="B35" s="162" t="s">
        <v>174</v>
      </c>
      <c r="C35" s="158">
        <f>SUM(C33:C34)</f>
        <v>31420219</v>
      </c>
      <c r="D35" s="158">
        <f>SUM(D33:D34)</f>
        <v>30741799</v>
      </c>
      <c r="E35" s="158">
        <f>+D35-C35</f>
        <v>-678420</v>
      </c>
      <c r="F35" s="159">
        <f>IF(C35=0,0,E35/C35)</f>
        <v>-2.1591829133972618E-2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6379326</v>
      </c>
      <c r="D38" s="157">
        <v>6372888</v>
      </c>
      <c r="E38" s="157">
        <f>+D38-C38</f>
        <v>-6438</v>
      </c>
      <c r="F38" s="161">
        <f>IF(C38=0,0,E38/C38)</f>
        <v>-1.0091975233747265E-3</v>
      </c>
    </row>
    <row r="39" spans="1:6" ht="15" customHeight="1" x14ac:dyDescent="0.2">
      <c r="A39" s="147">
        <v>2</v>
      </c>
      <c r="B39" s="160" t="s">
        <v>178</v>
      </c>
      <c r="C39" s="157">
        <v>14001046</v>
      </c>
      <c r="D39" s="157">
        <v>12262588</v>
      </c>
      <c r="E39" s="157">
        <f>+D39-C39</f>
        <v>-1738458</v>
      </c>
      <c r="F39" s="161">
        <f>IF(C39=0,0,E39/C39)</f>
        <v>-0.12416629443257311</v>
      </c>
    </row>
    <row r="40" spans="1:6" ht="15" customHeight="1" x14ac:dyDescent="0.2">
      <c r="A40" s="147">
        <v>3</v>
      </c>
      <c r="B40" s="160" t="s">
        <v>179</v>
      </c>
      <c r="C40" s="157">
        <v>0</v>
      </c>
      <c r="D40" s="157">
        <v>0</v>
      </c>
      <c r="E40" s="157">
        <f>+D40-C40</f>
        <v>0</v>
      </c>
      <c r="F40" s="161">
        <f>IF(C40=0,0,E40/C40)</f>
        <v>0</v>
      </c>
    </row>
    <row r="41" spans="1:6" ht="15.75" customHeight="1" x14ac:dyDescent="0.25">
      <c r="A41" s="147"/>
      <c r="B41" s="162" t="s">
        <v>180</v>
      </c>
      <c r="C41" s="158">
        <f>SUM(C38:C40)</f>
        <v>20380372</v>
      </c>
      <c r="D41" s="158">
        <f>SUM(D38:D40)</f>
        <v>18635476</v>
      </c>
      <c r="E41" s="158">
        <f>+D41-C41</f>
        <v>-1744896</v>
      </c>
      <c r="F41" s="159">
        <f>IF(C41=0,0,E41/C41)</f>
        <v>-8.5616494144464095E-2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23530477</v>
      </c>
      <c r="D44" s="157">
        <v>0</v>
      </c>
      <c r="E44" s="157">
        <f>+D44-C44</f>
        <v>-23530477</v>
      </c>
      <c r="F44" s="161">
        <f>IF(C44=0,0,E44/C44)</f>
        <v>-1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2025836</v>
      </c>
      <c r="D47" s="157">
        <v>2529391</v>
      </c>
      <c r="E47" s="157">
        <f>+D47-C47</f>
        <v>503555</v>
      </c>
      <c r="F47" s="161">
        <f>IF(C47=0,0,E47/C47)</f>
        <v>0.24856651772404084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7605175</v>
      </c>
      <c r="D50" s="157">
        <v>5816594</v>
      </c>
      <c r="E50" s="157">
        <f>+D50-C50</f>
        <v>-1788581</v>
      </c>
      <c r="F50" s="161">
        <f>IF(C50=0,0,E50/C50)</f>
        <v>-0.2351794666131943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190666</v>
      </c>
      <c r="D53" s="157">
        <v>197105</v>
      </c>
      <c r="E53" s="157">
        <f t="shared" ref="E53:E59" si="0">+D53-C53</f>
        <v>6439</v>
      </c>
      <c r="F53" s="161">
        <f t="shared" ref="F53:F59" si="1">IF(C53=0,0,E53/C53)</f>
        <v>3.3771097101738118E-2</v>
      </c>
    </row>
    <row r="54" spans="1:6" ht="15" customHeight="1" x14ac:dyDescent="0.2">
      <c r="A54" s="147">
        <v>2</v>
      </c>
      <c r="B54" s="160" t="s">
        <v>189</v>
      </c>
      <c r="C54" s="157">
        <v>2406046</v>
      </c>
      <c r="D54" s="157">
        <v>2228902</v>
      </c>
      <c r="E54" s="157">
        <f t="shared" si="0"/>
        <v>-177144</v>
      </c>
      <c r="F54" s="161">
        <f t="shared" si="1"/>
        <v>-7.3624527544361162E-2</v>
      </c>
    </row>
    <row r="55" spans="1:6" ht="15" customHeight="1" x14ac:dyDescent="0.2">
      <c r="A55" s="147">
        <v>3</v>
      </c>
      <c r="B55" s="160" t="s">
        <v>190</v>
      </c>
      <c r="C55" s="157">
        <v>140833</v>
      </c>
      <c r="D55" s="157">
        <v>238870</v>
      </c>
      <c r="E55" s="157">
        <f t="shared" si="0"/>
        <v>98037</v>
      </c>
      <c r="F55" s="161">
        <f t="shared" si="1"/>
        <v>0.69612235768605368</v>
      </c>
    </row>
    <row r="56" spans="1:6" ht="15" customHeight="1" x14ac:dyDescent="0.2">
      <c r="A56" s="147">
        <v>4</v>
      </c>
      <c r="B56" s="160" t="s">
        <v>191</v>
      </c>
      <c r="C56" s="157">
        <v>1361731</v>
      </c>
      <c r="D56" s="157">
        <v>1321904</v>
      </c>
      <c r="E56" s="157">
        <f t="shared" si="0"/>
        <v>-39827</v>
      </c>
      <c r="F56" s="161">
        <f t="shared" si="1"/>
        <v>-2.9247332990142694E-2</v>
      </c>
    </row>
    <row r="57" spans="1:6" ht="15" customHeight="1" x14ac:dyDescent="0.2">
      <c r="A57" s="147">
        <v>5</v>
      </c>
      <c r="B57" s="160" t="s">
        <v>192</v>
      </c>
      <c r="C57" s="157">
        <v>687400</v>
      </c>
      <c r="D57" s="157">
        <v>693971</v>
      </c>
      <c r="E57" s="157">
        <f t="shared" si="0"/>
        <v>6571</v>
      </c>
      <c r="F57" s="161">
        <f t="shared" si="1"/>
        <v>9.5592086121617688E-3</v>
      </c>
    </row>
    <row r="58" spans="1:6" ht="15" customHeight="1" x14ac:dyDescent="0.2">
      <c r="A58" s="147">
        <v>6</v>
      </c>
      <c r="B58" s="160" t="s">
        <v>193</v>
      </c>
      <c r="C58" s="157">
        <v>0</v>
      </c>
      <c r="D58" s="157">
        <v>0</v>
      </c>
      <c r="E58" s="157">
        <f t="shared" si="0"/>
        <v>0</v>
      </c>
      <c r="F58" s="161">
        <f t="shared" si="1"/>
        <v>0</v>
      </c>
    </row>
    <row r="59" spans="1:6" ht="15.75" customHeight="1" x14ac:dyDescent="0.25">
      <c r="A59" s="147"/>
      <c r="B59" s="162" t="s">
        <v>194</v>
      </c>
      <c r="C59" s="158">
        <f>SUM(C53:C58)</f>
        <v>4786676</v>
      </c>
      <c r="D59" s="158">
        <f>SUM(D53:D58)</f>
        <v>4680752</v>
      </c>
      <c r="E59" s="158">
        <f t="shared" si="0"/>
        <v>-105924</v>
      </c>
      <c r="F59" s="159">
        <f t="shared" si="1"/>
        <v>-2.2128926211007389E-2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253790</v>
      </c>
      <c r="D62" s="157">
        <v>251958</v>
      </c>
      <c r="E62" s="157">
        <f t="shared" ref="E62:E90" si="2">+D62-C62</f>
        <v>-1832</v>
      </c>
      <c r="F62" s="161">
        <f t="shared" ref="F62:F90" si="3">IF(C62=0,0,E62/C62)</f>
        <v>-7.2185665313842153E-3</v>
      </c>
    </row>
    <row r="63" spans="1:6" ht="15" customHeight="1" x14ac:dyDescent="0.2">
      <c r="A63" s="147">
        <v>2</v>
      </c>
      <c r="B63" s="160" t="s">
        <v>198</v>
      </c>
      <c r="C63" s="157">
        <v>1825297</v>
      </c>
      <c r="D63" s="157">
        <v>1900681</v>
      </c>
      <c r="E63" s="157">
        <f t="shared" si="2"/>
        <v>75384</v>
      </c>
      <c r="F63" s="161">
        <f t="shared" si="3"/>
        <v>4.1299580287481985E-2</v>
      </c>
    </row>
    <row r="64" spans="1:6" ht="15" customHeight="1" x14ac:dyDescent="0.2">
      <c r="A64" s="147">
        <v>3</v>
      </c>
      <c r="B64" s="160" t="s">
        <v>199</v>
      </c>
      <c r="C64" s="157">
        <v>7793749</v>
      </c>
      <c r="D64" s="157">
        <v>4809675</v>
      </c>
      <c r="E64" s="157">
        <f t="shared" si="2"/>
        <v>-2984074</v>
      </c>
      <c r="F64" s="161">
        <f t="shared" si="3"/>
        <v>-0.38288043405041655</v>
      </c>
    </row>
    <row r="65" spans="1:6" ht="15" customHeight="1" x14ac:dyDescent="0.2">
      <c r="A65" s="147">
        <v>4</v>
      </c>
      <c r="B65" s="160" t="s">
        <v>200</v>
      </c>
      <c r="C65" s="157">
        <v>711040</v>
      </c>
      <c r="D65" s="157">
        <v>784507</v>
      </c>
      <c r="E65" s="157">
        <f t="shared" si="2"/>
        <v>73467</v>
      </c>
      <c r="F65" s="161">
        <f t="shared" si="3"/>
        <v>0.10332330108010801</v>
      </c>
    </row>
    <row r="66" spans="1:6" ht="15" customHeight="1" x14ac:dyDescent="0.2">
      <c r="A66" s="147">
        <v>5</v>
      </c>
      <c r="B66" s="160" t="s">
        <v>201</v>
      </c>
      <c r="C66" s="157">
        <v>903367</v>
      </c>
      <c r="D66" s="157">
        <v>724051</v>
      </c>
      <c r="E66" s="157">
        <f t="shared" si="2"/>
        <v>-179316</v>
      </c>
      <c r="F66" s="161">
        <f t="shared" si="3"/>
        <v>-0.19849739917442191</v>
      </c>
    </row>
    <row r="67" spans="1:6" ht="15" customHeight="1" x14ac:dyDescent="0.2">
      <c r="A67" s="147">
        <v>6</v>
      </c>
      <c r="B67" s="160" t="s">
        <v>202</v>
      </c>
      <c r="C67" s="157">
        <v>7521313</v>
      </c>
      <c r="D67" s="157">
        <v>7207526</v>
      </c>
      <c r="E67" s="157">
        <f t="shared" si="2"/>
        <v>-313787</v>
      </c>
      <c r="F67" s="161">
        <f t="shared" si="3"/>
        <v>-4.1719710375036911E-2</v>
      </c>
    </row>
    <row r="68" spans="1:6" ht="15" customHeight="1" x14ac:dyDescent="0.2">
      <c r="A68" s="147">
        <v>7</v>
      </c>
      <c r="B68" s="160" t="s">
        <v>203</v>
      </c>
      <c r="C68" s="157">
        <v>8743648</v>
      </c>
      <c r="D68" s="157">
        <v>11189374</v>
      </c>
      <c r="E68" s="157">
        <f t="shared" si="2"/>
        <v>2445726</v>
      </c>
      <c r="F68" s="161">
        <f t="shared" si="3"/>
        <v>0.27971459967281392</v>
      </c>
    </row>
    <row r="69" spans="1:6" ht="15" customHeight="1" x14ac:dyDescent="0.2">
      <c r="A69" s="147">
        <v>8</v>
      </c>
      <c r="B69" s="160" t="s">
        <v>204</v>
      </c>
      <c r="C69" s="157">
        <v>601453</v>
      </c>
      <c r="D69" s="157">
        <v>666132</v>
      </c>
      <c r="E69" s="157">
        <f t="shared" si="2"/>
        <v>64679</v>
      </c>
      <c r="F69" s="161">
        <f t="shared" si="3"/>
        <v>0.10753791235557891</v>
      </c>
    </row>
    <row r="70" spans="1:6" ht="15" customHeight="1" x14ac:dyDescent="0.2">
      <c r="A70" s="147">
        <v>9</v>
      </c>
      <c r="B70" s="160" t="s">
        <v>205</v>
      </c>
      <c r="C70" s="157">
        <v>498587</v>
      </c>
      <c r="D70" s="157">
        <v>379432</v>
      </c>
      <c r="E70" s="157">
        <f t="shared" si="2"/>
        <v>-119155</v>
      </c>
      <c r="F70" s="161">
        <f t="shared" si="3"/>
        <v>-0.23898537266314604</v>
      </c>
    </row>
    <row r="71" spans="1:6" ht="15" customHeight="1" x14ac:dyDescent="0.2">
      <c r="A71" s="147">
        <v>10</v>
      </c>
      <c r="B71" s="160" t="s">
        <v>206</v>
      </c>
      <c r="C71" s="157">
        <v>30006</v>
      </c>
      <c r="D71" s="157">
        <v>30828</v>
      </c>
      <c r="E71" s="157">
        <f t="shared" si="2"/>
        <v>822</v>
      </c>
      <c r="F71" s="161">
        <f t="shared" si="3"/>
        <v>2.7394521095780843E-2</v>
      </c>
    </row>
    <row r="72" spans="1:6" ht="15" customHeight="1" x14ac:dyDescent="0.2">
      <c r="A72" s="147">
        <v>11</v>
      </c>
      <c r="B72" s="160" t="s">
        <v>207</v>
      </c>
      <c r="C72" s="157">
        <v>402746</v>
      </c>
      <c r="D72" s="157">
        <v>594192</v>
      </c>
      <c r="E72" s="157">
        <f t="shared" si="2"/>
        <v>191446</v>
      </c>
      <c r="F72" s="161">
        <f t="shared" si="3"/>
        <v>0.47535171050736691</v>
      </c>
    </row>
    <row r="73" spans="1:6" ht="15" customHeight="1" x14ac:dyDescent="0.2">
      <c r="A73" s="147">
        <v>12</v>
      </c>
      <c r="B73" s="160" t="s">
        <v>208</v>
      </c>
      <c r="C73" s="157">
        <v>798970</v>
      </c>
      <c r="D73" s="157">
        <v>643660</v>
      </c>
      <c r="E73" s="157">
        <f t="shared" si="2"/>
        <v>-155310</v>
      </c>
      <c r="F73" s="161">
        <f t="shared" si="3"/>
        <v>-0.19438777425935894</v>
      </c>
    </row>
    <row r="74" spans="1:6" ht="15" customHeight="1" x14ac:dyDescent="0.2">
      <c r="A74" s="147">
        <v>13</v>
      </c>
      <c r="B74" s="160" t="s">
        <v>209</v>
      </c>
      <c r="C74" s="157">
        <v>262006</v>
      </c>
      <c r="D74" s="157">
        <v>224341</v>
      </c>
      <c r="E74" s="157">
        <f t="shared" si="2"/>
        <v>-37665</v>
      </c>
      <c r="F74" s="161">
        <f t="shared" si="3"/>
        <v>-0.14375624985687352</v>
      </c>
    </row>
    <row r="75" spans="1:6" ht="15" customHeight="1" x14ac:dyDescent="0.2">
      <c r="A75" s="147">
        <v>14</v>
      </c>
      <c r="B75" s="160" t="s">
        <v>210</v>
      </c>
      <c r="C75" s="157">
        <v>298562</v>
      </c>
      <c r="D75" s="157">
        <v>225997</v>
      </c>
      <c r="E75" s="157">
        <f t="shared" si="2"/>
        <v>-72565</v>
      </c>
      <c r="F75" s="161">
        <f t="shared" si="3"/>
        <v>-0.2430483450673562</v>
      </c>
    </row>
    <row r="76" spans="1:6" ht="15" customHeight="1" x14ac:dyDescent="0.2">
      <c r="A76" s="147">
        <v>15</v>
      </c>
      <c r="B76" s="160" t="s">
        <v>211</v>
      </c>
      <c r="C76" s="157">
        <v>1741055</v>
      </c>
      <c r="D76" s="157">
        <v>1525928</v>
      </c>
      <c r="E76" s="157">
        <f t="shared" si="2"/>
        <v>-215127</v>
      </c>
      <c r="F76" s="161">
        <f t="shared" si="3"/>
        <v>-0.12356128898857302</v>
      </c>
    </row>
    <row r="77" spans="1:6" ht="15" customHeight="1" x14ac:dyDescent="0.2">
      <c r="A77" s="147">
        <v>16</v>
      </c>
      <c r="B77" s="160" t="s">
        <v>212</v>
      </c>
      <c r="C77" s="157">
        <v>0</v>
      </c>
      <c r="D77" s="157">
        <v>0</v>
      </c>
      <c r="E77" s="157">
        <f t="shared" si="2"/>
        <v>0</v>
      </c>
      <c r="F77" s="161">
        <f t="shared" si="3"/>
        <v>0</v>
      </c>
    </row>
    <row r="78" spans="1:6" ht="15" customHeight="1" x14ac:dyDescent="0.2">
      <c r="A78" s="147">
        <v>17</v>
      </c>
      <c r="B78" s="160" t="s">
        <v>213</v>
      </c>
      <c r="C78" s="157">
        <v>0</v>
      </c>
      <c r="D78" s="157">
        <v>0</v>
      </c>
      <c r="E78" s="157">
        <f t="shared" si="2"/>
        <v>0</v>
      </c>
      <c r="F78" s="161">
        <f t="shared" si="3"/>
        <v>0</v>
      </c>
    </row>
    <row r="79" spans="1:6" ht="15" customHeight="1" x14ac:dyDescent="0.2">
      <c r="A79" s="147">
        <v>18</v>
      </c>
      <c r="B79" s="160" t="s">
        <v>214</v>
      </c>
      <c r="C79" s="157">
        <v>13054</v>
      </c>
      <c r="D79" s="157">
        <v>500396</v>
      </c>
      <c r="E79" s="157">
        <f t="shared" si="2"/>
        <v>487342</v>
      </c>
      <c r="F79" s="161">
        <f t="shared" si="3"/>
        <v>37.332771564271489</v>
      </c>
    </row>
    <row r="80" spans="1:6" ht="15" customHeight="1" x14ac:dyDescent="0.2">
      <c r="A80" s="147">
        <v>19</v>
      </c>
      <c r="B80" s="160" t="s">
        <v>215</v>
      </c>
      <c r="C80" s="157">
        <v>173816</v>
      </c>
      <c r="D80" s="157">
        <v>184417</v>
      </c>
      <c r="E80" s="157">
        <f t="shared" si="2"/>
        <v>10601</v>
      </c>
      <c r="F80" s="161">
        <f t="shared" si="3"/>
        <v>6.0989782298522574E-2</v>
      </c>
    </row>
    <row r="81" spans="1:6" ht="15" customHeight="1" x14ac:dyDescent="0.2">
      <c r="A81" s="147">
        <v>20</v>
      </c>
      <c r="B81" s="160" t="s">
        <v>216</v>
      </c>
      <c r="C81" s="157">
        <v>0</v>
      </c>
      <c r="D81" s="157">
        <v>0</v>
      </c>
      <c r="E81" s="157">
        <f t="shared" si="2"/>
        <v>0</v>
      </c>
      <c r="F81" s="161">
        <f t="shared" si="3"/>
        <v>0</v>
      </c>
    </row>
    <row r="82" spans="1:6" ht="15" customHeight="1" x14ac:dyDescent="0.2">
      <c r="A82" s="147">
        <v>21</v>
      </c>
      <c r="B82" s="160" t="s">
        <v>217</v>
      </c>
      <c r="C82" s="157">
        <v>2238990</v>
      </c>
      <c r="D82" s="157">
        <v>1645686</v>
      </c>
      <c r="E82" s="157">
        <f t="shared" si="2"/>
        <v>-593304</v>
      </c>
      <c r="F82" s="161">
        <f t="shared" si="3"/>
        <v>-0.26498733804081304</v>
      </c>
    </row>
    <row r="83" spans="1:6" ht="15" customHeight="1" x14ac:dyDescent="0.2">
      <c r="A83" s="147">
        <v>22</v>
      </c>
      <c r="B83" s="160" t="s">
        <v>218</v>
      </c>
      <c r="C83" s="157">
        <v>82433</v>
      </c>
      <c r="D83" s="157">
        <v>101834</v>
      </c>
      <c r="E83" s="157">
        <f t="shared" si="2"/>
        <v>19401</v>
      </c>
      <c r="F83" s="161">
        <f t="shared" si="3"/>
        <v>0.23535477296713694</v>
      </c>
    </row>
    <row r="84" spans="1:6" ht="15" customHeight="1" x14ac:dyDescent="0.2">
      <c r="A84" s="147">
        <v>23</v>
      </c>
      <c r="B84" s="160" t="s">
        <v>219</v>
      </c>
      <c r="C84" s="157">
        <v>0</v>
      </c>
      <c r="D84" s="157">
        <v>0</v>
      </c>
      <c r="E84" s="157">
        <f t="shared" si="2"/>
        <v>0</v>
      </c>
      <c r="F84" s="161">
        <f t="shared" si="3"/>
        <v>0</v>
      </c>
    </row>
    <row r="85" spans="1:6" ht="15" customHeight="1" x14ac:dyDescent="0.2">
      <c r="A85" s="147">
        <v>24</v>
      </c>
      <c r="B85" s="160" t="s">
        <v>220</v>
      </c>
      <c r="C85" s="157">
        <v>3960765</v>
      </c>
      <c r="D85" s="157">
        <v>3989343</v>
      </c>
      <c r="E85" s="157">
        <f t="shared" si="2"/>
        <v>28578</v>
      </c>
      <c r="F85" s="161">
        <f t="shared" si="3"/>
        <v>7.2152728071471044E-3</v>
      </c>
    </row>
    <row r="86" spans="1:6" ht="15" customHeight="1" x14ac:dyDescent="0.2">
      <c r="A86" s="147">
        <v>25</v>
      </c>
      <c r="B86" s="160" t="s">
        <v>221</v>
      </c>
      <c r="C86" s="157">
        <v>83146</v>
      </c>
      <c r="D86" s="157">
        <v>66096</v>
      </c>
      <c r="E86" s="157">
        <f t="shared" si="2"/>
        <v>-17050</v>
      </c>
      <c r="F86" s="161">
        <f t="shared" si="3"/>
        <v>-0.20506097707646789</v>
      </c>
    </row>
    <row r="87" spans="1:6" ht="15" customHeight="1" x14ac:dyDescent="0.2">
      <c r="A87" s="147">
        <v>26</v>
      </c>
      <c r="B87" s="160" t="s">
        <v>222</v>
      </c>
      <c r="C87" s="157">
        <v>0</v>
      </c>
      <c r="D87" s="157">
        <v>0</v>
      </c>
      <c r="E87" s="157">
        <f t="shared" si="2"/>
        <v>0</v>
      </c>
      <c r="F87" s="161">
        <f t="shared" si="3"/>
        <v>0</v>
      </c>
    </row>
    <row r="88" spans="1:6" ht="15" customHeight="1" x14ac:dyDescent="0.2">
      <c r="A88" s="147">
        <v>27</v>
      </c>
      <c r="B88" s="160" t="s">
        <v>223</v>
      </c>
      <c r="C88" s="157">
        <v>0</v>
      </c>
      <c r="D88" s="157">
        <v>0</v>
      </c>
      <c r="E88" s="157">
        <f t="shared" si="2"/>
        <v>0</v>
      </c>
      <c r="F88" s="161">
        <f t="shared" si="3"/>
        <v>0</v>
      </c>
    </row>
    <row r="89" spans="1:6" ht="15" customHeight="1" x14ac:dyDescent="0.2">
      <c r="A89" s="147">
        <v>28</v>
      </c>
      <c r="B89" s="160" t="s">
        <v>224</v>
      </c>
      <c r="C89" s="157">
        <v>34313934</v>
      </c>
      <c r="D89" s="157">
        <v>33840447</v>
      </c>
      <c r="E89" s="157">
        <f t="shared" si="2"/>
        <v>-473487</v>
      </c>
      <c r="F89" s="161">
        <f t="shared" si="3"/>
        <v>-1.379868015133444E-2</v>
      </c>
    </row>
    <row r="90" spans="1:6" ht="15.75" customHeight="1" x14ac:dyDescent="0.25">
      <c r="A90" s="147"/>
      <c r="B90" s="162" t="s">
        <v>225</v>
      </c>
      <c r="C90" s="158">
        <f>SUM(C62:C89)</f>
        <v>73251727</v>
      </c>
      <c r="D90" s="158">
        <f>SUM(D62:D89)</f>
        <v>71486501</v>
      </c>
      <c r="E90" s="158">
        <f t="shared" si="2"/>
        <v>-1765226</v>
      </c>
      <c r="F90" s="159">
        <f t="shared" si="3"/>
        <v>-2.4098080308741391E-2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0</v>
      </c>
      <c r="D93" s="157">
        <v>0</v>
      </c>
      <c r="E93" s="157">
        <f>+D93-C93</f>
        <v>0</v>
      </c>
      <c r="F93" s="161">
        <f>IF(C93=0,0,E93/C93)</f>
        <v>0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361951445</v>
      </c>
      <c r="D95" s="158">
        <f>+D93+D90+D59+D50+D47+D44+D41+D35+D30+D24+D18</f>
        <v>338981125</v>
      </c>
      <c r="E95" s="158">
        <f>+D95-C95</f>
        <v>-22970320</v>
      </c>
      <c r="F95" s="159">
        <f>IF(C95=0,0,E95/C95)</f>
        <v>-6.3462434857802549E-2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88069359</v>
      </c>
      <c r="D103" s="157">
        <v>94249511</v>
      </c>
      <c r="E103" s="157">
        <f t="shared" ref="E103:E121" si="4">D103-C103</f>
        <v>6180152</v>
      </c>
      <c r="F103" s="161">
        <f t="shared" ref="F103:F121" si="5">IF(C103=0,0,E103/C103)</f>
        <v>7.0173691169933466E-2</v>
      </c>
    </row>
    <row r="104" spans="1:6" ht="15" customHeight="1" x14ac:dyDescent="0.2">
      <c r="A104" s="147">
        <v>2</v>
      </c>
      <c r="B104" s="169" t="s">
        <v>234</v>
      </c>
      <c r="C104" s="157">
        <v>3819925</v>
      </c>
      <c r="D104" s="157">
        <v>3391623</v>
      </c>
      <c r="E104" s="157">
        <f t="shared" si="4"/>
        <v>-428302</v>
      </c>
      <c r="F104" s="161">
        <f t="shared" si="5"/>
        <v>-0.1121231437790009</v>
      </c>
    </row>
    <row r="105" spans="1:6" ht="15" customHeight="1" x14ac:dyDescent="0.2">
      <c r="A105" s="147">
        <v>3</v>
      </c>
      <c r="B105" s="169" t="s">
        <v>235</v>
      </c>
      <c r="C105" s="157">
        <v>6014450</v>
      </c>
      <c r="D105" s="157">
        <v>4923487</v>
      </c>
      <c r="E105" s="157">
        <f t="shared" si="4"/>
        <v>-1090963</v>
      </c>
      <c r="F105" s="161">
        <f t="shared" si="5"/>
        <v>-0.18139031831672056</v>
      </c>
    </row>
    <row r="106" spans="1:6" ht="15" customHeight="1" x14ac:dyDescent="0.2">
      <c r="A106" s="147">
        <v>4</v>
      </c>
      <c r="B106" s="169" t="s">
        <v>236</v>
      </c>
      <c r="C106" s="157">
        <v>1976158</v>
      </c>
      <c r="D106" s="157">
        <v>1945928</v>
      </c>
      <c r="E106" s="157">
        <f t="shared" si="4"/>
        <v>-30230</v>
      </c>
      <c r="F106" s="161">
        <f t="shared" si="5"/>
        <v>-1.5297359826491606E-2</v>
      </c>
    </row>
    <row r="107" spans="1:6" ht="15" customHeight="1" x14ac:dyDescent="0.2">
      <c r="A107" s="147">
        <v>5</v>
      </c>
      <c r="B107" s="169" t="s">
        <v>237</v>
      </c>
      <c r="C107" s="157">
        <v>11636066</v>
      </c>
      <c r="D107" s="157">
        <v>12630144</v>
      </c>
      <c r="E107" s="157">
        <f t="shared" si="4"/>
        <v>994078</v>
      </c>
      <c r="F107" s="161">
        <f t="shared" si="5"/>
        <v>8.543076328374212E-2</v>
      </c>
    </row>
    <row r="108" spans="1:6" ht="15" customHeight="1" x14ac:dyDescent="0.2">
      <c r="A108" s="147">
        <v>6</v>
      </c>
      <c r="B108" s="169" t="s">
        <v>238</v>
      </c>
      <c r="C108" s="157">
        <v>186334</v>
      </c>
      <c r="D108" s="157">
        <v>170333</v>
      </c>
      <c r="E108" s="157">
        <f t="shared" si="4"/>
        <v>-16001</v>
      </c>
      <c r="F108" s="161">
        <f t="shared" si="5"/>
        <v>-8.5872680240857813E-2</v>
      </c>
    </row>
    <row r="109" spans="1:6" ht="15" customHeight="1" x14ac:dyDescent="0.2">
      <c r="A109" s="147">
        <v>7</v>
      </c>
      <c r="B109" s="169" t="s">
        <v>239</v>
      </c>
      <c r="C109" s="157">
        <v>4144062</v>
      </c>
      <c r="D109" s="157">
        <v>5038613</v>
      </c>
      <c r="E109" s="157">
        <f t="shared" si="4"/>
        <v>894551</v>
      </c>
      <c r="F109" s="161">
        <f t="shared" si="5"/>
        <v>0.21586332443867876</v>
      </c>
    </row>
    <row r="110" spans="1:6" ht="15" customHeight="1" x14ac:dyDescent="0.2">
      <c r="A110" s="147">
        <v>8</v>
      </c>
      <c r="B110" s="169" t="s">
        <v>240</v>
      </c>
      <c r="C110" s="157">
        <v>3852475</v>
      </c>
      <c r="D110" s="157">
        <v>3479778</v>
      </c>
      <c r="E110" s="157">
        <f t="shared" si="4"/>
        <v>-372697</v>
      </c>
      <c r="F110" s="161">
        <f t="shared" si="5"/>
        <v>-9.6742224154601916E-2</v>
      </c>
    </row>
    <row r="111" spans="1:6" ht="15" customHeight="1" x14ac:dyDescent="0.2">
      <c r="A111" s="147">
        <v>9</v>
      </c>
      <c r="B111" s="169" t="s">
        <v>241</v>
      </c>
      <c r="C111" s="157">
        <v>1431099</v>
      </c>
      <c r="D111" s="157">
        <v>1428342</v>
      </c>
      <c r="E111" s="157">
        <f t="shared" si="4"/>
        <v>-2757</v>
      </c>
      <c r="F111" s="161">
        <f t="shared" si="5"/>
        <v>-1.926491458662189E-3</v>
      </c>
    </row>
    <row r="112" spans="1:6" ht="15" customHeight="1" x14ac:dyDescent="0.2">
      <c r="A112" s="147">
        <v>10</v>
      </c>
      <c r="B112" s="169" t="s">
        <v>242</v>
      </c>
      <c r="C112" s="157">
        <v>5497126</v>
      </c>
      <c r="D112" s="157">
        <v>5922668</v>
      </c>
      <c r="E112" s="157">
        <f t="shared" si="4"/>
        <v>425542</v>
      </c>
      <c r="F112" s="161">
        <f t="shared" si="5"/>
        <v>7.7411723871710414E-2</v>
      </c>
    </row>
    <row r="113" spans="1:6" ht="15" customHeight="1" x14ac:dyDescent="0.2">
      <c r="A113" s="147">
        <v>11</v>
      </c>
      <c r="B113" s="169" t="s">
        <v>243</v>
      </c>
      <c r="C113" s="157">
        <v>4047868</v>
      </c>
      <c r="D113" s="157">
        <v>4221783</v>
      </c>
      <c r="E113" s="157">
        <f t="shared" si="4"/>
        <v>173915</v>
      </c>
      <c r="F113" s="161">
        <f t="shared" si="5"/>
        <v>4.2964592718932534E-2</v>
      </c>
    </row>
    <row r="114" spans="1:6" ht="15" customHeight="1" x14ac:dyDescent="0.2">
      <c r="A114" s="147">
        <v>12</v>
      </c>
      <c r="B114" s="169" t="s">
        <v>244</v>
      </c>
      <c r="C114" s="157">
        <v>1228526</v>
      </c>
      <c r="D114" s="157">
        <v>1280846</v>
      </c>
      <c r="E114" s="157">
        <f t="shared" si="4"/>
        <v>52320</v>
      </c>
      <c r="F114" s="161">
        <f t="shared" si="5"/>
        <v>4.2587621263204846E-2</v>
      </c>
    </row>
    <row r="115" spans="1:6" ht="15" customHeight="1" x14ac:dyDescent="0.2">
      <c r="A115" s="147">
        <v>13</v>
      </c>
      <c r="B115" s="169" t="s">
        <v>245</v>
      </c>
      <c r="C115" s="157">
        <v>4213392</v>
      </c>
      <c r="D115" s="157">
        <v>3894299</v>
      </c>
      <c r="E115" s="157">
        <f t="shared" si="4"/>
        <v>-319093</v>
      </c>
      <c r="F115" s="161">
        <f t="shared" si="5"/>
        <v>-7.573304359053229E-2</v>
      </c>
    </row>
    <row r="116" spans="1:6" ht="15" customHeight="1" x14ac:dyDescent="0.2">
      <c r="A116" s="147">
        <v>14</v>
      </c>
      <c r="B116" s="169" t="s">
        <v>246</v>
      </c>
      <c r="C116" s="157">
        <v>1409701</v>
      </c>
      <c r="D116" s="157">
        <v>1391854</v>
      </c>
      <c r="E116" s="157">
        <f t="shared" si="4"/>
        <v>-17847</v>
      </c>
      <c r="F116" s="161">
        <f t="shared" si="5"/>
        <v>-1.2660131474688604E-2</v>
      </c>
    </row>
    <row r="117" spans="1:6" ht="15" customHeight="1" x14ac:dyDescent="0.2">
      <c r="A117" s="147">
        <v>15</v>
      </c>
      <c r="B117" s="169" t="s">
        <v>203</v>
      </c>
      <c r="C117" s="157">
        <v>5314850</v>
      </c>
      <c r="D117" s="157">
        <v>4848204</v>
      </c>
      <c r="E117" s="157">
        <f t="shared" si="4"/>
        <v>-466646</v>
      </c>
      <c r="F117" s="161">
        <f t="shared" si="5"/>
        <v>-8.7800408289979967E-2</v>
      </c>
    </row>
    <row r="118" spans="1:6" ht="15" customHeight="1" x14ac:dyDescent="0.2">
      <c r="A118" s="147">
        <v>16</v>
      </c>
      <c r="B118" s="169" t="s">
        <v>247</v>
      </c>
      <c r="C118" s="157">
        <v>1970227</v>
      </c>
      <c r="D118" s="157">
        <v>1881142</v>
      </c>
      <c r="E118" s="157">
        <f t="shared" si="4"/>
        <v>-89085</v>
      </c>
      <c r="F118" s="161">
        <f t="shared" si="5"/>
        <v>-4.5215602060067188E-2</v>
      </c>
    </row>
    <row r="119" spans="1:6" ht="15" customHeight="1" x14ac:dyDescent="0.2">
      <c r="A119" s="147">
        <v>17</v>
      </c>
      <c r="B119" s="169" t="s">
        <v>248</v>
      </c>
      <c r="C119" s="157">
        <v>11202142</v>
      </c>
      <c r="D119" s="157">
        <v>11316918</v>
      </c>
      <c r="E119" s="157">
        <f t="shared" si="4"/>
        <v>114776</v>
      </c>
      <c r="F119" s="161">
        <f t="shared" si="5"/>
        <v>1.0245897614938286E-2</v>
      </c>
    </row>
    <row r="120" spans="1:6" ht="15" customHeight="1" x14ac:dyDescent="0.2">
      <c r="A120" s="147">
        <v>18</v>
      </c>
      <c r="B120" s="169" t="s">
        <v>249</v>
      </c>
      <c r="C120" s="157">
        <v>11324779</v>
      </c>
      <c r="D120" s="157">
        <v>12033949</v>
      </c>
      <c r="E120" s="157">
        <f t="shared" si="4"/>
        <v>709170</v>
      </c>
      <c r="F120" s="161">
        <f t="shared" si="5"/>
        <v>6.2621089559451892E-2</v>
      </c>
    </row>
    <row r="121" spans="1:6" ht="15.75" customHeight="1" x14ac:dyDescent="0.25">
      <c r="A121" s="147"/>
      <c r="B121" s="165" t="s">
        <v>250</v>
      </c>
      <c r="C121" s="158">
        <f>SUM(C103:C120)</f>
        <v>167338539</v>
      </c>
      <c r="D121" s="158">
        <f>SUM(D103:D120)</f>
        <v>174049422</v>
      </c>
      <c r="E121" s="158">
        <f t="shared" si="4"/>
        <v>6710883</v>
      </c>
      <c r="F121" s="159">
        <f t="shared" si="5"/>
        <v>4.0103630879674404E-2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4397936</v>
      </c>
      <c r="D124" s="157">
        <v>3905701</v>
      </c>
      <c r="E124" s="157">
        <f t="shared" ref="E124:E130" si="6">D124-C124</f>
        <v>-492235</v>
      </c>
      <c r="F124" s="161">
        <f t="shared" ref="F124:F130" si="7">IF(C124=0,0,E124/C124)</f>
        <v>-0.11192409348385242</v>
      </c>
    </row>
    <row r="125" spans="1:6" ht="15" customHeight="1" x14ac:dyDescent="0.2">
      <c r="A125" s="147">
        <v>2</v>
      </c>
      <c r="B125" s="169" t="s">
        <v>253</v>
      </c>
      <c r="C125" s="157">
        <v>5641573</v>
      </c>
      <c r="D125" s="157">
        <v>4840127</v>
      </c>
      <c r="E125" s="157">
        <f t="shared" si="6"/>
        <v>-801446</v>
      </c>
      <c r="F125" s="161">
        <f t="shared" si="7"/>
        <v>-0.14206073377052819</v>
      </c>
    </row>
    <row r="126" spans="1:6" ht="15" customHeight="1" x14ac:dyDescent="0.2">
      <c r="A126" s="147">
        <v>3</v>
      </c>
      <c r="B126" s="169" t="s">
        <v>254</v>
      </c>
      <c r="C126" s="157">
        <v>3978631</v>
      </c>
      <c r="D126" s="157">
        <v>4566498</v>
      </c>
      <c r="E126" s="157">
        <f t="shared" si="6"/>
        <v>587867</v>
      </c>
      <c r="F126" s="161">
        <f t="shared" si="7"/>
        <v>0.14775610002536049</v>
      </c>
    </row>
    <row r="127" spans="1:6" ht="15" customHeight="1" x14ac:dyDescent="0.2">
      <c r="A127" s="147">
        <v>4</v>
      </c>
      <c r="B127" s="169" t="s">
        <v>255</v>
      </c>
      <c r="C127" s="157">
        <v>2548711</v>
      </c>
      <c r="D127" s="157">
        <v>2905119</v>
      </c>
      <c r="E127" s="157">
        <f t="shared" si="6"/>
        <v>356408</v>
      </c>
      <c r="F127" s="161">
        <f t="shared" si="7"/>
        <v>0.13983853014327635</v>
      </c>
    </row>
    <row r="128" spans="1:6" ht="15" customHeight="1" x14ac:dyDescent="0.2">
      <c r="A128" s="147">
        <v>5</v>
      </c>
      <c r="B128" s="169" t="s">
        <v>256</v>
      </c>
      <c r="C128" s="157">
        <v>3451617</v>
      </c>
      <c r="D128" s="157">
        <v>2502103</v>
      </c>
      <c r="E128" s="157">
        <f t="shared" si="6"/>
        <v>-949514</v>
      </c>
      <c r="F128" s="161">
        <f t="shared" si="7"/>
        <v>-0.27509251460981909</v>
      </c>
    </row>
    <row r="129" spans="1:6" ht="15" customHeight="1" x14ac:dyDescent="0.2">
      <c r="A129" s="147">
        <v>6</v>
      </c>
      <c r="B129" s="169" t="s">
        <v>257</v>
      </c>
      <c r="C129" s="157">
        <v>970674</v>
      </c>
      <c r="D129" s="157">
        <v>936430</v>
      </c>
      <c r="E129" s="157">
        <f t="shared" si="6"/>
        <v>-34244</v>
      </c>
      <c r="F129" s="161">
        <f t="shared" si="7"/>
        <v>-3.5278579626115462E-2</v>
      </c>
    </row>
    <row r="130" spans="1:6" ht="15.75" customHeight="1" x14ac:dyDescent="0.25">
      <c r="A130" s="147"/>
      <c r="B130" s="165" t="s">
        <v>258</v>
      </c>
      <c r="C130" s="158">
        <f>SUM(C124:C129)</f>
        <v>20989142</v>
      </c>
      <c r="D130" s="158">
        <f>SUM(D124:D129)</f>
        <v>19655978</v>
      </c>
      <c r="E130" s="158">
        <f t="shared" si="6"/>
        <v>-1333164</v>
      </c>
      <c r="F130" s="159">
        <f t="shared" si="7"/>
        <v>-6.351684123152819E-2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11673608</v>
      </c>
      <c r="D133" s="157">
        <v>10804653</v>
      </c>
      <c r="E133" s="157">
        <f t="shared" ref="E133:E167" si="8">D133-C133</f>
        <v>-868955</v>
      </c>
      <c r="F133" s="161">
        <f t="shared" ref="F133:F167" si="9">IF(C133=0,0,E133/C133)</f>
        <v>-7.4437568916139729E-2</v>
      </c>
    </row>
    <row r="134" spans="1:6" ht="15" customHeight="1" x14ac:dyDescent="0.2">
      <c r="A134" s="147">
        <v>2</v>
      </c>
      <c r="B134" s="169" t="s">
        <v>261</v>
      </c>
      <c r="C134" s="157">
        <v>2383176</v>
      </c>
      <c r="D134" s="157">
        <v>2204677</v>
      </c>
      <c r="E134" s="157">
        <f t="shared" si="8"/>
        <v>-178499</v>
      </c>
      <c r="F134" s="161">
        <f t="shared" si="9"/>
        <v>-7.4899629737795279E-2</v>
      </c>
    </row>
    <row r="135" spans="1:6" ht="15" customHeight="1" x14ac:dyDescent="0.2">
      <c r="A135" s="147">
        <v>3</v>
      </c>
      <c r="B135" s="169" t="s">
        <v>262</v>
      </c>
      <c r="C135" s="157">
        <v>1471572</v>
      </c>
      <c r="D135" s="157">
        <v>1058315</v>
      </c>
      <c r="E135" s="157">
        <f t="shared" si="8"/>
        <v>-413257</v>
      </c>
      <c r="F135" s="161">
        <f t="shared" si="9"/>
        <v>-0.28082689803828831</v>
      </c>
    </row>
    <row r="136" spans="1:6" ht="15" customHeight="1" x14ac:dyDescent="0.2">
      <c r="A136" s="147">
        <v>4</v>
      </c>
      <c r="B136" s="169" t="s">
        <v>263</v>
      </c>
      <c r="C136" s="157">
        <v>3357516</v>
      </c>
      <c r="D136" s="157">
        <v>3752523</v>
      </c>
      <c r="E136" s="157">
        <f t="shared" si="8"/>
        <v>395007</v>
      </c>
      <c r="F136" s="161">
        <f t="shared" si="9"/>
        <v>0.11764858305961907</v>
      </c>
    </row>
    <row r="137" spans="1:6" ht="15" customHeight="1" x14ac:dyDescent="0.2">
      <c r="A137" s="147">
        <v>5</v>
      </c>
      <c r="B137" s="169" t="s">
        <v>264</v>
      </c>
      <c r="C137" s="157">
        <v>15503157</v>
      </c>
      <c r="D137" s="157">
        <v>15950008</v>
      </c>
      <c r="E137" s="157">
        <f t="shared" si="8"/>
        <v>446851</v>
      </c>
      <c r="F137" s="161">
        <f t="shared" si="9"/>
        <v>2.8823226133877118E-2</v>
      </c>
    </row>
    <row r="138" spans="1:6" ht="15" customHeight="1" x14ac:dyDescent="0.2">
      <c r="A138" s="147">
        <v>6</v>
      </c>
      <c r="B138" s="169" t="s">
        <v>265</v>
      </c>
      <c r="C138" s="157">
        <v>973986</v>
      </c>
      <c r="D138" s="157">
        <v>1019469</v>
      </c>
      <c r="E138" s="157">
        <f t="shared" si="8"/>
        <v>45483</v>
      </c>
      <c r="F138" s="161">
        <f t="shared" si="9"/>
        <v>4.6697796477567437E-2</v>
      </c>
    </row>
    <row r="139" spans="1:6" ht="15" customHeight="1" x14ac:dyDescent="0.2">
      <c r="A139" s="147">
        <v>7</v>
      </c>
      <c r="B139" s="169" t="s">
        <v>266</v>
      </c>
      <c r="C139" s="157">
        <v>1433886</v>
      </c>
      <c r="D139" s="157">
        <v>1474440</v>
      </c>
      <c r="E139" s="157">
        <f t="shared" si="8"/>
        <v>40554</v>
      </c>
      <c r="F139" s="161">
        <f t="shared" si="9"/>
        <v>2.8282583134224059E-2</v>
      </c>
    </row>
    <row r="140" spans="1:6" ht="15" customHeight="1" x14ac:dyDescent="0.2">
      <c r="A140" s="147">
        <v>8</v>
      </c>
      <c r="B140" s="169" t="s">
        <v>267</v>
      </c>
      <c r="C140" s="157">
        <v>1040729</v>
      </c>
      <c r="D140" s="157">
        <v>941782</v>
      </c>
      <c r="E140" s="157">
        <f t="shared" si="8"/>
        <v>-98947</v>
      </c>
      <c r="F140" s="161">
        <f t="shared" si="9"/>
        <v>-9.5074702444152129E-2</v>
      </c>
    </row>
    <row r="141" spans="1:6" ht="15" customHeight="1" x14ac:dyDescent="0.2">
      <c r="A141" s="147">
        <v>9</v>
      </c>
      <c r="B141" s="169" t="s">
        <v>268</v>
      </c>
      <c r="C141" s="157">
        <v>1525199</v>
      </c>
      <c r="D141" s="157">
        <v>1359926</v>
      </c>
      <c r="E141" s="157">
        <f t="shared" si="8"/>
        <v>-165273</v>
      </c>
      <c r="F141" s="161">
        <f t="shared" si="9"/>
        <v>-0.10836159740466654</v>
      </c>
    </row>
    <row r="142" spans="1:6" ht="15" customHeight="1" x14ac:dyDescent="0.2">
      <c r="A142" s="147">
        <v>10</v>
      </c>
      <c r="B142" s="169" t="s">
        <v>269</v>
      </c>
      <c r="C142" s="157">
        <v>13347659</v>
      </c>
      <c r="D142" s="157">
        <v>13732134</v>
      </c>
      <c r="E142" s="157">
        <f t="shared" si="8"/>
        <v>384475</v>
      </c>
      <c r="F142" s="161">
        <f t="shared" si="9"/>
        <v>2.8804676535413437E-2</v>
      </c>
    </row>
    <row r="143" spans="1:6" ht="15" customHeight="1" x14ac:dyDescent="0.2">
      <c r="A143" s="147">
        <v>11</v>
      </c>
      <c r="B143" s="169" t="s">
        <v>270</v>
      </c>
      <c r="C143" s="157">
        <v>0</v>
      </c>
      <c r="D143" s="157">
        <v>0</v>
      </c>
      <c r="E143" s="157">
        <f t="shared" si="8"/>
        <v>0</v>
      </c>
      <c r="F143" s="161">
        <f t="shared" si="9"/>
        <v>0</v>
      </c>
    </row>
    <row r="144" spans="1:6" ht="15" customHeight="1" x14ac:dyDescent="0.2">
      <c r="A144" s="147">
        <v>12</v>
      </c>
      <c r="B144" s="169" t="s">
        <v>271</v>
      </c>
      <c r="C144" s="157">
        <v>0</v>
      </c>
      <c r="D144" s="157">
        <v>0</v>
      </c>
      <c r="E144" s="157">
        <f t="shared" si="8"/>
        <v>0</v>
      </c>
      <c r="F144" s="161">
        <f t="shared" si="9"/>
        <v>0</v>
      </c>
    </row>
    <row r="145" spans="1:6" ht="15" customHeight="1" x14ac:dyDescent="0.2">
      <c r="A145" s="147">
        <v>13</v>
      </c>
      <c r="B145" s="169" t="s">
        <v>272</v>
      </c>
      <c r="C145" s="157">
        <v>1322079</v>
      </c>
      <c r="D145" s="157">
        <v>1390547</v>
      </c>
      <c r="E145" s="157">
        <f t="shared" si="8"/>
        <v>68468</v>
      </c>
      <c r="F145" s="161">
        <f t="shared" si="9"/>
        <v>5.1788130663901324E-2</v>
      </c>
    </row>
    <row r="146" spans="1:6" ht="15" customHeight="1" x14ac:dyDescent="0.2">
      <c r="A146" s="147">
        <v>14</v>
      </c>
      <c r="B146" s="169" t="s">
        <v>273</v>
      </c>
      <c r="C146" s="157">
        <v>307979</v>
      </c>
      <c r="D146" s="157">
        <v>353600</v>
      </c>
      <c r="E146" s="157">
        <f t="shared" si="8"/>
        <v>45621</v>
      </c>
      <c r="F146" s="161">
        <f t="shared" si="9"/>
        <v>0.14813022965851569</v>
      </c>
    </row>
    <row r="147" spans="1:6" ht="15" customHeight="1" x14ac:dyDescent="0.2">
      <c r="A147" s="147">
        <v>15</v>
      </c>
      <c r="B147" s="169" t="s">
        <v>274</v>
      </c>
      <c r="C147" s="157">
        <v>0</v>
      </c>
      <c r="D147" s="157">
        <v>0</v>
      </c>
      <c r="E147" s="157">
        <f t="shared" si="8"/>
        <v>0</v>
      </c>
      <c r="F147" s="161">
        <f t="shared" si="9"/>
        <v>0</v>
      </c>
    </row>
    <row r="148" spans="1:6" ht="15" customHeight="1" x14ac:dyDescent="0.2">
      <c r="A148" s="147">
        <v>16</v>
      </c>
      <c r="B148" s="169" t="s">
        <v>275</v>
      </c>
      <c r="C148" s="157">
        <v>0</v>
      </c>
      <c r="D148" s="157">
        <v>0</v>
      </c>
      <c r="E148" s="157">
        <f t="shared" si="8"/>
        <v>0</v>
      </c>
      <c r="F148" s="161">
        <f t="shared" si="9"/>
        <v>0</v>
      </c>
    </row>
    <row r="149" spans="1:6" ht="15" customHeight="1" x14ac:dyDescent="0.2">
      <c r="A149" s="147">
        <v>17</v>
      </c>
      <c r="B149" s="169" t="s">
        <v>276</v>
      </c>
      <c r="C149" s="157">
        <v>234557</v>
      </c>
      <c r="D149" s="157">
        <v>248432</v>
      </c>
      <c r="E149" s="157">
        <f t="shared" si="8"/>
        <v>13875</v>
      </c>
      <c r="F149" s="161">
        <f t="shared" si="9"/>
        <v>5.9154064896805469E-2</v>
      </c>
    </row>
    <row r="150" spans="1:6" ht="15" customHeight="1" x14ac:dyDescent="0.2">
      <c r="A150" s="147">
        <v>18</v>
      </c>
      <c r="B150" s="169" t="s">
        <v>277</v>
      </c>
      <c r="C150" s="157">
        <v>2103671</v>
      </c>
      <c r="D150" s="157">
        <v>2072335</v>
      </c>
      <c r="E150" s="157">
        <f t="shared" si="8"/>
        <v>-31336</v>
      </c>
      <c r="F150" s="161">
        <f t="shared" si="9"/>
        <v>-1.4895865370583138E-2</v>
      </c>
    </row>
    <row r="151" spans="1:6" ht="15" customHeight="1" x14ac:dyDescent="0.2">
      <c r="A151" s="147">
        <v>19</v>
      </c>
      <c r="B151" s="169" t="s">
        <v>278</v>
      </c>
      <c r="C151" s="157">
        <v>847815</v>
      </c>
      <c r="D151" s="157">
        <v>931626</v>
      </c>
      <c r="E151" s="157">
        <f t="shared" si="8"/>
        <v>83811</v>
      </c>
      <c r="F151" s="161">
        <f t="shared" si="9"/>
        <v>9.885529272305868E-2</v>
      </c>
    </row>
    <row r="152" spans="1:6" ht="15" customHeight="1" x14ac:dyDescent="0.2">
      <c r="A152" s="147">
        <v>20</v>
      </c>
      <c r="B152" s="169" t="s">
        <v>279</v>
      </c>
      <c r="C152" s="157">
        <v>1153483</v>
      </c>
      <c r="D152" s="157">
        <v>998380</v>
      </c>
      <c r="E152" s="157">
        <f t="shared" si="8"/>
        <v>-155103</v>
      </c>
      <c r="F152" s="161">
        <f t="shared" si="9"/>
        <v>-0.13446492059267454</v>
      </c>
    </row>
    <row r="153" spans="1:6" ht="15" customHeight="1" x14ac:dyDescent="0.2">
      <c r="A153" s="147">
        <v>21</v>
      </c>
      <c r="B153" s="169" t="s">
        <v>280</v>
      </c>
      <c r="C153" s="157">
        <v>0</v>
      </c>
      <c r="D153" s="157">
        <v>0</v>
      </c>
      <c r="E153" s="157">
        <f t="shared" si="8"/>
        <v>0</v>
      </c>
      <c r="F153" s="161">
        <f t="shared" si="9"/>
        <v>0</v>
      </c>
    </row>
    <row r="154" spans="1:6" ht="15" customHeight="1" x14ac:dyDescent="0.2">
      <c r="A154" s="147">
        <v>22</v>
      </c>
      <c r="B154" s="169" t="s">
        <v>281</v>
      </c>
      <c r="C154" s="157">
        <v>3877312</v>
      </c>
      <c r="D154" s="157">
        <v>3771267</v>
      </c>
      <c r="E154" s="157">
        <f t="shared" si="8"/>
        <v>-106045</v>
      </c>
      <c r="F154" s="161">
        <f t="shared" si="9"/>
        <v>-2.7350133288216165E-2</v>
      </c>
    </row>
    <row r="155" spans="1:6" ht="15" customHeight="1" x14ac:dyDescent="0.2">
      <c r="A155" s="147">
        <v>23</v>
      </c>
      <c r="B155" s="169" t="s">
        <v>282</v>
      </c>
      <c r="C155" s="157">
        <v>762763</v>
      </c>
      <c r="D155" s="157">
        <v>697455</v>
      </c>
      <c r="E155" s="157">
        <f t="shared" si="8"/>
        <v>-65308</v>
      </c>
      <c r="F155" s="161">
        <f t="shared" si="9"/>
        <v>-8.5620304078724327E-2</v>
      </c>
    </row>
    <row r="156" spans="1:6" ht="15" customHeight="1" x14ac:dyDescent="0.2">
      <c r="A156" s="147">
        <v>24</v>
      </c>
      <c r="B156" s="169" t="s">
        <v>283</v>
      </c>
      <c r="C156" s="157">
        <v>13434457</v>
      </c>
      <c r="D156" s="157">
        <v>14166852</v>
      </c>
      <c r="E156" s="157">
        <f t="shared" si="8"/>
        <v>732395</v>
      </c>
      <c r="F156" s="161">
        <f t="shared" si="9"/>
        <v>5.4516159454751315E-2</v>
      </c>
    </row>
    <row r="157" spans="1:6" ht="15" customHeight="1" x14ac:dyDescent="0.2">
      <c r="A157" s="147">
        <v>25</v>
      </c>
      <c r="B157" s="169" t="s">
        <v>284</v>
      </c>
      <c r="C157" s="157">
        <v>1386661</v>
      </c>
      <c r="D157" s="157">
        <v>1292110</v>
      </c>
      <c r="E157" s="157">
        <f t="shared" si="8"/>
        <v>-94551</v>
      </c>
      <c r="F157" s="161">
        <f t="shared" si="9"/>
        <v>-6.8186095952795955E-2</v>
      </c>
    </row>
    <row r="158" spans="1:6" ht="15" customHeight="1" x14ac:dyDescent="0.2">
      <c r="A158" s="147">
        <v>26</v>
      </c>
      <c r="B158" s="169" t="s">
        <v>285</v>
      </c>
      <c r="C158" s="157">
        <v>465501</v>
      </c>
      <c r="D158" s="157">
        <v>367698</v>
      </c>
      <c r="E158" s="157">
        <f t="shared" si="8"/>
        <v>-97803</v>
      </c>
      <c r="F158" s="161">
        <f t="shared" si="9"/>
        <v>-0.21010266358181831</v>
      </c>
    </row>
    <row r="159" spans="1:6" ht="15" customHeight="1" x14ac:dyDescent="0.2">
      <c r="A159" s="147">
        <v>27</v>
      </c>
      <c r="B159" s="169" t="s">
        <v>286</v>
      </c>
      <c r="C159" s="157">
        <v>0</v>
      </c>
      <c r="D159" s="157">
        <v>0</v>
      </c>
      <c r="E159" s="157">
        <f t="shared" si="8"/>
        <v>0</v>
      </c>
      <c r="F159" s="161">
        <f t="shared" si="9"/>
        <v>0</v>
      </c>
    </row>
    <row r="160" spans="1:6" ht="15" customHeight="1" x14ac:dyDescent="0.2">
      <c r="A160" s="147">
        <v>28</v>
      </c>
      <c r="B160" s="169" t="s">
        <v>287</v>
      </c>
      <c r="C160" s="157">
        <v>3997649</v>
      </c>
      <c r="D160" s="157">
        <v>3141834</v>
      </c>
      <c r="E160" s="157">
        <f t="shared" si="8"/>
        <v>-855815</v>
      </c>
      <c r="F160" s="161">
        <f t="shared" si="9"/>
        <v>-0.21407957527036517</v>
      </c>
    </row>
    <row r="161" spans="1:6" ht="15" customHeight="1" x14ac:dyDescent="0.2">
      <c r="A161" s="147">
        <v>29</v>
      </c>
      <c r="B161" s="169" t="s">
        <v>288</v>
      </c>
      <c r="C161" s="157">
        <v>1510038</v>
      </c>
      <c r="D161" s="157">
        <v>1410653</v>
      </c>
      <c r="E161" s="157">
        <f t="shared" si="8"/>
        <v>-99385</v>
      </c>
      <c r="F161" s="161">
        <f t="shared" si="9"/>
        <v>-6.5816224492363767E-2</v>
      </c>
    </row>
    <row r="162" spans="1:6" ht="15" customHeight="1" x14ac:dyDescent="0.2">
      <c r="A162" s="147">
        <v>30</v>
      </c>
      <c r="B162" s="169" t="s">
        <v>289</v>
      </c>
      <c r="C162" s="157">
        <v>0</v>
      </c>
      <c r="D162" s="157">
        <v>0</v>
      </c>
      <c r="E162" s="157">
        <f t="shared" si="8"/>
        <v>0</v>
      </c>
      <c r="F162" s="161">
        <f t="shared" si="9"/>
        <v>0</v>
      </c>
    </row>
    <row r="163" spans="1:6" ht="15" customHeight="1" x14ac:dyDescent="0.2">
      <c r="A163" s="147">
        <v>31</v>
      </c>
      <c r="B163" s="169" t="s">
        <v>290</v>
      </c>
      <c r="C163" s="157">
        <v>5582670</v>
      </c>
      <c r="D163" s="157">
        <v>5645047</v>
      </c>
      <c r="E163" s="157">
        <f t="shared" si="8"/>
        <v>62377</v>
      </c>
      <c r="F163" s="161">
        <f t="shared" si="9"/>
        <v>1.1173327458008444E-2</v>
      </c>
    </row>
    <row r="164" spans="1:6" ht="15" customHeight="1" x14ac:dyDescent="0.2">
      <c r="A164" s="147">
        <v>32</v>
      </c>
      <c r="B164" s="169" t="s">
        <v>291</v>
      </c>
      <c r="C164" s="157">
        <v>5370862</v>
      </c>
      <c r="D164" s="157">
        <v>5133075</v>
      </c>
      <c r="E164" s="157">
        <f t="shared" si="8"/>
        <v>-237787</v>
      </c>
      <c r="F164" s="161">
        <f t="shared" si="9"/>
        <v>-4.427352629801324E-2</v>
      </c>
    </row>
    <row r="165" spans="1:6" ht="15" customHeight="1" x14ac:dyDescent="0.2">
      <c r="A165" s="147">
        <v>33</v>
      </c>
      <c r="B165" s="169" t="s">
        <v>292</v>
      </c>
      <c r="C165" s="157">
        <v>325308</v>
      </c>
      <c r="D165" s="157">
        <v>334647</v>
      </c>
      <c r="E165" s="157">
        <f t="shared" si="8"/>
        <v>9339</v>
      </c>
      <c r="F165" s="161">
        <f t="shared" si="9"/>
        <v>2.870817809583533E-2</v>
      </c>
    </row>
    <row r="166" spans="1:6" ht="15" customHeight="1" x14ac:dyDescent="0.2">
      <c r="A166" s="147">
        <v>34</v>
      </c>
      <c r="B166" s="169" t="s">
        <v>293</v>
      </c>
      <c r="C166" s="157">
        <v>13319827</v>
      </c>
      <c r="D166" s="157">
        <v>13688782</v>
      </c>
      <c r="E166" s="157">
        <f t="shared" si="8"/>
        <v>368955</v>
      </c>
      <c r="F166" s="161">
        <f t="shared" si="9"/>
        <v>2.7699684087488522E-2</v>
      </c>
    </row>
    <row r="167" spans="1:6" ht="15.75" customHeight="1" x14ac:dyDescent="0.25">
      <c r="A167" s="147"/>
      <c r="B167" s="165" t="s">
        <v>294</v>
      </c>
      <c r="C167" s="158">
        <f>SUM(C133:C166)</f>
        <v>108713120</v>
      </c>
      <c r="D167" s="158">
        <f>SUM(D133:D166)</f>
        <v>107942267</v>
      </c>
      <c r="E167" s="158">
        <f t="shared" si="8"/>
        <v>-770853</v>
      </c>
      <c r="F167" s="159">
        <f t="shared" si="9"/>
        <v>-7.0907080948463255E-3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15493337</v>
      </c>
      <c r="D170" s="157">
        <v>15185736</v>
      </c>
      <c r="E170" s="157">
        <f t="shared" ref="E170:E183" si="10">D170-C170</f>
        <v>-307601</v>
      </c>
      <c r="F170" s="161">
        <f t="shared" ref="F170:F183" si="11">IF(C170=0,0,E170/C170)</f>
        <v>-1.9853760361631584E-2</v>
      </c>
    </row>
    <row r="171" spans="1:6" ht="15" customHeight="1" x14ac:dyDescent="0.2">
      <c r="A171" s="147">
        <v>2</v>
      </c>
      <c r="B171" s="169" t="s">
        <v>297</v>
      </c>
      <c r="C171" s="157">
        <v>4960461</v>
      </c>
      <c r="D171" s="157">
        <v>4619857</v>
      </c>
      <c r="E171" s="157">
        <f t="shared" si="10"/>
        <v>-340604</v>
      </c>
      <c r="F171" s="161">
        <f t="shared" si="11"/>
        <v>-6.8663779435016226E-2</v>
      </c>
    </row>
    <row r="172" spans="1:6" ht="15" customHeight="1" x14ac:dyDescent="0.2">
      <c r="A172" s="147">
        <v>3</v>
      </c>
      <c r="B172" s="169" t="s">
        <v>298</v>
      </c>
      <c r="C172" s="157">
        <v>5099146</v>
      </c>
      <c r="D172" s="157">
        <v>4887068</v>
      </c>
      <c r="E172" s="157">
        <f t="shared" si="10"/>
        <v>-212078</v>
      </c>
      <c r="F172" s="161">
        <f t="shared" si="11"/>
        <v>-4.1590886003264077E-2</v>
      </c>
    </row>
    <row r="173" spans="1:6" ht="15" customHeight="1" x14ac:dyDescent="0.2">
      <c r="A173" s="147">
        <v>4</v>
      </c>
      <c r="B173" s="169" t="s">
        <v>299</v>
      </c>
      <c r="C173" s="157">
        <v>2291511</v>
      </c>
      <c r="D173" s="157">
        <v>2200357</v>
      </c>
      <c r="E173" s="157">
        <f t="shared" si="10"/>
        <v>-91154</v>
      </c>
      <c r="F173" s="161">
        <f t="shared" si="11"/>
        <v>-3.9778992987596393E-2</v>
      </c>
    </row>
    <row r="174" spans="1:6" ht="15" customHeight="1" x14ac:dyDescent="0.2">
      <c r="A174" s="147">
        <v>5</v>
      </c>
      <c r="B174" s="169" t="s">
        <v>300</v>
      </c>
      <c r="C174" s="157">
        <v>1621563</v>
      </c>
      <c r="D174" s="157">
        <v>1493974</v>
      </c>
      <c r="E174" s="157">
        <f t="shared" si="10"/>
        <v>-127589</v>
      </c>
      <c r="F174" s="161">
        <f t="shared" si="11"/>
        <v>-7.8682727713940193E-2</v>
      </c>
    </row>
    <row r="175" spans="1:6" ht="15" customHeight="1" x14ac:dyDescent="0.2">
      <c r="A175" s="147">
        <v>6</v>
      </c>
      <c r="B175" s="169" t="s">
        <v>301</v>
      </c>
      <c r="C175" s="157">
        <v>4496981</v>
      </c>
      <c r="D175" s="157">
        <v>3493950</v>
      </c>
      <c r="E175" s="157">
        <f t="shared" si="10"/>
        <v>-1003031</v>
      </c>
      <c r="F175" s="161">
        <f t="shared" si="11"/>
        <v>-0.22304541646940471</v>
      </c>
    </row>
    <row r="176" spans="1:6" ht="15" customHeight="1" x14ac:dyDescent="0.2">
      <c r="A176" s="147">
        <v>7</v>
      </c>
      <c r="B176" s="169" t="s">
        <v>302</v>
      </c>
      <c r="C176" s="157">
        <v>128202</v>
      </c>
      <c r="D176" s="157">
        <v>123572</v>
      </c>
      <c r="E176" s="157">
        <f t="shared" si="10"/>
        <v>-4630</v>
      </c>
      <c r="F176" s="161">
        <f t="shared" si="11"/>
        <v>-3.6114881203101357E-2</v>
      </c>
    </row>
    <row r="177" spans="1:6" ht="15" customHeight="1" x14ac:dyDescent="0.2">
      <c r="A177" s="147">
        <v>8</v>
      </c>
      <c r="B177" s="169" t="s">
        <v>303</v>
      </c>
      <c r="C177" s="157">
        <v>1996807</v>
      </c>
      <c r="D177" s="157">
        <v>1875805</v>
      </c>
      <c r="E177" s="157">
        <f t="shared" si="10"/>
        <v>-121002</v>
      </c>
      <c r="F177" s="161">
        <f t="shared" si="11"/>
        <v>-6.0597744298772994E-2</v>
      </c>
    </row>
    <row r="178" spans="1:6" ht="15" customHeight="1" x14ac:dyDescent="0.2">
      <c r="A178" s="147">
        <v>9</v>
      </c>
      <c r="B178" s="169" t="s">
        <v>304</v>
      </c>
      <c r="C178" s="157">
        <v>2016523</v>
      </c>
      <c r="D178" s="157">
        <v>1149348</v>
      </c>
      <c r="E178" s="157">
        <f t="shared" si="10"/>
        <v>-867175</v>
      </c>
      <c r="F178" s="161">
        <f t="shared" si="11"/>
        <v>-0.43003476776610033</v>
      </c>
    </row>
    <row r="179" spans="1:6" ht="15" customHeight="1" x14ac:dyDescent="0.2">
      <c r="A179" s="147">
        <v>10</v>
      </c>
      <c r="B179" s="169" t="s">
        <v>305</v>
      </c>
      <c r="C179" s="157">
        <v>1998371</v>
      </c>
      <c r="D179" s="157">
        <v>1833240</v>
      </c>
      <c r="E179" s="157">
        <f t="shared" si="10"/>
        <v>-165131</v>
      </c>
      <c r="F179" s="161">
        <f t="shared" si="11"/>
        <v>-8.2632804419199443E-2</v>
      </c>
    </row>
    <row r="180" spans="1:6" ht="15" customHeight="1" x14ac:dyDescent="0.2">
      <c r="A180" s="147">
        <v>11</v>
      </c>
      <c r="B180" s="169" t="s">
        <v>306</v>
      </c>
      <c r="C180" s="157">
        <v>0</v>
      </c>
      <c r="D180" s="157">
        <v>0</v>
      </c>
      <c r="E180" s="157">
        <f t="shared" si="10"/>
        <v>0</v>
      </c>
      <c r="F180" s="161">
        <f t="shared" si="11"/>
        <v>0</v>
      </c>
    </row>
    <row r="181" spans="1:6" ht="15" customHeight="1" x14ac:dyDescent="0.2">
      <c r="A181" s="147">
        <v>12</v>
      </c>
      <c r="B181" s="169" t="s">
        <v>307</v>
      </c>
      <c r="C181" s="157">
        <v>1277265</v>
      </c>
      <c r="D181" s="157">
        <v>470551</v>
      </c>
      <c r="E181" s="157">
        <f t="shared" si="10"/>
        <v>-806714</v>
      </c>
      <c r="F181" s="161">
        <f t="shared" si="11"/>
        <v>-0.63159485306494734</v>
      </c>
    </row>
    <row r="182" spans="1:6" ht="15" customHeight="1" x14ac:dyDescent="0.2">
      <c r="A182" s="147">
        <v>13</v>
      </c>
      <c r="B182" s="169" t="s">
        <v>308</v>
      </c>
      <c r="C182" s="157">
        <v>0</v>
      </c>
      <c r="D182" s="157">
        <v>0</v>
      </c>
      <c r="E182" s="157">
        <f t="shared" si="10"/>
        <v>0</v>
      </c>
      <c r="F182" s="161">
        <f t="shared" si="11"/>
        <v>0</v>
      </c>
    </row>
    <row r="183" spans="1:6" ht="15.75" customHeight="1" x14ac:dyDescent="0.25">
      <c r="A183" s="147"/>
      <c r="B183" s="165" t="s">
        <v>309</v>
      </c>
      <c r="C183" s="158">
        <f>SUM(C170:C182)</f>
        <v>41380167</v>
      </c>
      <c r="D183" s="158">
        <f>SUM(D170:D182)</f>
        <v>37333458</v>
      </c>
      <c r="E183" s="158">
        <f t="shared" si="10"/>
        <v>-4046709</v>
      </c>
      <c r="F183" s="159">
        <f t="shared" si="11"/>
        <v>-9.7793442931247712E-2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23530477</v>
      </c>
      <c r="D186" s="157">
        <v>0</v>
      </c>
      <c r="E186" s="157">
        <f>D186-C186</f>
        <v>-23530477</v>
      </c>
      <c r="F186" s="161">
        <f>IF(C186=0,0,E186/C186)</f>
        <v>-1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361951445</v>
      </c>
      <c r="D188" s="158">
        <f>+D186+D183+D167+D130+D121</f>
        <v>338981125</v>
      </c>
      <c r="E188" s="158">
        <f>D188-C188</f>
        <v>-22970320</v>
      </c>
      <c r="F188" s="159">
        <f>IF(C188=0,0,E188/C188)</f>
        <v>-6.3462434857802549E-2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rintOptions gridLines="1"/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FILING&amp;RNORWALK HOSPITAL</oddHeader>
    <oddFooter>&amp;LREPORT 100&amp;CPAGE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2"/>
  <sheetViews>
    <sheetView zoomScale="75" zoomScaleSheetLayoutView="75" workbookViewId="0">
      <selection sqref="A1:F1"/>
    </sheetView>
  </sheetViews>
  <sheetFormatPr defaultRowHeight="24" customHeight="1" x14ac:dyDescent="0.2"/>
  <cols>
    <col min="1" max="1" width="8.7109375" style="70" customWidth="1"/>
    <col min="2" max="2" width="60.85546875" style="70" customWidth="1"/>
    <col min="3" max="3" width="21.85546875" style="70" customWidth="1"/>
    <col min="4" max="5" width="21.85546875" style="222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350594448</v>
      </c>
      <c r="D11" s="183">
        <v>363267877</v>
      </c>
      <c r="E11" s="76">
        <v>334131914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12324861</v>
      </c>
      <c r="D12" s="185">
        <v>20310592</v>
      </c>
      <c r="E12" s="185">
        <v>16843048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362919309</v>
      </c>
      <c r="D13" s="76">
        <f>+D11+D12</f>
        <v>383578469</v>
      </c>
      <c r="E13" s="76">
        <f>+E11+E12</f>
        <v>350974962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338475864</v>
      </c>
      <c r="D14" s="185">
        <v>361951445</v>
      </c>
      <c r="E14" s="185">
        <v>338981125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24443445</v>
      </c>
      <c r="D15" s="76">
        <f>+D13-D14</f>
        <v>21627024</v>
      </c>
      <c r="E15" s="76">
        <f>+E13-E14</f>
        <v>11993837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-658476</v>
      </c>
      <c r="D16" s="185">
        <v>7929614</v>
      </c>
      <c r="E16" s="185">
        <v>9816666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23784969</v>
      </c>
      <c r="D17" s="76">
        <f>D15+D16</f>
        <v>29556638</v>
      </c>
      <c r="E17" s="76">
        <f>E15+E16</f>
        <v>21810503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6.7474710963301959E-2</v>
      </c>
      <c r="D20" s="189">
        <f>IF(+D27=0,0,+D24/+D27)</f>
        <v>5.524030010895075E-2</v>
      </c>
      <c r="E20" s="189">
        <f>IF(+E27=0,0,+E24/+E27)</f>
        <v>3.3243113390646638E-2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-1.817684773004428E-3</v>
      </c>
      <c r="D21" s="189">
        <f>IF(D27=0,0,+D26/D27)</f>
        <v>2.0254023720884456E-2</v>
      </c>
      <c r="E21" s="189">
        <f>IF(E27=0,0,+E26/E27)</f>
        <v>2.7208685673826113E-2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6.5657026190297535E-2</v>
      </c>
      <c r="D22" s="189">
        <f>IF(D27=0,0,+D28/D27)</f>
        <v>7.5494323829835203E-2</v>
      </c>
      <c r="E22" s="189">
        <f>IF(E27=0,0,+E28/E27)</f>
        <v>6.0451799064472747E-2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24443445</v>
      </c>
      <c r="D24" s="76">
        <f>+D15</f>
        <v>21627024</v>
      </c>
      <c r="E24" s="76">
        <f>+E15</f>
        <v>11993837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362919309</v>
      </c>
      <c r="D25" s="76">
        <f>+D13</f>
        <v>383578469</v>
      </c>
      <c r="E25" s="76">
        <f>+E13</f>
        <v>350974962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-658476</v>
      </c>
      <c r="D26" s="76">
        <f>+D16</f>
        <v>7929614</v>
      </c>
      <c r="E26" s="76">
        <f>+E16</f>
        <v>9816666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362260833</v>
      </c>
      <c r="D27" s="76">
        <f>+D25+D26</f>
        <v>391508083</v>
      </c>
      <c r="E27" s="76">
        <f>+E25+E26</f>
        <v>360791628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23784969</v>
      </c>
      <c r="D28" s="76">
        <f>+D17</f>
        <v>29556638</v>
      </c>
      <c r="E28" s="76">
        <f>+E17</f>
        <v>21810503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104824797</v>
      </c>
      <c r="D31" s="76">
        <v>123000420</v>
      </c>
      <c r="E31" s="76">
        <v>207578029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135696801</v>
      </c>
      <c r="D32" s="76">
        <v>166692992</v>
      </c>
      <c r="E32" s="76">
        <v>247213116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520163</v>
      </c>
      <c r="D33" s="76">
        <f>+D32-C32</f>
        <v>30996191</v>
      </c>
      <c r="E33" s="76">
        <f>+E32-D32</f>
        <v>80520124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1.0038</v>
      </c>
      <c r="D34" s="193">
        <f>IF(C32=0,0,+D33/C32)</f>
        <v>0.22842241505752225</v>
      </c>
      <c r="E34" s="193">
        <f>IF(D32=0,0,+E33/D32)</f>
        <v>0.48304444616363956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0.39072205837333518</v>
      </c>
      <c r="D38" s="195">
        <f>IF((D40+D41)=0,0,+D39/(D40+D41))</f>
        <v>0.38950127779691218</v>
      </c>
      <c r="E38" s="195">
        <f>IF((E40+E41)=0,0,+E39/(E40+E41))</f>
        <v>0.36440264382238396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338475864</v>
      </c>
      <c r="D39" s="76">
        <v>361951445</v>
      </c>
      <c r="E39" s="196">
        <v>338981125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853958106</v>
      </c>
      <c r="D40" s="76">
        <v>908958362</v>
      </c>
      <c r="E40" s="196">
        <v>913394783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12324861</v>
      </c>
      <c r="D41" s="76">
        <v>20310592</v>
      </c>
      <c r="E41" s="196">
        <v>16843048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1.461407173820737</v>
      </c>
      <c r="D43" s="197">
        <f>IF(D38=0,0,IF((D46-D47)=0,0,((+D44-D45)/(D46-D47)/D38)))</f>
        <v>1.4047821354204526</v>
      </c>
      <c r="E43" s="197">
        <f>IF(E38=0,0,IF((E46-E47)=0,0,((+E44-E45)/(E46-E47)/E38)))</f>
        <v>1.5629140425868648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196641108</v>
      </c>
      <c r="D44" s="76">
        <v>201449788</v>
      </c>
      <c r="E44" s="196">
        <v>201982906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1678857</v>
      </c>
      <c r="D45" s="76">
        <v>2287281</v>
      </c>
      <c r="E45" s="196">
        <v>2853510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371651515</v>
      </c>
      <c r="D46" s="76">
        <v>399177825</v>
      </c>
      <c r="E46" s="196">
        <v>384784752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30213899</v>
      </c>
      <c r="D47" s="76">
        <v>35187599</v>
      </c>
      <c r="E47" s="76">
        <v>35146642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0.706340325270435</v>
      </c>
      <c r="D49" s="198">
        <f>IF(D38=0,0,IF(D51=0,0,(D50/D51)/D38))</f>
        <v>0.67088095440161344</v>
      </c>
      <c r="E49" s="198">
        <f>IF(E38=0,0,IF(E51=0,0,(E50/E51)/E38))</f>
        <v>0.72074072769358688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98031835</v>
      </c>
      <c r="D50" s="199">
        <v>97674768</v>
      </c>
      <c r="E50" s="199">
        <v>100509240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355210014</v>
      </c>
      <c r="D51" s="199">
        <v>373790310</v>
      </c>
      <c r="E51" s="199">
        <v>382688495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0.65005780636658572</v>
      </c>
      <c r="D53" s="198">
        <f>IF(D38=0,0,IF(D55=0,0,(D54/D55)/D38))</f>
        <v>0.68515308935625119</v>
      </c>
      <c r="E53" s="198">
        <f>IF(E38=0,0,IF(E55=0,0,(E54/E55)/E38))</f>
        <v>0.62986815582696765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31672208</v>
      </c>
      <c r="D54" s="199">
        <v>35580788</v>
      </c>
      <c r="E54" s="199">
        <v>33024913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124697697</v>
      </c>
      <c r="D55" s="199">
        <v>133327291</v>
      </c>
      <c r="E55" s="199">
        <v>143883340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14840041.458899671</v>
      </c>
      <c r="D57" s="88">
        <f>+D60*D38</f>
        <v>16148519.268291691</v>
      </c>
      <c r="E57" s="88">
        <f>+E60*E38</f>
        <v>13157866.696854968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17327000</v>
      </c>
      <c r="D58" s="199">
        <v>17929000</v>
      </c>
      <c r="E58" s="199">
        <v>18272000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20654069</v>
      </c>
      <c r="D59" s="199">
        <v>23530477</v>
      </c>
      <c r="E59" s="199">
        <v>17836044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37981069</v>
      </c>
      <c r="D60" s="76">
        <v>41459477</v>
      </c>
      <c r="E60" s="201">
        <v>36108044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4.3843721332223771E-2</v>
      </c>
      <c r="D62" s="202">
        <f>IF(D63=0,0,+D57/D63)</f>
        <v>4.4615153472565061E-2</v>
      </c>
      <c r="E62" s="202">
        <f>IF(E63=0,0,+E57/E63)</f>
        <v>3.8815927278709007E-2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338475864</v>
      </c>
      <c r="D63" s="199">
        <v>361951445</v>
      </c>
      <c r="E63" s="199">
        <v>338981125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2.1345590638850958</v>
      </c>
      <c r="D67" s="203">
        <f>IF(D69=0,0,D68/D69)</f>
        <v>2.2065897186047025</v>
      </c>
      <c r="E67" s="203">
        <f>IF(E69=0,0,E68/E69)</f>
        <v>1.8819330203826345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115124348</v>
      </c>
      <c r="D68" s="204">
        <v>130253153</v>
      </c>
      <c r="E68" s="204">
        <v>117477179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53933550</v>
      </c>
      <c r="D69" s="204">
        <v>59029167</v>
      </c>
      <c r="E69" s="204">
        <v>62423677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80.159021105909545</v>
      </c>
      <c r="D71" s="203">
        <f>IF((D77/365)=0,0,+D74/(D77/365))</f>
        <v>94.62262888988846</v>
      </c>
      <c r="E71" s="203">
        <f>IF((E77/365)=0,0,+E74/(E77/365))</f>
        <v>93.988275223928511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61458676</v>
      </c>
      <c r="D72" s="183">
        <v>79838027</v>
      </c>
      <c r="E72" s="183">
        <v>73750817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8693538</v>
      </c>
      <c r="D73" s="206">
        <v>8710885</v>
      </c>
      <c r="E73" s="206">
        <v>8738868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70152214</v>
      </c>
      <c r="D74" s="204">
        <f>+D72+D73</f>
        <v>88548912</v>
      </c>
      <c r="E74" s="204">
        <f>+E72+E73</f>
        <v>82489685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338475864</v>
      </c>
      <c r="D75" s="204">
        <f>+D14</f>
        <v>361951445</v>
      </c>
      <c r="E75" s="204">
        <f>+E14</f>
        <v>338981125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19041348</v>
      </c>
      <c r="D76" s="204">
        <v>20380372</v>
      </c>
      <c r="E76" s="204">
        <v>18635476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319434516</v>
      </c>
      <c r="D77" s="204">
        <f>+D75-D76</f>
        <v>341571073</v>
      </c>
      <c r="E77" s="204">
        <f>+E75-E76</f>
        <v>320345649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34.206006550908072</v>
      </c>
      <c r="D79" s="203">
        <f>IF((D84/365)=0,0,+D83/(D84/365))</f>
        <v>27.696934981124134</v>
      </c>
      <c r="E79" s="203">
        <f>IF((E84/365)=0,0,+E83/(E84/365))</f>
        <v>23.925191833067466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37299759</v>
      </c>
      <c r="D80" s="212">
        <v>30103755</v>
      </c>
      <c r="E80" s="212">
        <v>26795462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81421</v>
      </c>
      <c r="D81" s="212">
        <v>2368715</v>
      </c>
      <c r="E81" s="212">
        <v>0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4525191</v>
      </c>
      <c r="D82" s="212">
        <v>4906972</v>
      </c>
      <c r="E82" s="212">
        <v>4893626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32855989</v>
      </c>
      <c r="D83" s="212">
        <f>+D80+D81-D82</f>
        <v>27565498</v>
      </c>
      <c r="E83" s="212">
        <f>+E80+E81-E82</f>
        <v>21901836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350594448</v>
      </c>
      <c r="D84" s="204">
        <f>+D11</f>
        <v>363267877</v>
      </c>
      <c r="E84" s="204">
        <f>+E11</f>
        <v>334131914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61.626858601592069</v>
      </c>
      <c r="D86" s="203">
        <f>IF((D90/365)=0,0,+D87/(D90/365))</f>
        <v>63.078075569355953</v>
      </c>
      <c r="E86" s="203">
        <f>IF((E90/365)=0,0,+E87/(E90/365))</f>
        <v>71.125180492150207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53933550</v>
      </c>
      <c r="D87" s="76">
        <f>+D69</f>
        <v>59029167</v>
      </c>
      <c r="E87" s="76">
        <f>+E69</f>
        <v>62423677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338475864</v>
      </c>
      <c r="D88" s="76">
        <f t="shared" si="0"/>
        <v>361951445</v>
      </c>
      <c r="E88" s="76">
        <f t="shared" si="0"/>
        <v>338981125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19041348</v>
      </c>
      <c r="D89" s="201">
        <f t="shared" si="0"/>
        <v>20380372</v>
      </c>
      <c r="E89" s="201">
        <f t="shared" si="0"/>
        <v>18635476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319434516</v>
      </c>
      <c r="D90" s="76">
        <f>+D88-D89</f>
        <v>341571073</v>
      </c>
      <c r="E90" s="76">
        <f>+E88-E89</f>
        <v>320345649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38.750306508014965</v>
      </c>
      <c r="D94" s="214">
        <f>IF(D96=0,0,(D95/D96)*100)</f>
        <v>37.974868442132845</v>
      </c>
      <c r="E94" s="214">
        <f>IF(E96=0,0,(E95/E96)*100)</f>
        <v>45.721696188704939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135696801</v>
      </c>
      <c r="D95" s="76">
        <f>+D32</f>
        <v>166692992</v>
      </c>
      <c r="E95" s="76">
        <f>+E32</f>
        <v>247213116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350182523</v>
      </c>
      <c r="D96" s="76">
        <v>438956075</v>
      </c>
      <c r="E96" s="76">
        <v>540691043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38.338981172705964</v>
      </c>
      <c r="D98" s="214">
        <f>IF(D104=0,0,(D101/D104)*100)</f>
        <v>44.676718241842082</v>
      </c>
      <c r="E98" s="214">
        <f>IF(E104=0,0,(E101/E104)*100)</f>
        <v>21.888120141132177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23784969</v>
      </c>
      <c r="D99" s="76">
        <f>+D28</f>
        <v>29556638</v>
      </c>
      <c r="E99" s="76">
        <f>+E28</f>
        <v>21810503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19041348</v>
      </c>
      <c r="D100" s="201">
        <f>+D76</f>
        <v>20380372</v>
      </c>
      <c r="E100" s="201">
        <f>+E76</f>
        <v>18635476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42826317</v>
      </c>
      <c r="D101" s="76">
        <f>+D99+D100</f>
        <v>49937010</v>
      </c>
      <c r="E101" s="76">
        <f>+E99+E100</f>
        <v>40445979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53933550</v>
      </c>
      <c r="D102" s="204">
        <f>+D69</f>
        <v>59029167</v>
      </c>
      <c r="E102" s="204">
        <f>+E69</f>
        <v>62423677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57770819</v>
      </c>
      <c r="D103" s="216">
        <v>52744956</v>
      </c>
      <c r="E103" s="216">
        <v>122361397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111704369</v>
      </c>
      <c r="D104" s="204">
        <f>+D102+D103</f>
        <v>111774123</v>
      </c>
      <c r="E104" s="204">
        <f>+E102+E103</f>
        <v>184785074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29.860717261110668</v>
      </c>
      <c r="D106" s="214">
        <f>IF(D109=0,0,(D107/D109)*100)</f>
        <v>24.036387726338017</v>
      </c>
      <c r="E106" s="214">
        <f>IF(E109=0,0,(E107/E109)*100)</f>
        <v>33.108721704518622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57770819</v>
      </c>
      <c r="D107" s="204">
        <f>+D103</f>
        <v>52744956</v>
      </c>
      <c r="E107" s="204">
        <f>+E103</f>
        <v>122361397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135696801</v>
      </c>
      <c r="D108" s="204">
        <f>+D32</f>
        <v>166692992</v>
      </c>
      <c r="E108" s="204">
        <f>+E32</f>
        <v>247213116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193467620</v>
      </c>
      <c r="D109" s="204">
        <f>+D107+D108</f>
        <v>219437948</v>
      </c>
      <c r="E109" s="204">
        <f>+E107+E108</f>
        <v>369574513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14.301254151678419</v>
      </c>
      <c r="D111" s="214">
        <f>IF((+D113+D115)=0,0,((+D112+D113+D114)/(+D113+D115)))</f>
        <v>7.5742808070569305</v>
      </c>
      <c r="E111" s="214">
        <f>IF((+E113+E115)=0,0,((+E112+E113+E114)/(+E113+E115)))</f>
        <v>2.7851370939932094</v>
      </c>
    </row>
    <row r="112" spans="1:6" ht="24" customHeight="1" x14ac:dyDescent="0.2">
      <c r="A112" s="85">
        <v>16</v>
      </c>
      <c r="B112" s="75" t="s">
        <v>373</v>
      </c>
      <c r="C112" s="218">
        <f>+C17</f>
        <v>23784969</v>
      </c>
      <c r="D112" s="76">
        <f>+D17</f>
        <v>29556638</v>
      </c>
      <c r="E112" s="76">
        <f>+E17</f>
        <v>21810503</v>
      </c>
    </row>
    <row r="113" spans="1:8" ht="24" customHeight="1" x14ac:dyDescent="0.2">
      <c r="A113" s="85">
        <v>17</v>
      </c>
      <c r="B113" s="75" t="s">
        <v>88</v>
      </c>
      <c r="C113" s="218">
        <v>1450895</v>
      </c>
      <c r="D113" s="76">
        <v>2025836</v>
      </c>
      <c r="E113" s="76">
        <v>2529391</v>
      </c>
    </row>
    <row r="114" spans="1:8" ht="24" customHeight="1" x14ac:dyDescent="0.2">
      <c r="A114" s="85">
        <v>18</v>
      </c>
      <c r="B114" s="75" t="s">
        <v>374</v>
      </c>
      <c r="C114" s="218">
        <v>19041348</v>
      </c>
      <c r="D114" s="76">
        <v>20380372</v>
      </c>
      <c r="E114" s="76">
        <v>18635476</v>
      </c>
    </row>
    <row r="115" spans="1:8" ht="24" customHeight="1" x14ac:dyDescent="0.2">
      <c r="A115" s="85">
        <v>19</v>
      </c>
      <c r="B115" s="75" t="s">
        <v>104</v>
      </c>
      <c r="C115" s="218">
        <v>1645142</v>
      </c>
      <c r="D115" s="76">
        <v>4834597</v>
      </c>
      <c r="E115" s="76">
        <v>12900862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14.585208620734205</v>
      </c>
      <c r="D119" s="214">
        <f>IF(+D121=0,0,(+D120)/(+D121))</f>
        <v>14.354983363404751</v>
      </c>
      <c r="E119" s="214">
        <f>IF(+E121=0,0,(+E120)/(+E121))</f>
        <v>16.655735061449462</v>
      </c>
    </row>
    <row r="120" spans="1:8" ht="24" customHeight="1" x14ac:dyDescent="0.2">
      <c r="A120" s="85">
        <v>21</v>
      </c>
      <c r="B120" s="75" t="s">
        <v>378</v>
      </c>
      <c r="C120" s="218">
        <v>277722033</v>
      </c>
      <c r="D120" s="218">
        <v>292559901</v>
      </c>
      <c r="E120" s="218">
        <v>310387551</v>
      </c>
    </row>
    <row r="121" spans="1:8" ht="24" customHeight="1" x14ac:dyDescent="0.2">
      <c r="A121" s="85">
        <v>22</v>
      </c>
      <c r="B121" s="75" t="s">
        <v>374</v>
      </c>
      <c r="C121" s="218">
        <v>19041348</v>
      </c>
      <c r="D121" s="218">
        <v>20380372</v>
      </c>
      <c r="E121" s="218">
        <v>18635476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70355</v>
      </c>
      <c r="D124" s="218">
        <v>67341</v>
      </c>
      <c r="E124" s="218">
        <v>59611</v>
      </c>
    </row>
    <row r="125" spans="1:8" ht="24" customHeight="1" x14ac:dyDescent="0.2">
      <c r="A125" s="85">
        <v>2</v>
      </c>
      <c r="B125" s="75" t="s">
        <v>381</v>
      </c>
      <c r="C125" s="218">
        <v>14878</v>
      </c>
      <c r="D125" s="218">
        <v>15003</v>
      </c>
      <c r="E125" s="218">
        <v>13045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4.728794192767845</v>
      </c>
      <c r="D126" s="219">
        <f>IF(D125=0,0,D124/D125)</f>
        <v>4.4885022995400918</v>
      </c>
      <c r="E126" s="219">
        <f>IF(E125=0,0,E124/E125)</f>
        <v>4.5696435415868146</v>
      </c>
    </row>
    <row r="127" spans="1:8" ht="24" customHeight="1" x14ac:dyDescent="0.2">
      <c r="A127" s="85">
        <v>4</v>
      </c>
      <c r="B127" s="75" t="s">
        <v>383</v>
      </c>
      <c r="C127" s="218">
        <v>196</v>
      </c>
      <c r="D127" s="218">
        <v>193</v>
      </c>
      <c r="E127" s="218">
        <v>168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320</v>
      </c>
      <c r="E128" s="218">
        <v>334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312</v>
      </c>
      <c r="D129" s="218">
        <v>366</v>
      </c>
      <c r="E129" s="218">
        <v>366</v>
      </c>
    </row>
    <row r="130" spans="1:7" ht="24" customHeight="1" x14ac:dyDescent="0.2">
      <c r="A130" s="85">
        <v>7</v>
      </c>
      <c r="B130" s="75" t="s">
        <v>386</v>
      </c>
      <c r="C130" s="193">
        <v>0.98340000000000005</v>
      </c>
      <c r="D130" s="193">
        <v>0.95589999999999997</v>
      </c>
      <c r="E130" s="193">
        <v>0.97209999999999996</v>
      </c>
    </row>
    <row r="131" spans="1:7" ht="24" customHeight="1" x14ac:dyDescent="0.2">
      <c r="A131" s="85">
        <v>8</v>
      </c>
      <c r="B131" s="75" t="s">
        <v>387</v>
      </c>
      <c r="C131" s="193">
        <v>0.61770000000000003</v>
      </c>
      <c r="D131" s="193">
        <v>0.57650000000000001</v>
      </c>
      <c r="E131" s="193">
        <v>0.4889</v>
      </c>
    </row>
    <row r="132" spans="1:7" ht="24" customHeight="1" x14ac:dyDescent="0.2">
      <c r="A132" s="85">
        <v>9</v>
      </c>
      <c r="B132" s="75" t="s">
        <v>388</v>
      </c>
      <c r="C132" s="219">
        <v>1698.4</v>
      </c>
      <c r="D132" s="219">
        <v>1698.8</v>
      </c>
      <c r="E132" s="219">
        <v>1685.4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0.39982946891776444</v>
      </c>
      <c r="D135" s="227">
        <f>IF(D149=0,0,D143/D149)</f>
        <v>0.40044763458592836</v>
      </c>
      <c r="E135" s="227">
        <f>IF(E149=0,0,E143/E149)</f>
        <v>0.38278969456299161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0.41595718982495378</v>
      </c>
      <c r="D136" s="227">
        <f>IF(D149=0,0,D144/D149)</f>
        <v>0.41122929897200283</v>
      </c>
      <c r="E136" s="227">
        <f>IF(E149=0,0,E144/E149)</f>
        <v>0.41897381299144121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0.14602320198597657</v>
      </c>
      <c r="D137" s="227">
        <f>IF(D149=0,0,D145/D149)</f>
        <v>0.14668140651309614</v>
      </c>
      <c r="E137" s="227">
        <f>IF(E149=0,0,E145/E149)</f>
        <v>0.1575259052032488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1.7872082825571305E-3</v>
      </c>
      <c r="D138" s="227">
        <f>IF(D149=0,0,D146/D149)</f>
        <v>1.9242927653489149E-3</v>
      </c>
      <c r="E138" s="227">
        <f>IF(E149=0,0,E146/E149)</f>
        <v>1.3525049879773618E-3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3.5381008491767861E-2</v>
      </c>
      <c r="D139" s="227">
        <f>IF(D149=0,0,D147/D149)</f>
        <v>3.8712003179745214E-2</v>
      </c>
      <c r="E139" s="227">
        <f>IF(E149=0,0,E147/E149)</f>
        <v>3.8479135915975557E-2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1.0219224969801972E-3</v>
      </c>
      <c r="D140" s="227">
        <f>IF(D149=0,0,D148/D149)</f>
        <v>1.0053639838785047E-3</v>
      </c>
      <c r="E140" s="227">
        <f>IF(E149=0,0,E148/E149)</f>
        <v>8.7894633836549949E-4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1.0000000000000002</v>
      </c>
      <c r="D141" s="227">
        <f>SUM(D135:D140)</f>
        <v>1</v>
      </c>
      <c r="E141" s="227">
        <f>SUM(E135:E140)</f>
        <v>1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341437616</v>
      </c>
      <c r="D143" s="229">
        <f>+D46-D147</f>
        <v>363990226</v>
      </c>
      <c r="E143" s="229">
        <f>+E46-E147</f>
        <v>349638110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355210014</v>
      </c>
      <c r="D144" s="229">
        <f>+D51</f>
        <v>373790310</v>
      </c>
      <c r="E144" s="229">
        <f>+E51</f>
        <v>382688495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124697697</v>
      </c>
      <c r="D145" s="229">
        <f>+D55</f>
        <v>133327291</v>
      </c>
      <c r="E145" s="229">
        <f>+E55</f>
        <v>143883340</v>
      </c>
    </row>
    <row r="146" spans="1:7" ht="20.100000000000001" customHeight="1" x14ac:dyDescent="0.2">
      <c r="A146" s="226">
        <v>11</v>
      </c>
      <c r="B146" s="224" t="s">
        <v>400</v>
      </c>
      <c r="C146" s="228">
        <v>1526201</v>
      </c>
      <c r="D146" s="229">
        <v>1749102</v>
      </c>
      <c r="E146" s="229">
        <v>1235371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30213899</v>
      </c>
      <c r="D147" s="229">
        <f>+D47</f>
        <v>35187599</v>
      </c>
      <c r="E147" s="229">
        <f>+E47</f>
        <v>35146642</v>
      </c>
    </row>
    <row r="148" spans="1:7" ht="20.100000000000001" customHeight="1" x14ac:dyDescent="0.2">
      <c r="A148" s="226">
        <v>13</v>
      </c>
      <c r="B148" s="224" t="s">
        <v>402</v>
      </c>
      <c r="C148" s="230">
        <v>872679</v>
      </c>
      <c r="D148" s="229">
        <v>913834</v>
      </c>
      <c r="E148" s="229">
        <v>802825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853958106</v>
      </c>
      <c r="D149" s="229">
        <f>SUM(D143:D148)</f>
        <v>908958362</v>
      </c>
      <c r="E149" s="229">
        <f>SUM(E143:E148)</f>
        <v>913394783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0.59612511894349063</v>
      </c>
      <c r="D152" s="227">
        <f>IF(D166=0,0,D160/D166)</f>
        <v>0.59357396851719846</v>
      </c>
      <c r="E152" s="227">
        <f>IF(E166=0,0,E160/E166)</f>
        <v>0.59283043822972858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0.29974643296267467</v>
      </c>
      <c r="D153" s="227">
        <f>IF(D166=0,0,D161/D166)</f>
        <v>0.29110499028693521</v>
      </c>
      <c r="E153" s="227">
        <f>IF(E166=0,0,E161/E166)</f>
        <v>0.29922722607633967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9.6842330576102018E-2</v>
      </c>
      <c r="D154" s="227">
        <f>IF(D166=0,0,D162/D166)</f>
        <v>0.10604319986858325</v>
      </c>
      <c r="E154" s="227">
        <f>IF(E166=0,0,E162/E166)</f>
        <v>9.8318852161278392E-2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1.5370255607372459E-3</v>
      </c>
      <c r="D155" s="227">
        <f>IF(D166=0,0,D163/D166)</f>
        <v>1.9693973673084644E-3</v>
      </c>
      <c r="E155" s="227">
        <f>IF(E166=0,0,E163/E166)</f>
        <v>4.6512307934658319E-4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5.1333467052250637E-3</v>
      </c>
      <c r="D156" s="227">
        <f>IF(D166=0,0,D164/D166)</f>
        <v>6.8168978224600581E-3</v>
      </c>
      <c r="E156" s="227">
        <f>IF(E166=0,0,E164/E166)</f>
        <v>8.4952177718296933E-3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6.1574525177041171E-4</v>
      </c>
      <c r="D157" s="227">
        <f>IF(D166=0,0,D165/D166)</f>
        <v>4.9154613751459264E-4</v>
      </c>
      <c r="E157" s="227">
        <f>IF(E166=0,0,E165/E166)</f>
        <v>6.6314268147711023E-4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1</v>
      </c>
      <c r="D158" s="227">
        <f>SUM(D152:D157)</f>
        <v>1.0000000000000002</v>
      </c>
      <c r="E158" s="227">
        <f>SUM(E152:E157)</f>
        <v>1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194962251</v>
      </c>
      <c r="D160" s="229">
        <f>+D44-D164</f>
        <v>199162507</v>
      </c>
      <c r="E160" s="229">
        <f>+E44-E164</f>
        <v>199129396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98031835</v>
      </c>
      <c r="D161" s="229">
        <f>+D50</f>
        <v>97674768</v>
      </c>
      <c r="E161" s="229">
        <f>+E50</f>
        <v>100509240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31672208</v>
      </c>
      <c r="D162" s="229">
        <f>+D54</f>
        <v>35580788</v>
      </c>
      <c r="E162" s="229">
        <f>+E54</f>
        <v>33024913</v>
      </c>
    </row>
    <row r="163" spans="1:6" ht="20.100000000000001" customHeight="1" x14ac:dyDescent="0.2">
      <c r="A163" s="226">
        <v>11</v>
      </c>
      <c r="B163" s="224" t="s">
        <v>415</v>
      </c>
      <c r="C163" s="228">
        <v>502683</v>
      </c>
      <c r="D163" s="229">
        <v>660794</v>
      </c>
      <c r="E163" s="229">
        <v>156233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1678857</v>
      </c>
      <c r="D164" s="229">
        <f>+D45</f>
        <v>2287281</v>
      </c>
      <c r="E164" s="229">
        <f>+E45</f>
        <v>2853510</v>
      </c>
    </row>
    <row r="165" spans="1:6" ht="20.100000000000001" customHeight="1" x14ac:dyDescent="0.2">
      <c r="A165" s="226">
        <v>13</v>
      </c>
      <c r="B165" s="224" t="s">
        <v>417</v>
      </c>
      <c r="C165" s="230">
        <v>201379</v>
      </c>
      <c r="D165" s="229">
        <v>164929</v>
      </c>
      <c r="E165" s="229">
        <v>222747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327049213</v>
      </c>
      <c r="D166" s="229">
        <f>SUM(D160:D165)</f>
        <v>335531067</v>
      </c>
      <c r="E166" s="229">
        <f>SUM(E160:E165)</f>
        <v>335896039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5773</v>
      </c>
      <c r="D169" s="218">
        <v>5799</v>
      </c>
      <c r="E169" s="218">
        <v>4907</v>
      </c>
    </row>
    <row r="170" spans="1:6" ht="20.100000000000001" customHeight="1" x14ac:dyDescent="0.2">
      <c r="A170" s="226">
        <v>2</v>
      </c>
      <c r="B170" s="224" t="s">
        <v>420</v>
      </c>
      <c r="C170" s="218">
        <v>6008</v>
      </c>
      <c r="D170" s="218">
        <v>6147</v>
      </c>
      <c r="E170" s="218">
        <v>5319</v>
      </c>
    </row>
    <row r="171" spans="1:6" ht="20.100000000000001" customHeight="1" x14ac:dyDescent="0.2">
      <c r="A171" s="226">
        <v>3</v>
      </c>
      <c r="B171" s="224" t="s">
        <v>421</v>
      </c>
      <c r="C171" s="218">
        <v>3078</v>
      </c>
      <c r="D171" s="218">
        <v>3042</v>
      </c>
      <c r="E171" s="218">
        <v>2803</v>
      </c>
    </row>
    <row r="172" spans="1:6" ht="20.100000000000001" customHeight="1" x14ac:dyDescent="0.2">
      <c r="A172" s="226">
        <v>4</v>
      </c>
      <c r="B172" s="224" t="s">
        <v>422</v>
      </c>
      <c r="C172" s="218">
        <v>3038</v>
      </c>
      <c r="D172" s="218">
        <v>3002</v>
      </c>
      <c r="E172" s="218">
        <v>2782</v>
      </c>
    </row>
    <row r="173" spans="1:6" ht="20.100000000000001" customHeight="1" x14ac:dyDescent="0.2">
      <c r="A173" s="226">
        <v>5</v>
      </c>
      <c r="B173" s="224" t="s">
        <v>423</v>
      </c>
      <c r="C173" s="218">
        <v>40</v>
      </c>
      <c r="D173" s="218">
        <v>40</v>
      </c>
      <c r="E173" s="218">
        <v>21</v>
      </c>
    </row>
    <row r="174" spans="1:6" ht="20.100000000000001" customHeight="1" x14ac:dyDescent="0.2">
      <c r="A174" s="226">
        <v>6</v>
      </c>
      <c r="B174" s="224" t="s">
        <v>424</v>
      </c>
      <c r="C174" s="218">
        <v>19</v>
      </c>
      <c r="D174" s="218">
        <v>15</v>
      </c>
      <c r="E174" s="218">
        <v>16</v>
      </c>
    </row>
    <row r="175" spans="1:6" ht="20.100000000000001" customHeight="1" x14ac:dyDescent="0.2">
      <c r="A175" s="226">
        <v>7</v>
      </c>
      <c r="B175" s="224" t="s">
        <v>425</v>
      </c>
      <c r="C175" s="218">
        <v>223</v>
      </c>
      <c r="D175" s="218">
        <v>267</v>
      </c>
      <c r="E175" s="218">
        <v>193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14878</v>
      </c>
      <c r="D176" s="218">
        <f>+D169+D170+D171+D174</f>
        <v>15003</v>
      </c>
      <c r="E176" s="218">
        <f>+E169+E170+E171+E174</f>
        <v>13045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1.04515</v>
      </c>
      <c r="D179" s="231">
        <v>1.0031000000000001</v>
      </c>
      <c r="E179" s="231">
        <v>1.075</v>
      </c>
    </row>
    <row r="180" spans="1:6" ht="20.100000000000001" customHeight="1" x14ac:dyDescent="0.2">
      <c r="A180" s="226">
        <v>2</v>
      </c>
      <c r="B180" s="224" t="s">
        <v>420</v>
      </c>
      <c r="C180" s="231">
        <v>1.41103</v>
      </c>
      <c r="D180" s="231">
        <v>1.3455999999999999</v>
      </c>
      <c r="E180" s="231">
        <v>1.4406000000000001</v>
      </c>
    </row>
    <row r="181" spans="1:6" ht="20.100000000000001" customHeight="1" x14ac:dyDescent="0.2">
      <c r="A181" s="226">
        <v>3</v>
      </c>
      <c r="B181" s="224" t="s">
        <v>421</v>
      </c>
      <c r="C181" s="231">
        <v>0.94949700000000004</v>
      </c>
      <c r="D181" s="231">
        <v>0.93919900000000001</v>
      </c>
      <c r="E181" s="231">
        <v>0.95943000000000001</v>
      </c>
    </row>
    <row r="182" spans="1:6" ht="20.100000000000001" customHeight="1" x14ac:dyDescent="0.2">
      <c r="A182" s="226">
        <v>4</v>
      </c>
      <c r="B182" s="224" t="s">
        <v>422</v>
      </c>
      <c r="C182" s="231">
        <v>0.94935999999999998</v>
      </c>
      <c r="D182" s="231">
        <v>0.93799999999999994</v>
      </c>
      <c r="E182" s="231">
        <v>0.95901999999999998</v>
      </c>
    </row>
    <row r="183" spans="1:6" ht="20.100000000000001" customHeight="1" x14ac:dyDescent="0.2">
      <c r="A183" s="226">
        <v>5</v>
      </c>
      <c r="B183" s="224" t="s">
        <v>423</v>
      </c>
      <c r="C183" s="231">
        <v>0.95994999999999997</v>
      </c>
      <c r="D183" s="231">
        <v>1.0291999999999999</v>
      </c>
      <c r="E183" s="231">
        <v>1.0138</v>
      </c>
    </row>
    <row r="184" spans="1:6" ht="20.100000000000001" customHeight="1" x14ac:dyDescent="0.2">
      <c r="A184" s="226">
        <v>6</v>
      </c>
      <c r="B184" s="224" t="s">
        <v>424</v>
      </c>
      <c r="C184" s="231">
        <v>0.86317999999999995</v>
      </c>
      <c r="D184" s="231">
        <v>0.84589999999999999</v>
      </c>
      <c r="E184" s="231">
        <v>1.5285</v>
      </c>
    </row>
    <row r="185" spans="1:6" ht="20.100000000000001" customHeight="1" x14ac:dyDescent="0.2">
      <c r="A185" s="226">
        <v>7</v>
      </c>
      <c r="B185" s="224" t="s">
        <v>425</v>
      </c>
      <c r="C185" s="231">
        <v>1.03169</v>
      </c>
      <c r="D185" s="231">
        <v>0.96430000000000005</v>
      </c>
      <c r="E185" s="231">
        <v>1.0650999999999999</v>
      </c>
    </row>
    <row r="186" spans="1:6" ht="20.100000000000001" customHeight="1" x14ac:dyDescent="0.2">
      <c r="A186" s="226">
        <v>8</v>
      </c>
      <c r="B186" s="224" t="s">
        <v>429</v>
      </c>
      <c r="C186" s="231">
        <v>1.1728769999999999</v>
      </c>
      <c r="D186" s="231">
        <v>1.130314</v>
      </c>
      <c r="E186" s="231">
        <v>1.199794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9538</v>
      </c>
      <c r="D189" s="218">
        <v>9699</v>
      </c>
      <c r="E189" s="218">
        <v>8469</v>
      </c>
    </row>
    <row r="190" spans="1:6" ht="20.100000000000001" customHeight="1" x14ac:dyDescent="0.2">
      <c r="A190" s="226">
        <v>2</v>
      </c>
      <c r="B190" s="224" t="s">
        <v>433</v>
      </c>
      <c r="C190" s="218">
        <v>40107</v>
      </c>
      <c r="D190" s="218">
        <v>39550</v>
      </c>
      <c r="E190" s="218">
        <v>39838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49645</v>
      </c>
      <c r="D191" s="218">
        <f>+D190+D189</f>
        <v>49249</v>
      </c>
      <c r="E191" s="218">
        <f>+E190+E189</f>
        <v>48307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FILING&amp;RNORWALK HOSPITAL</oddHeader>
    <oddFooter>&amp;LREPORT 100&amp;CPAGE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8"/>
  <sheetViews>
    <sheetView zoomScale="75" workbookViewId="0">
      <selection sqref="A1:F1"/>
    </sheetView>
  </sheetViews>
  <sheetFormatPr defaultRowHeight="20.25" customHeight="1" x14ac:dyDescent="0.3"/>
  <cols>
    <col min="1" max="1" width="10.85546875" style="235" customWidth="1"/>
    <col min="2" max="2" width="77" style="235" customWidth="1"/>
    <col min="3" max="3" width="23.5703125" style="245" customWidth="1"/>
    <col min="4" max="4" width="21.28515625" style="235" customWidth="1"/>
    <col min="5" max="5" width="22.42578125" style="235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7" t="s">
        <v>0</v>
      </c>
      <c r="B2" s="787"/>
      <c r="C2" s="787"/>
      <c r="D2" s="787"/>
      <c r="E2" s="787"/>
      <c r="F2" s="787"/>
    </row>
    <row r="3" spans="1:7" ht="20.25" customHeight="1" x14ac:dyDescent="0.3">
      <c r="A3" s="787" t="s">
        <v>1</v>
      </c>
      <c r="B3" s="787"/>
      <c r="C3" s="787"/>
      <c r="D3" s="787"/>
      <c r="E3" s="787"/>
      <c r="F3" s="787"/>
    </row>
    <row r="4" spans="1:7" ht="20.25" customHeight="1" x14ac:dyDescent="0.3">
      <c r="A4" s="787" t="s">
        <v>2</v>
      </c>
      <c r="B4" s="787"/>
      <c r="C4" s="787"/>
      <c r="D4" s="787"/>
      <c r="E4" s="787"/>
      <c r="F4" s="787"/>
    </row>
    <row r="5" spans="1:7" ht="20.25" customHeight="1" x14ac:dyDescent="0.3">
      <c r="A5" s="787" t="s">
        <v>435</v>
      </c>
      <c r="B5" s="787"/>
      <c r="C5" s="787"/>
      <c r="D5" s="787"/>
      <c r="E5" s="787"/>
      <c r="F5" s="78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788"/>
      <c r="D9" s="789"/>
      <c r="E9" s="789"/>
      <c r="F9" s="790"/>
      <c r="G9" s="245"/>
    </row>
    <row r="10" spans="1:7" ht="20.25" customHeight="1" x14ac:dyDescent="0.3">
      <c r="A10" s="791" t="s">
        <v>12</v>
      </c>
      <c r="B10" s="793" t="s">
        <v>114</v>
      </c>
      <c r="C10" s="795"/>
      <c r="D10" s="796"/>
      <c r="E10" s="796"/>
      <c r="F10" s="797"/>
    </row>
    <row r="11" spans="1:7" ht="20.25" customHeight="1" x14ac:dyDescent="0.3">
      <c r="A11" s="792"/>
      <c r="B11" s="794"/>
      <c r="C11" s="798"/>
      <c r="D11" s="799"/>
      <c r="E11" s="799"/>
      <c r="F11" s="800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1932032</v>
      </c>
      <c r="D14" s="258">
        <v>835349</v>
      </c>
      <c r="E14" s="258">
        <f t="shared" ref="E14:E24" si="0">D14-C14</f>
        <v>-1096683</v>
      </c>
      <c r="F14" s="259">
        <f t="shared" ref="F14:F24" si="1">IF(C14=0,0,E14/C14)</f>
        <v>-0.56763190257718299</v>
      </c>
    </row>
    <row r="15" spans="1:7" ht="20.25" customHeight="1" x14ac:dyDescent="0.3">
      <c r="A15" s="256">
        <v>2</v>
      </c>
      <c r="B15" s="257" t="s">
        <v>442</v>
      </c>
      <c r="C15" s="258">
        <v>554144</v>
      </c>
      <c r="D15" s="258">
        <v>217812</v>
      </c>
      <c r="E15" s="258">
        <f t="shared" si="0"/>
        <v>-336332</v>
      </c>
      <c r="F15" s="259">
        <f t="shared" si="1"/>
        <v>-0.60693971242132005</v>
      </c>
    </row>
    <row r="16" spans="1:7" ht="20.25" customHeight="1" x14ac:dyDescent="0.3">
      <c r="A16" s="256">
        <v>3</v>
      </c>
      <c r="B16" s="257" t="s">
        <v>443</v>
      </c>
      <c r="C16" s="258">
        <v>1182625</v>
      </c>
      <c r="D16" s="258">
        <v>524571</v>
      </c>
      <c r="E16" s="258">
        <f t="shared" si="0"/>
        <v>-658054</v>
      </c>
      <c r="F16" s="259">
        <f t="shared" si="1"/>
        <v>-0.55643504914913855</v>
      </c>
    </row>
    <row r="17" spans="1:6" ht="20.25" customHeight="1" x14ac:dyDescent="0.3">
      <c r="A17" s="256">
        <v>4</v>
      </c>
      <c r="B17" s="257" t="s">
        <v>444</v>
      </c>
      <c r="C17" s="258">
        <v>289988</v>
      </c>
      <c r="D17" s="258">
        <v>100573</v>
      </c>
      <c r="E17" s="258">
        <f t="shared" si="0"/>
        <v>-189415</v>
      </c>
      <c r="F17" s="259">
        <f t="shared" si="1"/>
        <v>-0.6531822006427852</v>
      </c>
    </row>
    <row r="18" spans="1:6" ht="20.25" customHeight="1" x14ac:dyDescent="0.3">
      <c r="A18" s="256">
        <v>5</v>
      </c>
      <c r="B18" s="257" t="s">
        <v>381</v>
      </c>
      <c r="C18" s="260">
        <v>54</v>
      </c>
      <c r="D18" s="260">
        <v>23</v>
      </c>
      <c r="E18" s="260">
        <f t="shared" si="0"/>
        <v>-31</v>
      </c>
      <c r="F18" s="259">
        <f t="shared" si="1"/>
        <v>-0.57407407407407407</v>
      </c>
    </row>
    <row r="19" spans="1:6" ht="20.25" customHeight="1" x14ac:dyDescent="0.3">
      <c r="A19" s="256">
        <v>6</v>
      </c>
      <c r="B19" s="257" t="s">
        <v>380</v>
      </c>
      <c r="C19" s="260">
        <v>253</v>
      </c>
      <c r="D19" s="260">
        <v>101</v>
      </c>
      <c r="E19" s="260">
        <f t="shared" si="0"/>
        <v>-152</v>
      </c>
      <c r="F19" s="259">
        <f t="shared" si="1"/>
        <v>-0.60079051383399207</v>
      </c>
    </row>
    <row r="20" spans="1:6" ht="20.25" customHeight="1" x14ac:dyDescent="0.3">
      <c r="A20" s="256">
        <v>7</v>
      </c>
      <c r="B20" s="257" t="s">
        <v>445</v>
      </c>
      <c r="C20" s="260">
        <v>485</v>
      </c>
      <c r="D20" s="260">
        <v>195</v>
      </c>
      <c r="E20" s="260">
        <f t="shared" si="0"/>
        <v>-290</v>
      </c>
      <c r="F20" s="259">
        <f t="shared" si="1"/>
        <v>-0.59793814432989689</v>
      </c>
    </row>
    <row r="21" spans="1:6" ht="20.25" customHeight="1" x14ac:dyDescent="0.3">
      <c r="A21" s="256">
        <v>8</v>
      </c>
      <c r="B21" s="257" t="s">
        <v>446</v>
      </c>
      <c r="C21" s="260">
        <v>52</v>
      </c>
      <c r="D21" s="260">
        <v>46</v>
      </c>
      <c r="E21" s="260">
        <f t="shared" si="0"/>
        <v>-6</v>
      </c>
      <c r="F21" s="259">
        <f t="shared" si="1"/>
        <v>-0.11538461538461539</v>
      </c>
    </row>
    <row r="22" spans="1:6" ht="20.25" customHeight="1" x14ac:dyDescent="0.3">
      <c r="A22" s="256">
        <v>9</v>
      </c>
      <c r="B22" s="257" t="s">
        <v>447</v>
      </c>
      <c r="C22" s="260">
        <v>48</v>
      </c>
      <c r="D22" s="260">
        <v>22</v>
      </c>
      <c r="E22" s="260">
        <f t="shared" si="0"/>
        <v>-26</v>
      </c>
      <c r="F22" s="259">
        <f t="shared" si="1"/>
        <v>-0.54166666666666663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3114657</v>
      </c>
      <c r="D23" s="263">
        <f>+D14+D16</f>
        <v>1359920</v>
      </c>
      <c r="E23" s="263">
        <f t="shared" si="0"/>
        <v>-1754737</v>
      </c>
      <c r="F23" s="264">
        <f t="shared" si="1"/>
        <v>-0.56338049422456471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844132</v>
      </c>
      <c r="D24" s="263">
        <f>+D15+D17</f>
        <v>318385</v>
      </c>
      <c r="E24" s="263">
        <f t="shared" si="0"/>
        <v>-525747</v>
      </c>
      <c r="F24" s="264">
        <f t="shared" si="1"/>
        <v>-0.62282557704245312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4</v>
      </c>
      <c r="B30" s="257" t="s">
        <v>444</v>
      </c>
      <c r="C30" s="258">
        <v>0</v>
      </c>
      <c r="D30" s="258">
        <v>0</v>
      </c>
      <c r="E30" s="258">
        <f t="shared" si="2"/>
        <v>0</v>
      </c>
      <c r="F30" s="259">
        <f t="shared" si="3"/>
        <v>0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0</v>
      </c>
      <c r="D37" s="263">
        <f>+D28+D30</f>
        <v>0</v>
      </c>
      <c r="E37" s="263">
        <f t="shared" si="2"/>
        <v>0</v>
      </c>
      <c r="F37" s="264">
        <f t="shared" si="3"/>
        <v>0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3151612</v>
      </c>
      <c r="D40" s="258">
        <v>4488965</v>
      </c>
      <c r="E40" s="258">
        <f t="shared" ref="E40:E50" si="4">D40-C40</f>
        <v>1337353</v>
      </c>
      <c r="F40" s="259">
        <f t="shared" ref="F40:F50" si="5">IF(C40=0,0,E40/C40)</f>
        <v>0.42433935395600725</v>
      </c>
    </row>
    <row r="41" spans="1:6" ht="20.25" customHeight="1" x14ac:dyDescent="0.3">
      <c r="A41" s="256">
        <v>2</v>
      </c>
      <c r="B41" s="257" t="s">
        <v>442</v>
      </c>
      <c r="C41" s="258">
        <v>960030</v>
      </c>
      <c r="D41" s="258">
        <v>1163089</v>
      </c>
      <c r="E41" s="258">
        <f t="shared" si="4"/>
        <v>203059</v>
      </c>
      <c r="F41" s="259">
        <f t="shared" si="5"/>
        <v>0.21151318187973292</v>
      </c>
    </row>
    <row r="42" spans="1:6" ht="20.25" customHeight="1" x14ac:dyDescent="0.3">
      <c r="A42" s="256">
        <v>3</v>
      </c>
      <c r="B42" s="257" t="s">
        <v>443</v>
      </c>
      <c r="C42" s="258">
        <v>2502539</v>
      </c>
      <c r="D42" s="258">
        <v>3223188</v>
      </c>
      <c r="E42" s="258">
        <f t="shared" si="4"/>
        <v>720649</v>
      </c>
      <c r="F42" s="259">
        <f t="shared" si="5"/>
        <v>0.28796714057203504</v>
      </c>
    </row>
    <row r="43" spans="1:6" ht="20.25" customHeight="1" x14ac:dyDescent="0.3">
      <c r="A43" s="256">
        <v>4</v>
      </c>
      <c r="B43" s="257" t="s">
        <v>444</v>
      </c>
      <c r="C43" s="258">
        <v>565028</v>
      </c>
      <c r="D43" s="258">
        <v>667344</v>
      </c>
      <c r="E43" s="258">
        <f t="shared" si="4"/>
        <v>102316</v>
      </c>
      <c r="F43" s="259">
        <f t="shared" si="5"/>
        <v>0.18108129154661362</v>
      </c>
    </row>
    <row r="44" spans="1:6" ht="20.25" customHeight="1" x14ac:dyDescent="0.3">
      <c r="A44" s="256">
        <v>5</v>
      </c>
      <c r="B44" s="257" t="s">
        <v>381</v>
      </c>
      <c r="C44" s="260">
        <v>74</v>
      </c>
      <c r="D44" s="260">
        <v>105</v>
      </c>
      <c r="E44" s="260">
        <f t="shared" si="4"/>
        <v>31</v>
      </c>
      <c r="F44" s="259">
        <f t="shared" si="5"/>
        <v>0.41891891891891891</v>
      </c>
    </row>
    <row r="45" spans="1:6" ht="20.25" customHeight="1" x14ac:dyDescent="0.3">
      <c r="A45" s="256">
        <v>6</v>
      </c>
      <c r="B45" s="257" t="s">
        <v>380</v>
      </c>
      <c r="C45" s="260">
        <v>417</v>
      </c>
      <c r="D45" s="260">
        <v>576</v>
      </c>
      <c r="E45" s="260">
        <f t="shared" si="4"/>
        <v>159</v>
      </c>
      <c r="F45" s="259">
        <f t="shared" si="5"/>
        <v>0.38129496402877699</v>
      </c>
    </row>
    <row r="46" spans="1:6" ht="20.25" customHeight="1" x14ac:dyDescent="0.3">
      <c r="A46" s="256">
        <v>7</v>
      </c>
      <c r="B46" s="257" t="s">
        <v>445</v>
      </c>
      <c r="C46" s="260">
        <v>1147</v>
      </c>
      <c r="D46" s="260">
        <v>1421</v>
      </c>
      <c r="E46" s="260">
        <f t="shared" si="4"/>
        <v>274</v>
      </c>
      <c r="F46" s="259">
        <f t="shared" si="5"/>
        <v>0.23888404533565824</v>
      </c>
    </row>
    <row r="47" spans="1:6" ht="20.25" customHeight="1" x14ac:dyDescent="0.3">
      <c r="A47" s="256">
        <v>8</v>
      </c>
      <c r="B47" s="257" t="s">
        <v>446</v>
      </c>
      <c r="C47" s="260">
        <v>114</v>
      </c>
      <c r="D47" s="260">
        <v>125</v>
      </c>
      <c r="E47" s="260">
        <f t="shared" si="4"/>
        <v>11</v>
      </c>
      <c r="F47" s="259">
        <f t="shared" si="5"/>
        <v>9.6491228070175433E-2</v>
      </c>
    </row>
    <row r="48" spans="1:6" ht="20.25" customHeight="1" x14ac:dyDescent="0.3">
      <c r="A48" s="256">
        <v>9</v>
      </c>
      <c r="B48" s="257" t="s">
        <v>447</v>
      </c>
      <c r="C48" s="260">
        <v>63</v>
      </c>
      <c r="D48" s="260">
        <v>94</v>
      </c>
      <c r="E48" s="260">
        <f t="shared" si="4"/>
        <v>31</v>
      </c>
      <c r="F48" s="259">
        <f t="shared" si="5"/>
        <v>0.49206349206349204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5654151</v>
      </c>
      <c r="D49" s="263">
        <f>+D40+D42</f>
        <v>7712153</v>
      </c>
      <c r="E49" s="263">
        <f t="shared" si="4"/>
        <v>2058002</v>
      </c>
      <c r="F49" s="264">
        <f t="shared" si="5"/>
        <v>0.3639807284948704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1525058</v>
      </c>
      <c r="D50" s="263">
        <f>+D41+D43</f>
        <v>1830433</v>
      </c>
      <c r="E50" s="263">
        <f t="shared" si="4"/>
        <v>305375</v>
      </c>
      <c r="F50" s="264">
        <f t="shared" si="5"/>
        <v>0.20023828601928581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0</v>
      </c>
      <c r="D53" s="258">
        <v>0</v>
      </c>
      <c r="E53" s="258">
        <f t="shared" ref="E53:E63" si="6">D53-C53</f>
        <v>0</v>
      </c>
      <c r="F53" s="259">
        <f t="shared" ref="F53:F63" si="7">IF(C53=0,0,E53/C53)</f>
        <v>0</v>
      </c>
    </row>
    <row r="54" spans="1:6" ht="20.25" customHeight="1" x14ac:dyDescent="0.3">
      <c r="A54" s="256">
        <v>2</v>
      </c>
      <c r="B54" s="257" t="s">
        <v>442</v>
      </c>
      <c r="C54" s="258">
        <v>0</v>
      </c>
      <c r="D54" s="258">
        <v>0</v>
      </c>
      <c r="E54" s="258">
        <f t="shared" si="6"/>
        <v>0</v>
      </c>
      <c r="F54" s="259">
        <f t="shared" si="7"/>
        <v>0</v>
      </c>
    </row>
    <row r="55" spans="1:6" ht="20.25" customHeight="1" x14ac:dyDescent="0.3">
      <c r="A55" s="256">
        <v>3</v>
      </c>
      <c r="B55" s="257" t="s">
        <v>443</v>
      </c>
      <c r="C55" s="258">
        <v>0</v>
      </c>
      <c r="D55" s="258">
        <v>0</v>
      </c>
      <c r="E55" s="258">
        <f t="shared" si="6"/>
        <v>0</v>
      </c>
      <c r="F55" s="259">
        <f t="shared" si="7"/>
        <v>0</v>
      </c>
    </row>
    <row r="56" spans="1:6" ht="20.25" customHeight="1" x14ac:dyDescent="0.3">
      <c r="A56" s="256">
        <v>4</v>
      </c>
      <c r="B56" s="257" t="s">
        <v>444</v>
      </c>
      <c r="C56" s="258">
        <v>0</v>
      </c>
      <c r="D56" s="258">
        <v>0</v>
      </c>
      <c r="E56" s="258">
        <f t="shared" si="6"/>
        <v>0</v>
      </c>
      <c r="F56" s="259">
        <f t="shared" si="7"/>
        <v>0</v>
      </c>
    </row>
    <row r="57" spans="1:6" ht="20.25" customHeight="1" x14ac:dyDescent="0.3">
      <c r="A57" s="256">
        <v>5</v>
      </c>
      <c r="B57" s="257" t="s">
        <v>381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6</v>
      </c>
      <c r="B58" s="257" t="s">
        <v>380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ht="20.25" customHeight="1" x14ac:dyDescent="0.3">
      <c r="A59" s="256">
        <v>7</v>
      </c>
      <c r="B59" s="257" t="s">
        <v>445</v>
      </c>
      <c r="C59" s="260">
        <v>0</v>
      </c>
      <c r="D59" s="260">
        <v>0</v>
      </c>
      <c r="E59" s="260">
        <f t="shared" si="6"/>
        <v>0</v>
      </c>
      <c r="F59" s="259">
        <f t="shared" si="7"/>
        <v>0</v>
      </c>
    </row>
    <row r="60" spans="1:6" ht="20.25" customHeight="1" x14ac:dyDescent="0.3">
      <c r="A60" s="256">
        <v>8</v>
      </c>
      <c r="B60" s="257" t="s">
        <v>446</v>
      </c>
      <c r="C60" s="260">
        <v>0</v>
      </c>
      <c r="D60" s="260">
        <v>0</v>
      </c>
      <c r="E60" s="260">
        <f t="shared" si="6"/>
        <v>0</v>
      </c>
      <c r="F60" s="259">
        <f t="shared" si="7"/>
        <v>0</v>
      </c>
    </row>
    <row r="61" spans="1:6" ht="20.25" customHeight="1" x14ac:dyDescent="0.3">
      <c r="A61" s="256">
        <v>9</v>
      </c>
      <c r="B61" s="257" t="s">
        <v>447</v>
      </c>
      <c r="C61" s="260">
        <v>0</v>
      </c>
      <c r="D61" s="260">
        <v>0</v>
      </c>
      <c r="E61" s="260">
        <f t="shared" si="6"/>
        <v>0</v>
      </c>
      <c r="F61" s="259">
        <f t="shared" si="7"/>
        <v>0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0</v>
      </c>
      <c r="D62" s="263">
        <f>+D53+D55</f>
        <v>0</v>
      </c>
      <c r="E62" s="263">
        <f t="shared" si="6"/>
        <v>0</v>
      </c>
      <c r="F62" s="264">
        <f t="shared" si="7"/>
        <v>0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0</v>
      </c>
      <c r="D63" s="263">
        <f>+D54+D56</f>
        <v>0</v>
      </c>
      <c r="E63" s="263">
        <f t="shared" si="6"/>
        <v>0</v>
      </c>
      <c r="F63" s="264">
        <f t="shared" si="7"/>
        <v>0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1713274</v>
      </c>
      <c r="D66" s="258">
        <v>1678232</v>
      </c>
      <c r="E66" s="258">
        <f t="shared" ref="E66:E76" si="8">D66-C66</f>
        <v>-35042</v>
      </c>
      <c r="F66" s="259">
        <f t="shared" ref="F66:F76" si="9">IF(C66=0,0,E66/C66)</f>
        <v>-2.0453237485656119E-2</v>
      </c>
    </row>
    <row r="67" spans="1:6" ht="20.25" customHeight="1" x14ac:dyDescent="0.3">
      <c r="A67" s="256">
        <v>2</v>
      </c>
      <c r="B67" s="257" t="s">
        <v>442</v>
      </c>
      <c r="C67" s="258">
        <v>554115</v>
      </c>
      <c r="D67" s="258">
        <v>396694</v>
      </c>
      <c r="E67" s="258">
        <f t="shared" si="8"/>
        <v>-157421</v>
      </c>
      <c r="F67" s="259">
        <f t="shared" si="9"/>
        <v>-0.28409445692681123</v>
      </c>
    </row>
    <row r="68" spans="1:6" ht="20.25" customHeight="1" x14ac:dyDescent="0.3">
      <c r="A68" s="256">
        <v>3</v>
      </c>
      <c r="B68" s="257" t="s">
        <v>443</v>
      </c>
      <c r="C68" s="258">
        <v>1371152</v>
      </c>
      <c r="D68" s="258">
        <v>1045204</v>
      </c>
      <c r="E68" s="258">
        <f t="shared" si="8"/>
        <v>-325948</v>
      </c>
      <c r="F68" s="259">
        <f t="shared" si="9"/>
        <v>-0.2377183565352346</v>
      </c>
    </row>
    <row r="69" spans="1:6" ht="20.25" customHeight="1" x14ac:dyDescent="0.3">
      <c r="A69" s="256">
        <v>4</v>
      </c>
      <c r="B69" s="257" t="s">
        <v>444</v>
      </c>
      <c r="C69" s="258">
        <v>286126</v>
      </c>
      <c r="D69" s="258">
        <v>196779</v>
      </c>
      <c r="E69" s="258">
        <f t="shared" si="8"/>
        <v>-89347</v>
      </c>
      <c r="F69" s="259">
        <f t="shared" si="9"/>
        <v>-0.3122645268168569</v>
      </c>
    </row>
    <row r="70" spans="1:6" ht="20.25" customHeight="1" x14ac:dyDescent="0.3">
      <c r="A70" s="256">
        <v>5</v>
      </c>
      <c r="B70" s="257" t="s">
        <v>381</v>
      </c>
      <c r="C70" s="260">
        <v>55</v>
      </c>
      <c r="D70" s="260">
        <v>37</v>
      </c>
      <c r="E70" s="260">
        <f t="shared" si="8"/>
        <v>-18</v>
      </c>
      <c r="F70" s="259">
        <f t="shared" si="9"/>
        <v>-0.32727272727272727</v>
      </c>
    </row>
    <row r="71" spans="1:6" ht="20.25" customHeight="1" x14ac:dyDescent="0.3">
      <c r="A71" s="256">
        <v>6</v>
      </c>
      <c r="B71" s="257" t="s">
        <v>380</v>
      </c>
      <c r="C71" s="260">
        <v>257</v>
      </c>
      <c r="D71" s="260">
        <v>223</v>
      </c>
      <c r="E71" s="260">
        <f t="shared" si="8"/>
        <v>-34</v>
      </c>
      <c r="F71" s="259">
        <f t="shared" si="9"/>
        <v>-0.13229571984435798</v>
      </c>
    </row>
    <row r="72" spans="1:6" ht="20.25" customHeight="1" x14ac:dyDescent="0.3">
      <c r="A72" s="256">
        <v>7</v>
      </c>
      <c r="B72" s="257" t="s">
        <v>445</v>
      </c>
      <c r="C72" s="260">
        <v>654</v>
      </c>
      <c r="D72" s="260">
        <v>463</v>
      </c>
      <c r="E72" s="260">
        <f t="shared" si="8"/>
        <v>-191</v>
      </c>
      <c r="F72" s="259">
        <f t="shared" si="9"/>
        <v>-0.29204892966360857</v>
      </c>
    </row>
    <row r="73" spans="1:6" ht="20.25" customHeight="1" x14ac:dyDescent="0.3">
      <c r="A73" s="256">
        <v>8</v>
      </c>
      <c r="B73" s="257" t="s">
        <v>446</v>
      </c>
      <c r="C73" s="260">
        <v>93</v>
      </c>
      <c r="D73" s="260">
        <v>94</v>
      </c>
      <c r="E73" s="260">
        <f t="shared" si="8"/>
        <v>1</v>
      </c>
      <c r="F73" s="259">
        <f t="shared" si="9"/>
        <v>1.0752688172043012E-2</v>
      </c>
    </row>
    <row r="74" spans="1:6" ht="20.25" customHeight="1" x14ac:dyDescent="0.3">
      <c r="A74" s="256">
        <v>9</v>
      </c>
      <c r="B74" s="257" t="s">
        <v>447</v>
      </c>
      <c r="C74" s="260">
        <v>50</v>
      </c>
      <c r="D74" s="260">
        <v>23</v>
      </c>
      <c r="E74" s="260">
        <f t="shared" si="8"/>
        <v>-27</v>
      </c>
      <c r="F74" s="259">
        <f t="shared" si="9"/>
        <v>-0.54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3084426</v>
      </c>
      <c r="D75" s="263">
        <f>+D66+D68</f>
        <v>2723436</v>
      </c>
      <c r="E75" s="263">
        <f t="shared" si="8"/>
        <v>-360990</v>
      </c>
      <c r="F75" s="264">
        <f t="shared" si="9"/>
        <v>-0.1170363626814195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840241</v>
      </c>
      <c r="D76" s="263">
        <f>+D67+D69</f>
        <v>593473</v>
      </c>
      <c r="E76" s="263">
        <f t="shared" si="8"/>
        <v>-246768</v>
      </c>
      <c r="F76" s="264">
        <f t="shared" si="9"/>
        <v>-0.29368716832432601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0</v>
      </c>
      <c r="D79" s="258">
        <v>0</v>
      </c>
      <c r="E79" s="258">
        <f t="shared" ref="E79:E89" si="10">D79-C79</f>
        <v>0</v>
      </c>
      <c r="F79" s="259">
        <f t="shared" ref="F79:F89" si="11">IF(C79=0,0,E79/C79)</f>
        <v>0</v>
      </c>
    </row>
    <row r="80" spans="1:6" ht="20.25" customHeight="1" x14ac:dyDescent="0.3">
      <c r="A80" s="256">
        <v>2</v>
      </c>
      <c r="B80" s="257" t="s">
        <v>442</v>
      </c>
      <c r="C80" s="258">
        <v>0</v>
      </c>
      <c r="D80" s="258">
        <v>0</v>
      </c>
      <c r="E80" s="258">
        <f t="shared" si="10"/>
        <v>0</v>
      </c>
      <c r="F80" s="259">
        <f t="shared" si="11"/>
        <v>0</v>
      </c>
    </row>
    <row r="81" spans="1:6" ht="20.25" customHeight="1" x14ac:dyDescent="0.3">
      <c r="A81" s="256">
        <v>3</v>
      </c>
      <c r="B81" s="257" t="s">
        <v>443</v>
      </c>
      <c r="C81" s="258">
        <v>17782</v>
      </c>
      <c r="D81" s="258">
        <v>0</v>
      </c>
      <c r="E81" s="258">
        <f t="shared" si="10"/>
        <v>-17782</v>
      </c>
      <c r="F81" s="259">
        <f t="shared" si="11"/>
        <v>-1</v>
      </c>
    </row>
    <row r="82" spans="1:6" ht="20.25" customHeight="1" x14ac:dyDescent="0.3">
      <c r="A82" s="256">
        <v>4</v>
      </c>
      <c r="B82" s="257" t="s">
        <v>444</v>
      </c>
      <c r="C82" s="258">
        <v>4966</v>
      </c>
      <c r="D82" s="258">
        <v>0</v>
      </c>
      <c r="E82" s="258">
        <f t="shared" si="10"/>
        <v>-4966</v>
      </c>
      <c r="F82" s="259">
        <f t="shared" si="11"/>
        <v>-1</v>
      </c>
    </row>
    <row r="83" spans="1:6" ht="20.25" customHeight="1" x14ac:dyDescent="0.3">
      <c r="A83" s="256">
        <v>5</v>
      </c>
      <c r="B83" s="257" t="s">
        <v>381</v>
      </c>
      <c r="C83" s="260">
        <v>0</v>
      </c>
      <c r="D83" s="260">
        <v>0</v>
      </c>
      <c r="E83" s="260">
        <f t="shared" si="10"/>
        <v>0</v>
      </c>
      <c r="F83" s="259">
        <f t="shared" si="11"/>
        <v>0</v>
      </c>
    </row>
    <row r="84" spans="1:6" ht="20.25" customHeight="1" x14ac:dyDescent="0.3">
      <c r="A84" s="256">
        <v>6</v>
      </c>
      <c r="B84" s="257" t="s">
        <v>380</v>
      </c>
      <c r="C84" s="260">
        <v>0</v>
      </c>
      <c r="D84" s="260">
        <v>0</v>
      </c>
      <c r="E84" s="260">
        <f t="shared" si="10"/>
        <v>0</v>
      </c>
      <c r="F84" s="259">
        <f t="shared" si="11"/>
        <v>0</v>
      </c>
    </row>
    <row r="85" spans="1:6" ht="20.25" customHeight="1" x14ac:dyDescent="0.3">
      <c r="A85" s="256">
        <v>7</v>
      </c>
      <c r="B85" s="257" t="s">
        <v>445</v>
      </c>
      <c r="C85" s="260">
        <v>7</v>
      </c>
      <c r="D85" s="260">
        <v>0</v>
      </c>
      <c r="E85" s="260">
        <f t="shared" si="10"/>
        <v>-7</v>
      </c>
      <c r="F85" s="259">
        <f t="shared" si="11"/>
        <v>-1</v>
      </c>
    </row>
    <row r="86" spans="1:6" ht="20.25" customHeight="1" x14ac:dyDescent="0.3">
      <c r="A86" s="256">
        <v>8</v>
      </c>
      <c r="B86" s="257" t="s">
        <v>446</v>
      </c>
      <c r="C86" s="260">
        <v>2</v>
      </c>
      <c r="D86" s="260">
        <v>0</v>
      </c>
      <c r="E86" s="260">
        <f t="shared" si="10"/>
        <v>-2</v>
      </c>
      <c r="F86" s="259">
        <f t="shared" si="11"/>
        <v>-1</v>
      </c>
    </row>
    <row r="87" spans="1:6" ht="20.25" customHeight="1" x14ac:dyDescent="0.3">
      <c r="A87" s="256">
        <v>9</v>
      </c>
      <c r="B87" s="257" t="s">
        <v>447</v>
      </c>
      <c r="C87" s="260">
        <v>0</v>
      </c>
      <c r="D87" s="260">
        <v>0</v>
      </c>
      <c r="E87" s="260">
        <f t="shared" si="10"/>
        <v>0</v>
      </c>
      <c r="F87" s="259">
        <f t="shared" si="11"/>
        <v>0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17782</v>
      </c>
      <c r="D88" s="263">
        <f>+D79+D81</f>
        <v>0</v>
      </c>
      <c r="E88" s="263">
        <f t="shared" si="10"/>
        <v>-17782</v>
      </c>
      <c r="F88" s="264">
        <f t="shared" si="11"/>
        <v>-1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4966</v>
      </c>
      <c r="D89" s="263">
        <f>+D80+D82</f>
        <v>0</v>
      </c>
      <c r="E89" s="263">
        <f t="shared" si="10"/>
        <v>-4966</v>
      </c>
      <c r="F89" s="264">
        <f t="shared" si="11"/>
        <v>-1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17643073</v>
      </c>
      <c r="D92" s="258">
        <v>19425260</v>
      </c>
      <c r="E92" s="258">
        <f t="shared" ref="E92:E102" si="12">D92-C92</f>
        <v>1782187</v>
      </c>
      <c r="F92" s="259">
        <f t="shared" ref="F92:F102" si="13">IF(C92=0,0,E92/C92)</f>
        <v>0.1010134118925881</v>
      </c>
    </row>
    <row r="93" spans="1:6" ht="20.25" customHeight="1" x14ac:dyDescent="0.3">
      <c r="A93" s="256">
        <v>2</v>
      </c>
      <c r="B93" s="257" t="s">
        <v>442</v>
      </c>
      <c r="C93" s="258">
        <v>4620018</v>
      </c>
      <c r="D93" s="258">
        <v>5269035</v>
      </c>
      <c r="E93" s="258">
        <f t="shared" si="12"/>
        <v>649017</v>
      </c>
      <c r="F93" s="259">
        <f t="shared" si="13"/>
        <v>0.14047932280783321</v>
      </c>
    </row>
    <row r="94" spans="1:6" ht="20.25" customHeight="1" x14ac:dyDescent="0.3">
      <c r="A94" s="256">
        <v>3</v>
      </c>
      <c r="B94" s="257" t="s">
        <v>443</v>
      </c>
      <c r="C94" s="258">
        <v>8743105</v>
      </c>
      <c r="D94" s="258">
        <v>10101925</v>
      </c>
      <c r="E94" s="258">
        <f t="shared" si="12"/>
        <v>1358820</v>
      </c>
      <c r="F94" s="259">
        <f t="shared" si="13"/>
        <v>0.15541618223731729</v>
      </c>
    </row>
    <row r="95" spans="1:6" ht="20.25" customHeight="1" x14ac:dyDescent="0.3">
      <c r="A95" s="256">
        <v>4</v>
      </c>
      <c r="B95" s="257" t="s">
        <v>444</v>
      </c>
      <c r="C95" s="258">
        <v>2077367</v>
      </c>
      <c r="D95" s="258">
        <v>2067819</v>
      </c>
      <c r="E95" s="258">
        <f t="shared" si="12"/>
        <v>-9548</v>
      </c>
      <c r="F95" s="259">
        <f t="shared" si="13"/>
        <v>-4.5962027893963848E-3</v>
      </c>
    </row>
    <row r="96" spans="1:6" ht="20.25" customHeight="1" x14ac:dyDescent="0.3">
      <c r="A96" s="256">
        <v>5</v>
      </c>
      <c r="B96" s="257" t="s">
        <v>381</v>
      </c>
      <c r="C96" s="260">
        <v>412</v>
      </c>
      <c r="D96" s="260">
        <v>389</v>
      </c>
      <c r="E96" s="260">
        <f t="shared" si="12"/>
        <v>-23</v>
      </c>
      <c r="F96" s="259">
        <f t="shared" si="13"/>
        <v>-5.5825242718446605E-2</v>
      </c>
    </row>
    <row r="97" spans="1:6" ht="20.25" customHeight="1" x14ac:dyDescent="0.3">
      <c r="A97" s="256">
        <v>6</v>
      </c>
      <c r="B97" s="257" t="s">
        <v>380</v>
      </c>
      <c r="C97" s="260">
        <v>2343</v>
      </c>
      <c r="D97" s="260">
        <v>2421</v>
      </c>
      <c r="E97" s="260">
        <f t="shared" si="12"/>
        <v>78</v>
      </c>
      <c r="F97" s="259">
        <f t="shared" si="13"/>
        <v>3.3290653008962869E-2</v>
      </c>
    </row>
    <row r="98" spans="1:6" ht="20.25" customHeight="1" x14ac:dyDescent="0.3">
      <c r="A98" s="256">
        <v>7</v>
      </c>
      <c r="B98" s="257" t="s">
        <v>445</v>
      </c>
      <c r="C98" s="260">
        <v>4228</v>
      </c>
      <c r="D98" s="260">
        <v>4482</v>
      </c>
      <c r="E98" s="260">
        <f t="shared" si="12"/>
        <v>254</v>
      </c>
      <c r="F98" s="259">
        <f t="shared" si="13"/>
        <v>6.0075685903500473E-2</v>
      </c>
    </row>
    <row r="99" spans="1:6" ht="20.25" customHeight="1" x14ac:dyDescent="0.3">
      <c r="A99" s="256">
        <v>8</v>
      </c>
      <c r="B99" s="257" t="s">
        <v>446</v>
      </c>
      <c r="C99" s="260">
        <v>397</v>
      </c>
      <c r="D99" s="260">
        <v>483</v>
      </c>
      <c r="E99" s="260">
        <f t="shared" si="12"/>
        <v>86</v>
      </c>
      <c r="F99" s="259">
        <f t="shared" si="13"/>
        <v>0.21662468513853905</v>
      </c>
    </row>
    <row r="100" spans="1:6" ht="20.25" customHeight="1" x14ac:dyDescent="0.3">
      <c r="A100" s="256">
        <v>9</v>
      </c>
      <c r="B100" s="257" t="s">
        <v>447</v>
      </c>
      <c r="C100" s="260">
        <v>366</v>
      </c>
      <c r="D100" s="260">
        <v>336</v>
      </c>
      <c r="E100" s="260">
        <f t="shared" si="12"/>
        <v>-30</v>
      </c>
      <c r="F100" s="259">
        <f t="shared" si="13"/>
        <v>-8.1967213114754092E-2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26386178</v>
      </c>
      <c r="D101" s="263">
        <f>+D92+D94</f>
        <v>29527185</v>
      </c>
      <c r="E101" s="263">
        <f t="shared" si="12"/>
        <v>3141007</v>
      </c>
      <c r="F101" s="264">
        <f t="shared" si="13"/>
        <v>0.1190398624613235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6697385</v>
      </c>
      <c r="D102" s="263">
        <f>+D93+D95</f>
        <v>7336854</v>
      </c>
      <c r="E102" s="263">
        <f t="shared" si="12"/>
        <v>639469</v>
      </c>
      <c r="F102" s="264">
        <f t="shared" si="13"/>
        <v>9.5480400186042758E-2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248473</v>
      </c>
      <c r="D105" s="258">
        <v>335454</v>
      </c>
      <c r="E105" s="258">
        <f t="shared" ref="E105:E115" si="14">D105-C105</f>
        <v>86981</v>
      </c>
      <c r="F105" s="259">
        <f t="shared" ref="F105:F115" si="15">IF(C105=0,0,E105/C105)</f>
        <v>0.35006217979418286</v>
      </c>
    </row>
    <row r="106" spans="1:6" ht="20.25" customHeight="1" x14ac:dyDescent="0.3">
      <c r="A106" s="256">
        <v>2</v>
      </c>
      <c r="B106" s="257" t="s">
        <v>442</v>
      </c>
      <c r="C106" s="258">
        <v>92381</v>
      </c>
      <c r="D106" s="258">
        <v>101361</v>
      </c>
      <c r="E106" s="258">
        <f t="shared" si="14"/>
        <v>8980</v>
      </c>
      <c r="F106" s="259">
        <f t="shared" si="15"/>
        <v>9.7206135460754919E-2</v>
      </c>
    </row>
    <row r="107" spans="1:6" ht="20.25" customHeight="1" x14ac:dyDescent="0.3">
      <c r="A107" s="256">
        <v>3</v>
      </c>
      <c r="B107" s="257" t="s">
        <v>443</v>
      </c>
      <c r="C107" s="258">
        <v>100777</v>
      </c>
      <c r="D107" s="258">
        <v>644487</v>
      </c>
      <c r="E107" s="258">
        <f t="shared" si="14"/>
        <v>543710</v>
      </c>
      <c r="F107" s="259">
        <f t="shared" si="15"/>
        <v>5.3951794556297568</v>
      </c>
    </row>
    <row r="108" spans="1:6" ht="20.25" customHeight="1" x14ac:dyDescent="0.3">
      <c r="A108" s="256">
        <v>4</v>
      </c>
      <c r="B108" s="257" t="s">
        <v>444</v>
      </c>
      <c r="C108" s="258">
        <v>23248</v>
      </c>
      <c r="D108" s="258">
        <v>132721</v>
      </c>
      <c r="E108" s="258">
        <f t="shared" si="14"/>
        <v>109473</v>
      </c>
      <c r="F108" s="259">
        <f t="shared" si="15"/>
        <v>4.7089211975223675</v>
      </c>
    </row>
    <row r="109" spans="1:6" ht="20.25" customHeight="1" x14ac:dyDescent="0.3">
      <c r="A109" s="256">
        <v>5</v>
      </c>
      <c r="B109" s="257" t="s">
        <v>381</v>
      </c>
      <c r="C109" s="260">
        <v>6</v>
      </c>
      <c r="D109" s="260">
        <v>16</v>
      </c>
      <c r="E109" s="260">
        <f t="shared" si="14"/>
        <v>10</v>
      </c>
      <c r="F109" s="259">
        <f t="shared" si="15"/>
        <v>1.6666666666666667</v>
      </c>
    </row>
    <row r="110" spans="1:6" ht="20.25" customHeight="1" x14ac:dyDescent="0.3">
      <c r="A110" s="256">
        <v>6</v>
      </c>
      <c r="B110" s="257" t="s">
        <v>380</v>
      </c>
      <c r="C110" s="260">
        <v>26</v>
      </c>
      <c r="D110" s="260">
        <v>37</v>
      </c>
      <c r="E110" s="260">
        <f t="shared" si="14"/>
        <v>11</v>
      </c>
      <c r="F110" s="259">
        <f t="shared" si="15"/>
        <v>0.42307692307692307</v>
      </c>
    </row>
    <row r="111" spans="1:6" ht="20.25" customHeight="1" x14ac:dyDescent="0.3">
      <c r="A111" s="256">
        <v>7</v>
      </c>
      <c r="B111" s="257" t="s">
        <v>445</v>
      </c>
      <c r="C111" s="260">
        <v>61</v>
      </c>
      <c r="D111" s="260">
        <v>186</v>
      </c>
      <c r="E111" s="260">
        <f t="shared" si="14"/>
        <v>125</v>
      </c>
      <c r="F111" s="259">
        <f t="shared" si="15"/>
        <v>2.0491803278688523</v>
      </c>
    </row>
    <row r="112" spans="1:6" ht="20.25" customHeight="1" x14ac:dyDescent="0.3">
      <c r="A112" s="256">
        <v>8</v>
      </c>
      <c r="B112" s="257" t="s">
        <v>446</v>
      </c>
      <c r="C112" s="260">
        <v>19</v>
      </c>
      <c r="D112" s="260">
        <v>71</v>
      </c>
      <c r="E112" s="260">
        <f t="shared" si="14"/>
        <v>52</v>
      </c>
      <c r="F112" s="259">
        <f t="shared" si="15"/>
        <v>2.736842105263158</v>
      </c>
    </row>
    <row r="113" spans="1:6" ht="20.25" customHeight="1" x14ac:dyDescent="0.3">
      <c r="A113" s="256">
        <v>9</v>
      </c>
      <c r="B113" s="257" t="s">
        <v>447</v>
      </c>
      <c r="C113" s="260">
        <v>3</v>
      </c>
      <c r="D113" s="260">
        <v>15</v>
      </c>
      <c r="E113" s="260">
        <f t="shared" si="14"/>
        <v>12</v>
      </c>
      <c r="F113" s="259">
        <f t="shared" si="15"/>
        <v>4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349250</v>
      </c>
      <c r="D114" s="263">
        <f>+D105+D107</f>
        <v>979941</v>
      </c>
      <c r="E114" s="263">
        <f t="shared" si="14"/>
        <v>630691</v>
      </c>
      <c r="F114" s="264">
        <f t="shared" si="15"/>
        <v>1.8058439513242663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115629</v>
      </c>
      <c r="D115" s="263">
        <f>+D106+D108</f>
        <v>234082</v>
      </c>
      <c r="E115" s="263">
        <f t="shared" si="14"/>
        <v>118453</v>
      </c>
      <c r="F115" s="264">
        <f t="shared" si="15"/>
        <v>1.0244229388821144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1146001</v>
      </c>
      <c r="D118" s="258">
        <v>2916238</v>
      </c>
      <c r="E118" s="258">
        <f t="shared" ref="E118:E128" si="16">D118-C118</f>
        <v>1770237</v>
      </c>
      <c r="F118" s="259">
        <f t="shared" ref="F118:F128" si="17">IF(C118=0,0,E118/C118)</f>
        <v>1.5447080761709633</v>
      </c>
    </row>
    <row r="119" spans="1:6" ht="20.25" customHeight="1" x14ac:dyDescent="0.3">
      <c r="A119" s="256">
        <v>2</v>
      </c>
      <c r="B119" s="257" t="s">
        <v>442</v>
      </c>
      <c r="C119" s="258">
        <v>271600</v>
      </c>
      <c r="D119" s="258">
        <v>722974</v>
      </c>
      <c r="E119" s="258">
        <f t="shared" si="16"/>
        <v>451374</v>
      </c>
      <c r="F119" s="259">
        <f t="shared" si="17"/>
        <v>1.6619072164948454</v>
      </c>
    </row>
    <row r="120" spans="1:6" ht="20.25" customHeight="1" x14ac:dyDescent="0.3">
      <c r="A120" s="256">
        <v>3</v>
      </c>
      <c r="B120" s="257" t="s">
        <v>443</v>
      </c>
      <c r="C120" s="258">
        <v>586187</v>
      </c>
      <c r="D120" s="258">
        <v>1896209</v>
      </c>
      <c r="E120" s="258">
        <f t="shared" si="16"/>
        <v>1310022</v>
      </c>
      <c r="F120" s="259">
        <f t="shared" si="17"/>
        <v>2.2348192641597304</v>
      </c>
    </row>
    <row r="121" spans="1:6" ht="20.25" customHeight="1" x14ac:dyDescent="0.3">
      <c r="A121" s="256">
        <v>4</v>
      </c>
      <c r="B121" s="257" t="s">
        <v>444</v>
      </c>
      <c r="C121" s="258">
        <v>153498</v>
      </c>
      <c r="D121" s="258">
        <v>401569</v>
      </c>
      <c r="E121" s="258">
        <f t="shared" si="16"/>
        <v>248071</v>
      </c>
      <c r="F121" s="259">
        <f t="shared" si="17"/>
        <v>1.6161187767918801</v>
      </c>
    </row>
    <row r="122" spans="1:6" ht="20.25" customHeight="1" x14ac:dyDescent="0.3">
      <c r="A122" s="256">
        <v>5</v>
      </c>
      <c r="B122" s="257" t="s">
        <v>381</v>
      </c>
      <c r="C122" s="260">
        <v>30</v>
      </c>
      <c r="D122" s="260">
        <v>63</v>
      </c>
      <c r="E122" s="260">
        <f t="shared" si="16"/>
        <v>33</v>
      </c>
      <c r="F122" s="259">
        <f t="shared" si="17"/>
        <v>1.1000000000000001</v>
      </c>
    </row>
    <row r="123" spans="1:6" ht="20.25" customHeight="1" x14ac:dyDescent="0.3">
      <c r="A123" s="256">
        <v>6</v>
      </c>
      <c r="B123" s="257" t="s">
        <v>380</v>
      </c>
      <c r="C123" s="260">
        <v>174</v>
      </c>
      <c r="D123" s="260">
        <v>346</v>
      </c>
      <c r="E123" s="260">
        <f t="shared" si="16"/>
        <v>172</v>
      </c>
      <c r="F123" s="259">
        <f t="shared" si="17"/>
        <v>0.9885057471264368</v>
      </c>
    </row>
    <row r="124" spans="1:6" ht="20.25" customHeight="1" x14ac:dyDescent="0.3">
      <c r="A124" s="256">
        <v>7</v>
      </c>
      <c r="B124" s="257" t="s">
        <v>445</v>
      </c>
      <c r="C124" s="260">
        <v>243</v>
      </c>
      <c r="D124" s="260">
        <v>793</v>
      </c>
      <c r="E124" s="260">
        <f t="shared" si="16"/>
        <v>550</v>
      </c>
      <c r="F124" s="259">
        <f t="shared" si="17"/>
        <v>2.263374485596708</v>
      </c>
    </row>
    <row r="125" spans="1:6" ht="20.25" customHeight="1" x14ac:dyDescent="0.3">
      <c r="A125" s="256">
        <v>8</v>
      </c>
      <c r="B125" s="257" t="s">
        <v>446</v>
      </c>
      <c r="C125" s="260">
        <v>36</v>
      </c>
      <c r="D125" s="260">
        <v>66</v>
      </c>
      <c r="E125" s="260">
        <f t="shared" si="16"/>
        <v>30</v>
      </c>
      <c r="F125" s="259">
        <f t="shared" si="17"/>
        <v>0.83333333333333337</v>
      </c>
    </row>
    <row r="126" spans="1:6" ht="20.25" customHeight="1" x14ac:dyDescent="0.3">
      <c r="A126" s="256">
        <v>9</v>
      </c>
      <c r="B126" s="257" t="s">
        <v>447</v>
      </c>
      <c r="C126" s="260">
        <v>25</v>
      </c>
      <c r="D126" s="260">
        <v>52</v>
      </c>
      <c r="E126" s="260">
        <f t="shared" si="16"/>
        <v>27</v>
      </c>
      <c r="F126" s="259">
        <f t="shared" si="17"/>
        <v>1.08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1732188</v>
      </c>
      <c r="D127" s="263">
        <f>+D118+D120</f>
        <v>4812447</v>
      </c>
      <c r="E127" s="263">
        <f t="shared" si="16"/>
        <v>3080259</v>
      </c>
      <c r="F127" s="264">
        <f t="shared" si="17"/>
        <v>1.7782475112401195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425098</v>
      </c>
      <c r="D128" s="263">
        <f>+D119+D121</f>
        <v>1124543</v>
      </c>
      <c r="E128" s="263">
        <f t="shared" si="16"/>
        <v>699445</v>
      </c>
      <c r="F128" s="264">
        <f t="shared" si="17"/>
        <v>1.6453735373960827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686976</v>
      </c>
      <c r="D131" s="258">
        <v>56122</v>
      </c>
      <c r="E131" s="258">
        <f t="shared" ref="E131:E141" si="18">D131-C131</f>
        <v>-630854</v>
      </c>
      <c r="F131" s="259">
        <f t="shared" ref="F131:F141" si="19">IF(C131=0,0,E131/C131)</f>
        <v>-0.91830573411589345</v>
      </c>
    </row>
    <row r="132" spans="1:6" ht="20.25" customHeight="1" x14ac:dyDescent="0.3">
      <c r="A132" s="256">
        <v>2</v>
      </c>
      <c r="B132" s="257" t="s">
        <v>442</v>
      </c>
      <c r="C132" s="258">
        <v>179323</v>
      </c>
      <c r="D132" s="258">
        <v>6931</v>
      </c>
      <c r="E132" s="258">
        <f t="shared" si="18"/>
        <v>-172392</v>
      </c>
      <c r="F132" s="259">
        <f t="shared" si="19"/>
        <v>-0.9613490740172761</v>
      </c>
    </row>
    <row r="133" spans="1:6" ht="20.25" customHeight="1" x14ac:dyDescent="0.3">
      <c r="A133" s="256">
        <v>3</v>
      </c>
      <c r="B133" s="257" t="s">
        <v>443</v>
      </c>
      <c r="C133" s="258">
        <v>123301</v>
      </c>
      <c r="D133" s="258">
        <v>134892</v>
      </c>
      <c r="E133" s="258">
        <f t="shared" si="18"/>
        <v>11591</v>
      </c>
      <c r="F133" s="259">
        <f t="shared" si="19"/>
        <v>9.4005725825419093E-2</v>
      </c>
    </row>
    <row r="134" spans="1:6" ht="20.25" customHeight="1" x14ac:dyDescent="0.3">
      <c r="A134" s="256">
        <v>4</v>
      </c>
      <c r="B134" s="257" t="s">
        <v>444</v>
      </c>
      <c r="C134" s="258">
        <v>31110</v>
      </c>
      <c r="D134" s="258">
        <v>24227</v>
      </c>
      <c r="E134" s="258">
        <f t="shared" si="18"/>
        <v>-6883</v>
      </c>
      <c r="F134" s="259">
        <f t="shared" si="19"/>
        <v>-0.22124718739954999</v>
      </c>
    </row>
    <row r="135" spans="1:6" ht="20.25" customHeight="1" x14ac:dyDescent="0.3">
      <c r="A135" s="256">
        <v>5</v>
      </c>
      <c r="B135" s="257" t="s">
        <v>381</v>
      </c>
      <c r="C135" s="260">
        <v>11</v>
      </c>
      <c r="D135" s="260">
        <v>1</v>
      </c>
      <c r="E135" s="260">
        <f t="shared" si="18"/>
        <v>-10</v>
      </c>
      <c r="F135" s="259">
        <f t="shared" si="19"/>
        <v>-0.90909090909090906</v>
      </c>
    </row>
    <row r="136" spans="1:6" ht="20.25" customHeight="1" x14ac:dyDescent="0.3">
      <c r="A136" s="256">
        <v>6</v>
      </c>
      <c r="B136" s="257" t="s">
        <v>380</v>
      </c>
      <c r="C136" s="260">
        <v>83</v>
      </c>
      <c r="D136" s="260">
        <v>9</v>
      </c>
      <c r="E136" s="260">
        <f t="shared" si="18"/>
        <v>-74</v>
      </c>
      <c r="F136" s="259">
        <f t="shared" si="19"/>
        <v>-0.89156626506024095</v>
      </c>
    </row>
    <row r="137" spans="1:6" ht="20.25" customHeight="1" x14ac:dyDescent="0.3">
      <c r="A137" s="256">
        <v>7</v>
      </c>
      <c r="B137" s="257" t="s">
        <v>445</v>
      </c>
      <c r="C137" s="260">
        <v>37</v>
      </c>
      <c r="D137" s="260">
        <v>33</v>
      </c>
      <c r="E137" s="260">
        <f t="shared" si="18"/>
        <v>-4</v>
      </c>
      <c r="F137" s="259">
        <f t="shared" si="19"/>
        <v>-0.10810810810810811</v>
      </c>
    </row>
    <row r="138" spans="1:6" ht="20.25" customHeight="1" x14ac:dyDescent="0.3">
      <c r="A138" s="256">
        <v>8</v>
      </c>
      <c r="B138" s="257" t="s">
        <v>446</v>
      </c>
      <c r="C138" s="260">
        <v>17</v>
      </c>
      <c r="D138" s="260">
        <v>15</v>
      </c>
      <c r="E138" s="260">
        <f t="shared" si="18"/>
        <v>-2</v>
      </c>
      <c r="F138" s="259">
        <f t="shared" si="19"/>
        <v>-0.11764705882352941</v>
      </c>
    </row>
    <row r="139" spans="1:6" ht="20.25" customHeight="1" x14ac:dyDescent="0.3">
      <c r="A139" s="256">
        <v>9</v>
      </c>
      <c r="B139" s="257" t="s">
        <v>447</v>
      </c>
      <c r="C139" s="260">
        <v>10</v>
      </c>
      <c r="D139" s="260">
        <v>11</v>
      </c>
      <c r="E139" s="260">
        <f t="shared" si="18"/>
        <v>1</v>
      </c>
      <c r="F139" s="259">
        <f t="shared" si="19"/>
        <v>0.1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810277</v>
      </c>
      <c r="D140" s="263">
        <f>+D131+D133</f>
        <v>191014</v>
      </c>
      <c r="E140" s="263">
        <f t="shared" si="18"/>
        <v>-619263</v>
      </c>
      <c r="F140" s="264">
        <f t="shared" si="19"/>
        <v>-0.76426086387741476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210433</v>
      </c>
      <c r="D141" s="263">
        <f>+D132+D134</f>
        <v>31158</v>
      </c>
      <c r="E141" s="263">
        <f t="shared" si="18"/>
        <v>-179275</v>
      </c>
      <c r="F141" s="264">
        <f t="shared" si="19"/>
        <v>-0.8519338696877391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0</v>
      </c>
      <c r="D144" s="258">
        <v>0</v>
      </c>
      <c r="E144" s="258">
        <f t="shared" ref="E144:E154" si="20">D144-C144</f>
        <v>0</v>
      </c>
      <c r="F144" s="259">
        <f t="shared" ref="F144:F154" si="21">IF(C144=0,0,E144/C144)</f>
        <v>0</v>
      </c>
    </row>
    <row r="145" spans="1:6" ht="20.25" customHeight="1" x14ac:dyDescent="0.3">
      <c r="A145" s="256">
        <v>2</v>
      </c>
      <c r="B145" s="257" t="s">
        <v>442</v>
      </c>
      <c r="C145" s="258">
        <v>0</v>
      </c>
      <c r="D145" s="258">
        <v>0</v>
      </c>
      <c r="E145" s="258">
        <f t="shared" si="20"/>
        <v>0</v>
      </c>
      <c r="F145" s="259">
        <f t="shared" si="21"/>
        <v>0</v>
      </c>
    </row>
    <row r="146" spans="1:6" ht="20.25" customHeight="1" x14ac:dyDescent="0.3">
      <c r="A146" s="256">
        <v>3</v>
      </c>
      <c r="B146" s="257" t="s">
        <v>443</v>
      </c>
      <c r="C146" s="258">
        <v>0</v>
      </c>
      <c r="D146" s="258">
        <v>0</v>
      </c>
      <c r="E146" s="258">
        <f t="shared" si="20"/>
        <v>0</v>
      </c>
      <c r="F146" s="259">
        <f t="shared" si="21"/>
        <v>0</v>
      </c>
    </row>
    <row r="147" spans="1:6" ht="20.25" customHeight="1" x14ac:dyDescent="0.3">
      <c r="A147" s="256">
        <v>4</v>
      </c>
      <c r="B147" s="257" t="s">
        <v>444</v>
      </c>
      <c r="C147" s="258">
        <v>0</v>
      </c>
      <c r="D147" s="258">
        <v>0</v>
      </c>
      <c r="E147" s="258">
        <f t="shared" si="20"/>
        <v>0</v>
      </c>
      <c r="F147" s="259">
        <f t="shared" si="21"/>
        <v>0</v>
      </c>
    </row>
    <row r="148" spans="1:6" ht="20.25" customHeight="1" x14ac:dyDescent="0.3">
      <c r="A148" s="256">
        <v>5</v>
      </c>
      <c r="B148" s="257" t="s">
        <v>381</v>
      </c>
      <c r="C148" s="260">
        <v>0</v>
      </c>
      <c r="D148" s="260">
        <v>0</v>
      </c>
      <c r="E148" s="260">
        <f t="shared" si="20"/>
        <v>0</v>
      </c>
      <c r="F148" s="259">
        <f t="shared" si="21"/>
        <v>0</v>
      </c>
    </row>
    <row r="149" spans="1:6" ht="20.25" customHeight="1" x14ac:dyDescent="0.3">
      <c r="A149" s="256">
        <v>6</v>
      </c>
      <c r="B149" s="257" t="s">
        <v>380</v>
      </c>
      <c r="C149" s="260">
        <v>0</v>
      </c>
      <c r="D149" s="260">
        <v>0</v>
      </c>
      <c r="E149" s="260">
        <f t="shared" si="20"/>
        <v>0</v>
      </c>
      <c r="F149" s="259">
        <f t="shared" si="21"/>
        <v>0</v>
      </c>
    </row>
    <row r="150" spans="1:6" ht="20.25" customHeight="1" x14ac:dyDescent="0.3">
      <c r="A150" s="256">
        <v>7</v>
      </c>
      <c r="B150" s="257" t="s">
        <v>445</v>
      </c>
      <c r="C150" s="260">
        <v>0</v>
      </c>
      <c r="D150" s="260">
        <v>0</v>
      </c>
      <c r="E150" s="260">
        <f t="shared" si="20"/>
        <v>0</v>
      </c>
      <c r="F150" s="259">
        <f t="shared" si="21"/>
        <v>0</v>
      </c>
    </row>
    <row r="151" spans="1:6" ht="20.25" customHeight="1" x14ac:dyDescent="0.3">
      <c r="A151" s="256">
        <v>8</v>
      </c>
      <c r="B151" s="257" t="s">
        <v>446</v>
      </c>
      <c r="C151" s="260">
        <v>0</v>
      </c>
      <c r="D151" s="260">
        <v>0</v>
      </c>
      <c r="E151" s="260">
        <f t="shared" si="20"/>
        <v>0</v>
      </c>
      <c r="F151" s="259">
        <f t="shared" si="21"/>
        <v>0</v>
      </c>
    </row>
    <row r="152" spans="1:6" ht="20.25" customHeight="1" x14ac:dyDescent="0.3">
      <c r="A152" s="256">
        <v>9</v>
      </c>
      <c r="B152" s="257" t="s">
        <v>447</v>
      </c>
      <c r="C152" s="260">
        <v>0</v>
      </c>
      <c r="D152" s="260">
        <v>0</v>
      </c>
      <c r="E152" s="260">
        <f t="shared" si="20"/>
        <v>0</v>
      </c>
      <c r="F152" s="259">
        <f t="shared" si="21"/>
        <v>0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0</v>
      </c>
      <c r="D153" s="263">
        <f>+D144+D146</f>
        <v>0</v>
      </c>
      <c r="E153" s="263">
        <f t="shared" si="20"/>
        <v>0</v>
      </c>
      <c r="F153" s="264">
        <f t="shared" si="21"/>
        <v>0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0</v>
      </c>
      <c r="D154" s="263">
        <f>+D145+D147</f>
        <v>0</v>
      </c>
      <c r="E154" s="263">
        <f t="shared" si="20"/>
        <v>0</v>
      </c>
      <c r="F154" s="264">
        <f t="shared" si="21"/>
        <v>0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454960</v>
      </c>
      <c r="D183" s="258">
        <v>610479</v>
      </c>
      <c r="E183" s="258">
        <f t="shared" ref="E183:E193" si="26">D183-C183</f>
        <v>155519</v>
      </c>
      <c r="F183" s="259">
        <f t="shared" ref="F183:F193" si="27">IF(C183=0,0,E183/C183)</f>
        <v>0.34183005099349395</v>
      </c>
    </row>
    <row r="184" spans="1:6" ht="20.25" customHeight="1" x14ac:dyDescent="0.3">
      <c r="A184" s="256">
        <v>2</v>
      </c>
      <c r="B184" s="257" t="s">
        <v>442</v>
      </c>
      <c r="C184" s="258">
        <v>147480</v>
      </c>
      <c r="D184" s="258">
        <v>131934</v>
      </c>
      <c r="E184" s="258">
        <f t="shared" si="26"/>
        <v>-15546</v>
      </c>
      <c r="F184" s="259">
        <f t="shared" si="27"/>
        <v>-0.10541090317331163</v>
      </c>
    </row>
    <row r="185" spans="1:6" ht="20.25" customHeight="1" x14ac:dyDescent="0.3">
      <c r="A185" s="256">
        <v>3</v>
      </c>
      <c r="B185" s="257" t="s">
        <v>443</v>
      </c>
      <c r="C185" s="258">
        <v>166118</v>
      </c>
      <c r="D185" s="258">
        <v>93597</v>
      </c>
      <c r="E185" s="258">
        <f t="shared" si="26"/>
        <v>-72521</v>
      </c>
      <c r="F185" s="259">
        <f t="shared" si="27"/>
        <v>-0.43656316594228201</v>
      </c>
    </row>
    <row r="186" spans="1:6" ht="20.25" customHeight="1" x14ac:dyDescent="0.3">
      <c r="A186" s="256">
        <v>4</v>
      </c>
      <c r="B186" s="257" t="s">
        <v>444</v>
      </c>
      <c r="C186" s="258">
        <v>35934</v>
      </c>
      <c r="D186" s="258">
        <v>36485</v>
      </c>
      <c r="E186" s="258">
        <f t="shared" si="26"/>
        <v>551</v>
      </c>
      <c r="F186" s="259">
        <f t="shared" si="27"/>
        <v>1.5333667278900205E-2</v>
      </c>
    </row>
    <row r="187" spans="1:6" ht="20.25" customHeight="1" x14ac:dyDescent="0.3">
      <c r="A187" s="256">
        <v>5</v>
      </c>
      <c r="B187" s="257" t="s">
        <v>381</v>
      </c>
      <c r="C187" s="260">
        <v>11</v>
      </c>
      <c r="D187" s="260">
        <v>9</v>
      </c>
      <c r="E187" s="260">
        <f t="shared" si="26"/>
        <v>-2</v>
      </c>
      <c r="F187" s="259">
        <f t="shared" si="27"/>
        <v>-0.18181818181818182</v>
      </c>
    </row>
    <row r="188" spans="1:6" ht="20.25" customHeight="1" x14ac:dyDescent="0.3">
      <c r="A188" s="256">
        <v>6</v>
      </c>
      <c r="B188" s="257" t="s">
        <v>380</v>
      </c>
      <c r="C188" s="260">
        <v>66</v>
      </c>
      <c r="D188" s="260">
        <v>79</v>
      </c>
      <c r="E188" s="260">
        <f t="shared" si="26"/>
        <v>13</v>
      </c>
      <c r="F188" s="259">
        <f t="shared" si="27"/>
        <v>0.19696969696969696</v>
      </c>
    </row>
    <row r="189" spans="1:6" ht="20.25" customHeight="1" x14ac:dyDescent="0.3">
      <c r="A189" s="256">
        <v>7</v>
      </c>
      <c r="B189" s="257" t="s">
        <v>445</v>
      </c>
      <c r="C189" s="260">
        <v>68</v>
      </c>
      <c r="D189" s="260">
        <v>15</v>
      </c>
      <c r="E189" s="260">
        <f t="shared" si="26"/>
        <v>-53</v>
      </c>
      <c r="F189" s="259">
        <f t="shared" si="27"/>
        <v>-0.77941176470588236</v>
      </c>
    </row>
    <row r="190" spans="1:6" ht="20.25" customHeight="1" x14ac:dyDescent="0.3">
      <c r="A190" s="256">
        <v>8</v>
      </c>
      <c r="B190" s="257" t="s">
        <v>446</v>
      </c>
      <c r="C190" s="260">
        <v>6</v>
      </c>
      <c r="D190" s="260">
        <v>4</v>
      </c>
      <c r="E190" s="260">
        <f t="shared" si="26"/>
        <v>-2</v>
      </c>
      <c r="F190" s="259">
        <f t="shared" si="27"/>
        <v>-0.33333333333333331</v>
      </c>
    </row>
    <row r="191" spans="1:6" ht="20.25" customHeight="1" x14ac:dyDescent="0.3">
      <c r="A191" s="256">
        <v>9</v>
      </c>
      <c r="B191" s="257" t="s">
        <v>447</v>
      </c>
      <c r="C191" s="260">
        <v>9</v>
      </c>
      <c r="D191" s="260">
        <v>9</v>
      </c>
      <c r="E191" s="260">
        <f t="shared" si="26"/>
        <v>0</v>
      </c>
      <c r="F191" s="259">
        <f t="shared" si="27"/>
        <v>0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621078</v>
      </c>
      <c r="D192" s="263">
        <f>+D183+D185</f>
        <v>704076</v>
      </c>
      <c r="E192" s="263">
        <f t="shared" si="26"/>
        <v>82998</v>
      </c>
      <c r="F192" s="264">
        <f t="shared" si="27"/>
        <v>0.13363538879174597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183414</v>
      </c>
      <c r="D193" s="263">
        <f>+D184+D186</f>
        <v>168419</v>
      </c>
      <c r="E193" s="263">
        <f t="shared" si="26"/>
        <v>-14995</v>
      </c>
      <c r="F193" s="264">
        <f t="shared" si="27"/>
        <v>-8.1754936918664881E-2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801" t="s">
        <v>44</v>
      </c>
      <c r="B195" s="802" t="s">
        <v>464</v>
      </c>
      <c r="C195" s="804"/>
      <c r="D195" s="805"/>
      <c r="E195" s="805"/>
      <c r="F195" s="806"/>
      <c r="G195" s="786"/>
      <c r="H195" s="786"/>
      <c r="I195" s="786"/>
    </row>
    <row r="196" spans="1:9" ht="20.25" customHeight="1" x14ac:dyDescent="0.3">
      <c r="A196" s="792"/>
      <c r="B196" s="803"/>
      <c r="C196" s="798"/>
      <c r="D196" s="799"/>
      <c r="E196" s="799"/>
      <c r="F196" s="800"/>
      <c r="G196" s="786"/>
      <c r="H196" s="786"/>
      <c r="I196" s="786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26976401</v>
      </c>
      <c r="D198" s="263">
        <f t="shared" si="28"/>
        <v>30346099</v>
      </c>
      <c r="E198" s="263">
        <f t="shared" ref="E198:E208" si="29">D198-C198</f>
        <v>3369698</v>
      </c>
      <c r="F198" s="273">
        <f t="shared" ref="F198:F208" si="30">IF(C198=0,0,E198/C198)</f>
        <v>0.12491280805026586</v>
      </c>
    </row>
    <row r="199" spans="1:9" ht="20.25" customHeight="1" x14ac:dyDescent="0.3">
      <c r="A199" s="271"/>
      <c r="B199" s="272" t="s">
        <v>466</v>
      </c>
      <c r="C199" s="263">
        <f t="shared" si="28"/>
        <v>7379091</v>
      </c>
      <c r="D199" s="263">
        <f t="shared" si="28"/>
        <v>8009830</v>
      </c>
      <c r="E199" s="263">
        <f t="shared" si="29"/>
        <v>630739</v>
      </c>
      <c r="F199" s="273">
        <f t="shared" si="30"/>
        <v>8.5476517365079246E-2</v>
      </c>
    </row>
    <row r="200" spans="1:9" ht="20.25" customHeight="1" x14ac:dyDescent="0.3">
      <c r="A200" s="271"/>
      <c r="B200" s="272" t="s">
        <v>467</v>
      </c>
      <c r="C200" s="263">
        <f t="shared" si="28"/>
        <v>14793586</v>
      </c>
      <c r="D200" s="263">
        <f t="shared" si="28"/>
        <v>17664073</v>
      </c>
      <c r="E200" s="263">
        <f t="shared" si="29"/>
        <v>2870487</v>
      </c>
      <c r="F200" s="273">
        <f t="shared" si="30"/>
        <v>0.19403591529464187</v>
      </c>
    </row>
    <row r="201" spans="1:9" ht="20.25" customHeight="1" x14ac:dyDescent="0.3">
      <c r="A201" s="271"/>
      <c r="B201" s="272" t="s">
        <v>468</v>
      </c>
      <c r="C201" s="263">
        <f t="shared" si="28"/>
        <v>3467265</v>
      </c>
      <c r="D201" s="263">
        <f t="shared" si="28"/>
        <v>3627517</v>
      </c>
      <c r="E201" s="263">
        <f t="shared" si="29"/>
        <v>160252</v>
      </c>
      <c r="F201" s="273">
        <f t="shared" si="30"/>
        <v>4.6218561315619085E-2</v>
      </c>
    </row>
    <row r="202" spans="1:9" ht="20.25" customHeight="1" x14ac:dyDescent="0.3">
      <c r="A202" s="271"/>
      <c r="B202" s="272" t="s">
        <v>138</v>
      </c>
      <c r="C202" s="274">
        <f t="shared" si="28"/>
        <v>653</v>
      </c>
      <c r="D202" s="274">
        <f t="shared" si="28"/>
        <v>643</v>
      </c>
      <c r="E202" s="274">
        <f t="shared" si="29"/>
        <v>-10</v>
      </c>
      <c r="F202" s="273">
        <f t="shared" si="30"/>
        <v>-1.5313935681470138E-2</v>
      </c>
    </row>
    <row r="203" spans="1:9" ht="20.25" customHeight="1" x14ac:dyDescent="0.3">
      <c r="A203" s="271"/>
      <c r="B203" s="272" t="s">
        <v>140</v>
      </c>
      <c r="C203" s="274">
        <f t="shared" si="28"/>
        <v>3619</v>
      </c>
      <c r="D203" s="274">
        <f t="shared" si="28"/>
        <v>3792</v>
      </c>
      <c r="E203" s="274">
        <f t="shared" si="29"/>
        <v>173</v>
      </c>
      <c r="F203" s="273">
        <f t="shared" si="30"/>
        <v>4.7803260569218013E-2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6930</v>
      </c>
      <c r="D204" s="274">
        <f t="shared" si="28"/>
        <v>7588</v>
      </c>
      <c r="E204" s="274">
        <f t="shared" si="29"/>
        <v>658</v>
      </c>
      <c r="F204" s="273">
        <f t="shared" si="30"/>
        <v>9.494949494949495E-2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736</v>
      </c>
      <c r="D205" s="274">
        <f t="shared" si="28"/>
        <v>904</v>
      </c>
      <c r="E205" s="274">
        <f t="shared" si="29"/>
        <v>168</v>
      </c>
      <c r="F205" s="273">
        <f t="shared" si="30"/>
        <v>0.22826086956521738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574</v>
      </c>
      <c r="D206" s="274">
        <f t="shared" si="28"/>
        <v>562</v>
      </c>
      <c r="E206" s="274">
        <f t="shared" si="29"/>
        <v>-12</v>
      </c>
      <c r="F206" s="273">
        <f t="shared" si="30"/>
        <v>-2.0905923344947737E-2</v>
      </c>
    </row>
    <row r="207" spans="1:9" ht="20.25" customHeight="1" x14ac:dyDescent="0.3">
      <c r="A207" s="271"/>
      <c r="B207" s="262" t="s">
        <v>471</v>
      </c>
      <c r="C207" s="263">
        <f>+C198+C200</f>
        <v>41769987</v>
      </c>
      <c r="D207" s="263">
        <f>+D198+D200</f>
        <v>48010172</v>
      </c>
      <c r="E207" s="263">
        <f t="shared" si="29"/>
        <v>6240185</v>
      </c>
      <c r="F207" s="273">
        <f t="shared" si="30"/>
        <v>0.14939398951692276</v>
      </c>
    </row>
    <row r="208" spans="1:9" ht="20.25" customHeight="1" x14ac:dyDescent="0.3">
      <c r="A208" s="271"/>
      <c r="B208" s="262" t="s">
        <v>472</v>
      </c>
      <c r="C208" s="263">
        <f>+C199+C201</f>
        <v>10846356</v>
      </c>
      <c r="D208" s="263">
        <f>+D199+D201</f>
        <v>11637347</v>
      </c>
      <c r="E208" s="263">
        <f t="shared" si="29"/>
        <v>790991</v>
      </c>
      <c r="F208" s="273">
        <f t="shared" si="30"/>
        <v>7.2926888993870384E-2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rintOptions gridLines="1"/>
  <pageMargins left="0.25" right="0.25" top="0.5" bottom="0.5" header="0.25" footer="0.25"/>
  <pageSetup scale="57" fitToHeight="0" orientation="portrait" horizontalDpi="1200" verticalDpi="1200" r:id="rId1"/>
  <headerFooter>
    <oddHeader>&amp;LOFFICE OF HEALTH CARE ACCESS&amp;CTWELVE MONTHS ACTUAL FILING&amp;RNORWALK HOSPITAL</oddHeader>
    <oddFooter>&amp;LREPORT 100&amp;CPAGE &amp;P of &amp;N&amp;R&amp;D, 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"/>
  <sheetViews>
    <sheetView zoomScale="70" workbookViewId="0">
      <selection sqref="A1:F1"/>
    </sheetView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7" t="s">
        <v>0</v>
      </c>
      <c r="B2" s="787"/>
      <c r="C2" s="787"/>
      <c r="D2" s="787"/>
      <c r="E2" s="787"/>
      <c r="F2" s="787"/>
    </row>
    <row r="3" spans="1:7" ht="20.25" customHeight="1" x14ac:dyDescent="0.3">
      <c r="A3" s="787" t="s">
        <v>1</v>
      </c>
      <c r="B3" s="787"/>
      <c r="C3" s="787"/>
      <c r="D3" s="787"/>
      <c r="E3" s="787"/>
      <c r="F3" s="787"/>
    </row>
    <row r="4" spans="1:7" ht="20.25" customHeight="1" x14ac:dyDescent="0.3">
      <c r="A4" s="787" t="s">
        <v>314</v>
      </c>
      <c r="B4" s="787"/>
      <c r="C4" s="787"/>
      <c r="D4" s="787"/>
      <c r="E4" s="787"/>
      <c r="F4" s="787"/>
    </row>
    <row r="5" spans="1:7" ht="20.25" customHeight="1" x14ac:dyDescent="0.3">
      <c r="A5" s="787" t="s">
        <v>473</v>
      </c>
      <c r="B5" s="787"/>
      <c r="C5" s="787"/>
      <c r="D5" s="787"/>
      <c r="E5" s="787"/>
      <c r="F5" s="78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801" t="s">
        <v>12</v>
      </c>
      <c r="B10" s="802" t="s">
        <v>116</v>
      </c>
      <c r="C10" s="804"/>
      <c r="D10" s="805"/>
      <c r="E10" s="805"/>
      <c r="F10" s="806"/>
    </row>
    <row r="11" spans="1:7" ht="20.25" customHeight="1" x14ac:dyDescent="0.3">
      <c r="A11" s="792"/>
      <c r="B11" s="803"/>
      <c r="C11" s="798"/>
      <c r="D11" s="799"/>
      <c r="E11" s="799"/>
      <c r="F11" s="800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2010172</v>
      </c>
      <c r="D26" s="258">
        <v>0</v>
      </c>
      <c r="E26" s="258">
        <f t="shared" ref="E26:E36" si="2">D26-C26</f>
        <v>-2010172</v>
      </c>
      <c r="F26" s="259">
        <f t="shared" ref="F26:F36" si="3">IF(C26=0,0,E26/C26)</f>
        <v>-1</v>
      </c>
    </row>
    <row r="27" spans="1:6" ht="20.25" customHeight="1" x14ac:dyDescent="0.3">
      <c r="A27" s="256">
        <v>2</v>
      </c>
      <c r="B27" s="257" t="s">
        <v>442</v>
      </c>
      <c r="C27" s="258">
        <v>503767</v>
      </c>
      <c r="D27" s="258">
        <v>0</v>
      </c>
      <c r="E27" s="258">
        <f t="shared" si="2"/>
        <v>-503767</v>
      </c>
      <c r="F27" s="259">
        <f t="shared" si="3"/>
        <v>-1</v>
      </c>
    </row>
    <row r="28" spans="1:6" ht="20.25" customHeight="1" x14ac:dyDescent="0.3">
      <c r="A28" s="256">
        <v>3</v>
      </c>
      <c r="B28" s="257" t="s">
        <v>443</v>
      </c>
      <c r="C28" s="258">
        <v>4057601</v>
      </c>
      <c r="D28" s="258">
        <v>0</v>
      </c>
      <c r="E28" s="258">
        <f t="shared" si="2"/>
        <v>-4057601</v>
      </c>
      <c r="F28" s="259">
        <f t="shared" si="3"/>
        <v>-1</v>
      </c>
    </row>
    <row r="29" spans="1:6" ht="20.25" customHeight="1" x14ac:dyDescent="0.3">
      <c r="A29" s="256">
        <v>4</v>
      </c>
      <c r="B29" s="257" t="s">
        <v>444</v>
      </c>
      <c r="C29" s="258">
        <v>716724</v>
      </c>
      <c r="D29" s="258">
        <v>0</v>
      </c>
      <c r="E29" s="258">
        <f t="shared" si="2"/>
        <v>-716724</v>
      </c>
      <c r="F29" s="259">
        <f t="shared" si="3"/>
        <v>-1</v>
      </c>
    </row>
    <row r="30" spans="1:6" ht="20.25" customHeight="1" x14ac:dyDescent="0.3">
      <c r="A30" s="256">
        <v>5</v>
      </c>
      <c r="B30" s="257" t="s">
        <v>381</v>
      </c>
      <c r="C30" s="260">
        <v>124</v>
      </c>
      <c r="D30" s="260">
        <v>0</v>
      </c>
      <c r="E30" s="260">
        <f t="shared" si="2"/>
        <v>-124</v>
      </c>
      <c r="F30" s="259">
        <f t="shared" si="3"/>
        <v>-1</v>
      </c>
    </row>
    <row r="31" spans="1:6" ht="20.25" customHeight="1" x14ac:dyDescent="0.3">
      <c r="A31" s="256">
        <v>6</v>
      </c>
      <c r="B31" s="257" t="s">
        <v>380</v>
      </c>
      <c r="C31" s="260">
        <v>291</v>
      </c>
      <c r="D31" s="260">
        <v>0</v>
      </c>
      <c r="E31" s="260">
        <f t="shared" si="2"/>
        <v>-291</v>
      </c>
      <c r="F31" s="259">
        <f t="shared" si="3"/>
        <v>-1</v>
      </c>
    </row>
    <row r="32" spans="1:6" ht="20.25" customHeight="1" x14ac:dyDescent="0.3">
      <c r="A32" s="256">
        <v>7</v>
      </c>
      <c r="B32" s="257" t="s">
        <v>445</v>
      </c>
      <c r="C32" s="260">
        <v>2163</v>
      </c>
      <c r="D32" s="260">
        <v>0</v>
      </c>
      <c r="E32" s="260">
        <f t="shared" si="2"/>
        <v>-2163</v>
      </c>
      <c r="F32" s="259">
        <f t="shared" si="3"/>
        <v>-1</v>
      </c>
    </row>
    <row r="33" spans="1:6" ht="20.25" customHeight="1" x14ac:dyDescent="0.3">
      <c r="A33" s="256">
        <v>8</v>
      </c>
      <c r="B33" s="257" t="s">
        <v>446</v>
      </c>
      <c r="C33" s="260">
        <v>984</v>
      </c>
      <c r="D33" s="260">
        <v>0</v>
      </c>
      <c r="E33" s="260">
        <f t="shared" si="2"/>
        <v>-984</v>
      </c>
      <c r="F33" s="259">
        <f t="shared" si="3"/>
        <v>-1</v>
      </c>
    </row>
    <row r="34" spans="1:6" ht="20.25" customHeight="1" x14ac:dyDescent="0.3">
      <c r="A34" s="256">
        <v>9</v>
      </c>
      <c r="B34" s="257" t="s">
        <v>447</v>
      </c>
      <c r="C34" s="260">
        <v>55</v>
      </c>
      <c r="D34" s="260">
        <v>0</v>
      </c>
      <c r="E34" s="260">
        <f t="shared" si="2"/>
        <v>-55</v>
      </c>
      <c r="F34" s="259">
        <f t="shared" si="3"/>
        <v>-1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6067773</v>
      </c>
      <c r="D35" s="263">
        <f>+D26+D28</f>
        <v>0</v>
      </c>
      <c r="E35" s="263">
        <f t="shared" si="2"/>
        <v>-6067773</v>
      </c>
      <c r="F35" s="264">
        <f t="shared" si="3"/>
        <v>-1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1220491</v>
      </c>
      <c r="D36" s="263">
        <f>+D27+D29</f>
        <v>0</v>
      </c>
      <c r="E36" s="263">
        <f t="shared" si="2"/>
        <v>-1220491</v>
      </c>
      <c r="F36" s="264">
        <f t="shared" si="3"/>
        <v>-1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2274677</v>
      </c>
      <c r="D50" s="258">
        <v>0</v>
      </c>
      <c r="E50" s="258">
        <f t="shared" ref="E50:E60" si="6">D50-C50</f>
        <v>-2274677</v>
      </c>
      <c r="F50" s="259">
        <f t="shared" ref="F50:F60" si="7">IF(C50=0,0,E50/C50)</f>
        <v>-1</v>
      </c>
    </row>
    <row r="51" spans="1:6" ht="20.25" customHeight="1" x14ac:dyDescent="0.3">
      <c r="A51" s="256">
        <v>2</v>
      </c>
      <c r="B51" s="257" t="s">
        <v>442</v>
      </c>
      <c r="C51" s="258">
        <v>395173</v>
      </c>
      <c r="D51" s="258">
        <v>0</v>
      </c>
      <c r="E51" s="258">
        <f t="shared" si="6"/>
        <v>-395173</v>
      </c>
      <c r="F51" s="259">
        <f t="shared" si="7"/>
        <v>-1</v>
      </c>
    </row>
    <row r="52" spans="1:6" ht="20.25" customHeight="1" x14ac:dyDescent="0.3">
      <c r="A52" s="256">
        <v>3</v>
      </c>
      <c r="B52" s="257" t="s">
        <v>443</v>
      </c>
      <c r="C52" s="258">
        <v>1654096</v>
      </c>
      <c r="D52" s="258">
        <v>0</v>
      </c>
      <c r="E52" s="258">
        <f t="shared" si="6"/>
        <v>-1654096</v>
      </c>
      <c r="F52" s="259">
        <f t="shared" si="7"/>
        <v>-1</v>
      </c>
    </row>
    <row r="53" spans="1:6" ht="20.25" customHeight="1" x14ac:dyDescent="0.3">
      <c r="A53" s="256">
        <v>4</v>
      </c>
      <c r="B53" s="257" t="s">
        <v>444</v>
      </c>
      <c r="C53" s="258">
        <v>367546</v>
      </c>
      <c r="D53" s="258">
        <v>0</v>
      </c>
      <c r="E53" s="258">
        <f t="shared" si="6"/>
        <v>-367546</v>
      </c>
      <c r="F53" s="259">
        <f t="shared" si="7"/>
        <v>-1</v>
      </c>
    </row>
    <row r="54" spans="1:6" ht="20.25" customHeight="1" x14ac:dyDescent="0.3">
      <c r="A54" s="256">
        <v>5</v>
      </c>
      <c r="B54" s="257" t="s">
        <v>381</v>
      </c>
      <c r="C54" s="260">
        <v>73</v>
      </c>
      <c r="D54" s="260">
        <v>0</v>
      </c>
      <c r="E54" s="260">
        <f t="shared" si="6"/>
        <v>-73</v>
      </c>
      <c r="F54" s="259">
        <f t="shared" si="7"/>
        <v>-1</v>
      </c>
    </row>
    <row r="55" spans="1:6" ht="20.25" customHeight="1" x14ac:dyDescent="0.3">
      <c r="A55" s="256">
        <v>6</v>
      </c>
      <c r="B55" s="257" t="s">
        <v>380</v>
      </c>
      <c r="C55" s="260">
        <v>350</v>
      </c>
      <c r="D55" s="260">
        <v>0</v>
      </c>
      <c r="E55" s="260">
        <f t="shared" si="6"/>
        <v>-350</v>
      </c>
      <c r="F55" s="259">
        <f t="shared" si="7"/>
        <v>-1</v>
      </c>
    </row>
    <row r="56" spans="1:6" ht="20.25" customHeight="1" x14ac:dyDescent="0.3">
      <c r="A56" s="256">
        <v>7</v>
      </c>
      <c r="B56" s="257" t="s">
        <v>445</v>
      </c>
      <c r="C56" s="260">
        <v>1056</v>
      </c>
      <c r="D56" s="260">
        <v>0</v>
      </c>
      <c r="E56" s="260">
        <f t="shared" si="6"/>
        <v>-1056</v>
      </c>
      <c r="F56" s="259">
        <f t="shared" si="7"/>
        <v>-1</v>
      </c>
    </row>
    <row r="57" spans="1:6" ht="20.25" customHeight="1" x14ac:dyDescent="0.3">
      <c r="A57" s="256">
        <v>8</v>
      </c>
      <c r="B57" s="257" t="s">
        <v>446</v>
      </c>
      <c r="C57" s="260">
        <v>351</v>
      </c>
      <c r="D57" s="260">
        <v>0</v>
      </c>
      <c r="E57" s="260">
        <f t="shared" si="6"/>
        <v>-351</v>
      </c>
      <c r="F57" s="259">
        <f t="shared" si="7"/>
        <v>-1</v>
      </c>
    </row>
    <row r="58" spans="1:6" ht="20.25" customHeight="1" x14ac:dyDescent="0.3">
      <c r="A58" s="256">
        <v>9</v>
      </c>
      <c r="B58" s="257" t="s">
        <v>447</v>
      </c>
      <c r="C58" s="260">
        <v>16</v>
      </c>
      <c r="D58" s="260">
        <v>0</v>
      </c>
      <c r="E58" s="260">
        <f t="shared" si="6"/>
        <v>-16</v>
      </c>
      <c r="F58" s="259">
        <f t="shared" si="7"/>
        <v>-1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3928773</v>
      </c>
      <c r="D59" s="263">
        <f>+D50+D52</f>
        <v>0</v>
      </c>
      <c r="E59" s="263">
        <f t="shared" si="6"/>
        <v>-3928773</v>
      </c>
      <c r="F59" s="264">
        <f t="shared" si="7"/>
        <v>-1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762719</v>
      </c>
      <c r="D60" s="263">
        <f>+D51+D53</f>
        <v>0</v>
      </c>
      <c r="E60" s="263">
        <f t="shared" si="6"/>
        <v>-762719</v>
      </c>
      <c r="F60" s="264">
        <f t="shared" si="7"/>
        <v>-1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0</v>
      </c>
      <c r="D86" s="258">
        <v>0</v>
      </c>
      <c r="E86" s="258">
        <f t="shared" ref="E86:E96" si="12">D86-C86</f>
        <v>0</v>
      </c>
      <c r="F86" s="259">
        <f t="shared" ref="F86:F96" si="13">IF(C86=0,0,E86/C86)</f>
        <v>0</v>
      </c>
    </row>
    <row r="87" spans="1:6" ht="20.25" customHeight="1" x14ac:dyDescent="0.3">
      <c r="A87" s="256">
        <v>2</v>
      </c>
      <c r="B87" s="257" t="s">
        <v>442</v>
      </c>
      <c r="C87" s="258">
        <v>0</v>
      </c>
      <c r="D87" s="258">
        <v>0</v>
      </c>
      <c r="E87" s="258">
        <f t="shared" si="12"/>
        <v>0</v>
      </c>
      <c r="F87" s="259">
        <f t="shared" si="13"/>
        <v>0</v>
      </c>
    </row>
    <row r="88" spans="1:6" ht="20.25" customHeight="1" x14ac:dyDescent="0.3">
      <c r="A88" s="256">
        <v>3</v>
      </c>
      <c r="B88" s="257" t="s">
        <v>443</v>
      </c>
      <c r="C88" s="258">
        <v>0</v>
      </c>
      <c r="D88" s="258">
        <v>0</v>
      </c>
      <c r="E88" s="258">
        <f t="shared" si="12"/>
        <v>0</v>
      </c>
      <c r="F88" s="259">
        <f t="shared" si="13"/>
        <v>0</v>
      </c>
    </row>
    <row r="89" spans="1:6" ht="20.25" customHeight="1" x14ac:dyDescent="0.3">
      <c r="A89" s="256">
        <v>4</v>
      </c>
      <c r="B89" s="257" t="s">
        <v>444</v>
      </c>
      <c r="C89" s="258">
        <v>0</v>
      </c>
      <c r="D89" s="258">
        <v>0</v>
      </c>
      <c r="E89" s="258">
        <f t="shared" si="12"/>
        <v>0</v>
      </c>
      <c r="F89" s="259">
        <f t="shared" si="13"/>
        <v>0</v>
      </c>
    </row>
    <row r="90" spans="1:6" ht="20.25" customHeight="1" x14ac:dyDescent="0.3">
      <c r="A90" s="256">
        <v>5</v>
      </c>
      <c r="B90" s="257" t="s">
        <v>381</v>
      </c>
      <c r="C90" s="260">
        <v>0</v>
      </c>
      <c r="D90" s="260">
        <v>0</v>
      </c>
      <c r="E90" s="260">
        <f t="shared" si="12"/>
        <v>0</v>
      </c>
      <c r="F90" s="259">
        <f t="shared" si="13"/>
        <v>0</v>
      </c>
    </row>
    <row r="91" spans="1:6" ht="20.25" customHeight="1" x14ac:dyDescent="0.3">
      <c r="A91" s="256">
        <v>6</v>
      </c>
      <c r="B91" s="257" t="s">
        <v>380</v>
      </c>
      <c r="C91" s="260">
        <v>0</v>
      </c>
      <c r="D91" s="260">
        <v>0</v>
      </c>
      <c r="E91" s="260">
        <f t="shared" si="12"/>
        <v>0</v>
      </c>
      <c r="F91" s="259">
        <f t="shared" si="13"/>
        <v>0</v>
      </c>
    </row>
    <row r="92" spans="1:6" ht="20.25" customHeight="1" x14ac:dyDescent="0.3">
      <c r="A92" s="256">
        <v>7</v>
      </c>
      <c r="B92" s="257" t="s">
        <v>445</v>
      </c>
      <c r="C92" s="260">
        <v>0</v>
      </c>
      <c r="D92" s="260">
        <v>0</v>
      </c>
      <c r="E92" s="260">
        <f t="shared" si="12"/>
        <v>0</v>
      </c>
      <c r="F92" s="259">
        <f t="shared" si="13"/>
        <v>0</v>
      </c>
    </row>
    <row r="93" spans="1:6" ht="20.25" customHeight="1" x14ac:dyDescent="0.3">
      <c r="A93" s="256">
        <v>8</v>
      </c>
      <c r="B93" s="257" t="s">
        <v>446</v>
      </c>
      <c r="C93" s="260">
        <v>0</v>
      </c>
      <c r="D93" s="260">
        <v>0</v>
      </c>
      <c r="E93" s="260">
        <f t="shared" si="12"/>
        <v>0</v>
      </c>
      <c r="F93" s="259">
        <f t="shared" si="13"/>
        <v>0</v>
      </c>
    </row>
    <row r="94" spans="1:6" ht="20.25" customHeight="1" x14ac:dyDescent="0.3">
      <c r="A94" s="256">
        <v>9</v>
      </c>
      <c r="B94" s="257" t="s">
        <v>447</v>
      </c>
      <c r="C94" s="260">
        <v>0</v>
      </c>
      <c r="D94" s="260">
        <v>0</v>
      </c>
      <c r="E94" s="260">
        <f t="shared" si="12"/>
        <v>0</v>
      </c>
      <c r="F94" s="259">
        <f t="shared" si="13"/>
        <v>0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0</v>
      </c>
      <c r="D95" s="263">
        <f>+D86+D88</f>
        <v>0</v>
      </c>
      <c r="E95" s="263">
        <f t="shared" si="12"/>
        <v>0</v>
      </c>
      <c r="F95" s="264">
        <f t="shared" si="13"/>
        <v>0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0</v>
      </c>
      <c r="D96" s="263">
        <f>+D87+D89</f>
        <v>0</v>
      </c>
      <c r="E96" s="263">
        <f t="shared" si="12"/>
        <v>0</v>
      </c>
      <c r="F96" s="264">
        <f t="shared" si="13"/>
        <v>0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945104</v>
      </c>
      <c r="D98" s="258">
        <v>0</v>
      </c>
      <c r="E98" s="258">
        <f t="shared" ref="E98:E108" si="14">D98-C98</f>
        <v>-945104</v>
      </c>
      <c r="F98" s="259">
        <f t="shared" ref="F98:F108" si="15">IF(C98=0,0,E98/C98)</f>
        <v>-1</v>
      </c>
    </row>
    <row r="99" spans="1:7" ht="20.25" customHeight="1" x14ac:dyDescent="0.3">
      <c r="A99" s="256">
        <v>2</v>
      </c>
      <c r="B99" s="257" t="s">
        <v>442</v>
      </c>
      <c r="C99" s="258">
        <v>193547</v>
      </c>
      <c r="D99" s="258">
        <v>0</v>
      </c>
      <c r="E99" s="258">
        <f t="shared" si="14"/>
        <v>-193547</v>
      </c>
      <c r="F99" s="259">
        <f t="shared" si="15"/>
        <v>-1</v>
      </c>
    </row>
    <row r="100" spans="1:7" ht="20.25" customHeight="1" x14ac:dyDescent="0.3">
      <c r="A100" s="256">
        <v>3</v>
      </c>
      <c r="B100" s="257" t="s">
        <v>443</v>
      </c>
      <c r="C100" s="258">
        <v>827532</v>
      </c>
      <c r="D100" s="258">
        <v>0</v>
      </c>
      <c r="E100" s="258">
        <f t="shared" si="14"/>
        <v>-827532</v>
      </c>
      <c r="F100" s="259">
        <f t="shared" si="15"/>
        <v>-1</v>
      </c>
    </row>
    <row r="101" spans="1:7" ht="20.25" customHeight="1" x14ac:dyDescent="0.3">
      <c r="A101" s="256">
        <v>4</v>
      </c>
      <c r="B101" s="257" t="s">
        <v>444</v>
      </c>
      <c r="C101" s="258">
        <v>182945</v>
      </c>
      <c r="D101" s="258">
        <v>0</v>
      </c>
      <c r="E101" s="258">
        <f t="shared" si="14"/>
        <v>-182945</v>
      </c>
      <c r="F101" s="259">
        <f t="shared" si="15"/>
        <v>-1</v>
      </c>
    </row>
    <row r="102" spans="1:7" ht="20.25" customHeight="1" x14ac:dyDescent="0.3">
      <c r="A102" s="256">
        <v>5</v>
      </c>
      <c r="B102" s="257" t="s">
        <v>381</v>
      </c>
      <c r="C102" s="260">
        <v>47</v>
      </c>
      <c r="D102" s="260">
        <v>0</v>
      </c>
      <c r="E102" s="260">
        <f t="shared" si="14"/>
        <v>-47</v>
      </c>
      <c r="F102" s="259">
        <f t="shared" si="15"/>
        <v>-1</v>
      </c>
    </row>
    <row r="103" spans="1:7" ht="20.25" customHeight="1" x14ac:dyDescent="0.3">
      <c r="A103" s="256">
        <v>6</v>
      </c>
      <c r="B103" s="257" t="s">
        <v>380</v>
      </c>
      <c r="C103" s="260">
        <v>153</v>
      </c>
      <c r="D103" s="260">
        <v>0</v>
      </c>
      <c r="E103" s="260">
        <f t="shared" si="14"/>
        <v>-153</v>
      </c>
      <c r="F103" s="259">
        <f t="shared" si="15"/>
        <v>-1</v>
      </c>
    </row>
    <row r="104" spans="1:7" ht="20.25" customHeight="1" x14ac:dyDescent="0.3">
      <c r="A104" s="256">
        <v>7</v>
      </c>
      <c r="B104" s="257" t="s">
        <v>445</v>
      </c>
      <c r="C104" s="260">
        <v>372</v>
      </c>
      <c r="D104" s="260">
        <v>0</v>
      </c>
      <c r="E104" s="260">
        <f t="shared" si="14"/>
        <v>-372</v>
      </c>
      <c r="F104" s="259">
        <f t="shared" si="15"/>
        <v>-1</v>
      </c>
    </row>
    <row r="105" spans="1:7" ht="20.25" customHeight="1" x14ac:dyDescent="0.3">
      <c r="A105" s="256">
        <v>8</v>
      </c>
      <c r="B105" s="257" t="s">
        <v>446</v>
      </c>
      <c r="C105" s="260">
        <v>191</v>
      </c>
      <c r="D105" s="260">
        <v>0</v>
      </c>
      <c r="E105" s="260">
        <f t="shared" si="14"/>
        <v>-191</v>
      </c>
      <c r="F105" s="259">
        <f t="shared" si="15"/>
        <v>-1</v>
      </c>
    </row>
    <row r="106" spans="1:7" ht="20.25" customHeight="1" x14ac:dyDescent="0.3">
      <c r="A106" s="256">
        <v>9</v>
      </c>
      <c r="B106" s="257" t="s">
        <v>447</v>
      </c>
      <c r="C106" s="260">
        <v>23</v>
      </c>
      <c r="D106" s="260">
        <v>0</v>
      </c>
      <c r="E106" s="260">
        <f t="shared" si="14"/>
        <v>-23</v>
      </c>
      <c r="F106" s="259">
        <f t="shared" si="15"/>
        <v>-1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1772636</v>
      </c>
      <c r="D107" s="263">
        <f>+D98+D100</f>
        <v>0</v>
      </c>
      <c r="E107" s="263">
        <f t="shared" si="14"/>
        <v>-1772636</v>
      </c>
      <c r="F107" s="264">
        <f t="shared" si="15"/>
        <v>-1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376492</v>
      </c>
      <c r="D108" s="263">
        <f>+D99+D101</f>
        <v>0</v>
      </c>
      <c r="E108" s="263">
        <f t="shared" si="14"/>
        <v>-376492</v>
      </c>
      <c r="F108" s="264">
        <f t="shared" si="15"/>
        <v>-1</v>
      </c>
    </row>
    <row r="109" spans="1:7" s="265" customFormat="1" ht="20.25" customHeight="1" x14ac:dyDescent="0.3">
      <c r="A109" s="801" t="s">
        <v>44</v>
      </c>
      <c r="B109" s="802" t="s">
        <v>490</v>
      </c>
      <c r="C109" s="804"/>
      <c r="D109" s="805"/>
      <c r="E109" s="805"/>
      <c r="F109" s="806"/>
      <c r="G109" s="245"/>
    </row>
    <row r="110" spans="1:7" ht="20.25" customHeight="1" x14ac:dyDescent="0.3">
      <c r="A110" s="792"/>
      <c r="B110" s="803"/>
      <c r="C110" s="798"/>
      <c r="D110" s="799"/>
      <c r="E110" s="799"/>
      <c r="F110" s="800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5229953</v>
      </c>
      <c r="D112" s="263">
        <f t="shared" si="16"/>
        <v>0</v>
      </c>
      <c r="E112" s="263">
        <f t="shared" ref="E112:E122" si="17">D112-C112</f>
        <v>-5229953</v>
      </c>
      <c r="F112" s="264">
        <f t="shared" ref="F112:F122" si="18">IF(C112=0,0,E112/C112)</f>
        <v>-1</v>
      </c>
    </row>
    <row r="113" spans="1:6" ht="20.25" customHeight="1" x14ac:dyDescent="0.3">
      <c r="A113" s="271"/>
      <c r="B113" s="286" t="s">
        <v>492</v>
      </c>
      <c r="C113" s="263">
        <f t="shared" si="16"/>
        <v>1092487</v>
      </c>
      <c r="D113" s="263">
        <f t="shared" si="16"/>
        <v>0</v>
      </c>
      <c r="E113" s="263">
        <f t="shared" si="17"/>
        <v>-1092487</v>
      </c>
      <c r="F113" s="264">
        <f t="shared" si="18"/>
        <v>-1</v>
      </c>
    </row>
    <row r="114" spans="1:6" ht="20.25" customHeight="1" x14ac:dyDescent="0.3">
      <c r="A114" s="271"/>
      <c r="B114" s="286" t="s">
        <v>493</v>
      </c>
      <c r="C114" s="263">
        <f t="shared" si="16"/>
        <v>6539229</v>
      </c>
      <c r="D114" s="263">
        <f t="shared" si="16"/>
        <v>0</v>
      </c>
      <c r="E114" s="263">
        <f t="shared" si="17"/>
        <v>-6539229</v>
      </c>
      <c r="F114" s="264">
        <f t="shared" si="18"/>
        <v>-1</v>
      </c>
    </row>
    <row r="115" spans="1:6" ht="20.25" customHeight="1" x14ac:dyDescent="0.3">
      <c r="A115" s="271"/>
      <c r="B115" s="286" t="s">
        <v>494</v>
      </c>
      <c r="C115" s="263">
        <f t="shared" si="16"/>
        <v>1267215</v>
      </c>
      <c r="D115" s="263">
        <f t="shared" si="16"/>
        <v>0</v>
      </c>
      <c r="E115" s="263">
        <f t="shared" si="17"/>
        <v>-1267215</v>
      </c>
      <c r="F115" s="264">
        <f t="shared" si="18"/>
        <v>-1</v>
      </c>
    </row>
    <row r="116" spans="1:6" ht="20.25" customHeight="1" x14ac:dyDescent="0.3">
      <c r="A116" s="271"/>
      <c r="B116" s="286" t="s">
        <v>495</v>
      </c>
      <c r="C116" s="287">
        <f t="shared" si="16"/>
        <v>244</v>
      </c>
      <c r="D116" s="287">
        <f t="shared" si="16"/>
        <v>0</v>
      </c>
      <c r="E116" s="287">
        <f t="shared" si="17"/>
        <v>-244</v>
      </c>
      <c r="F116" s="264">
        <f t="shared" si="18"/>
        <v>-1</v>
      </c>
    </row>
    <row r="117" spans="1:6" ht="20.25" customHeight="1" x14ac:dyDescent="0.3">
      <c r="A117" s="271"/>
      <c r="B117" s="286" t="s">
        <v>496</v>
      </c>
      <c r="C117" s="287">
        <f t="shared" si="16"/>
        <v>794</v>
      </c>
      <c r="D117" s="287">
        <f t="shared" si="16"/>
        <v>0</v>
      </c>
      <c r="E117" s="287">
        <f t="shared" si="17"/>
        <v>-794</v>
      </c>
      <c r="F117" s="264">
        <f t="shared" si="18"/>
        <v>-1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3591</v>
      </c>
      <c r="D118" s="287">
        <f t="shared" si="16"/>
        <v>0</v>
      </c>
      <c r="E118" s="287">
        <f t="shared" si="17"/>
        <v>-3591</v>
      </c>
      <c r="F118" s="264">
        <f t="shared" si="18"/>
        <v>-1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1526</v>
      </c>
      <c r="D119" s="287">
        <f t="shared" si="16"/>
        <v>0</v>
      </c>
      <c r="E119" s="287">
        <f t="shared" si="17"/>
        <v>-1526</v>
      </c>
      <c r="F119" s="264">
        <f t="shared" si="18"/>
        <v>-1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94</v>
      </c>
      <c r="D120" s="287">
        <f t="shared" si="16"/>
        <v>0</v>
      </c>
      <c r="E120" s="287">
        <f t="shared" si="17"/>
        <v>-94</v>
      </c>
      <c r="F120" s="264">
        <f t="shared" si="18"/>
        <v>-1</v>
      </c>
    </row>
    <row r="121" spans="1:6" ht="20.25" customHeight="1" x14ac:dyDescent="0.3">
      <c r="A121" s="271"/>
      <c r="B121" s="284" t="s">
        <v>448</v>
      </c>
      <c r="C121" s="263">
        <f>+C112+C114</f>
        <v>11769182</v>
      </c>
      <c r="D121" s="263">
        <f>+D112+D114</f>
        <v>0</v>
      </c>
      <c r="E121" s="263">
        <f t="shared" si="17"/>
        <v>-11769182</v>
      </c>
      <c r="F121" s="264">
        <f t="shared" si="18"/>
        <v>-1</v>
      </c>
    </row>
    <row r="122" spans="1:6" ht="20.25" customHeight="1" x14ac:dyDescent="0.3">
      <c r="A122" s="271"/>
      <c r="B122" s="284" t="s">
        <v>472</v>
      </c>
      <c r="C122" s="263">
        <f>+C113+C115</f>
        <v>2359702</v>
      </c>
      <c r="D122" s="263">
        <f>+D113+D115</f>
        <v>0</v>
      </c>
      <c r="E122" s="263">
        <f t="shared" si="17"/>
        <v>-2359702</v>
      </c>
      <c r="F122" s="264">
        <f t="shared" si="18"/>
        <v>-1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rintOptions gridLines="1"/>
  <pageMargins left="0.25" right="0.25" top="0.5" bottom="0.5" header="0.25" footer="0.25"/>
  <pageSetup scale="57" fitToHeight="0" orientation="portrait" horizontalDpi="1200" verticalDpi="1200" r:id="rId1"/>
  <headerFooter>
    <oddHeader>&amp;LOFFICE OF HEALTH CARE ACCESS&amp;CTWELVE MONTHS ACTUAL FILING&amp;RNORWALK HOSPITAL</oddHeader>
    <oddFooter>&amp;LREPORT 100&amp;CPAGE &amp;P of &amp;N&amp;R&amp;D, 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zoomScale="75" zoomScaleSheetLayoutView="75" workbookViewId="0">
      <selection sqref="A1:F1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21.7109375" style="327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500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501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85492679</v>
      </c>
      <c r="D13" s="22">
        <v>82407195</v>
      </c>
      <c r="E13" s="22">
        <f t="shared" ref="E13:E22" si="0">D13-C13</f>
        <v>-3085484</v>
      </c>
      <c r="F13" s="306">
        <f t="shared" ref="F13:F22" si="1">IF(C13=0,0,E13/C13)</f>
        <v>-3.6090622449671976E-2</v>
      </c>
    </row>
    <row r="14" spans="1:8" ht="24" customHeight="1" x14ac:dyDescent="0.2">
      <c r="A14" s="304">
        <v>2</v>
      </c>
      <c r="B14" s="305" t="s">
        <v>17</v>
      </c>
      <c r="C14" s="22">
        <v>45487085</v>
      </c>
      <c r="D14" s="22">
        <v>33656759</v>
      </c>
      <c r="E14" s="22">
        <f t="shared" si="0"/>
        <v>-11830326</v>
      </c>
      <c r="F14" s="306">
        <f t="shared" si="1"/>
        <v>-0.26008098782324696</v>
      </c>
    </row>
    <row r="15" spans="1:8" ht="35.1" customHeight="1" x14ac:dyDescent="0.2">
      <c r="A15" s="304">
        <v>3</v>
      </c>
      <c r="B15" s="305" t="s">
        <v>18</v>
      </c>
      <c r="C15" s="22">
        <v>32330519</v>
      </c>
      <c r="D15" s="22">
        <v>28873592</v>
      </c>
      <c r="E15" s="22">
        <f t="shared" si="0"/>
        <v>-3456927</v>
      </c>
      <c r="F15" s="306">
        <f t="shared" si="1"/>
        <v>-0.10692457488851323</v>
      </c>
    </row>
    <row r="16" spans="1:8" ht="35.1" customHeight="1" x14ac:dyDescent="0.2">
      <c r="A16" s="304">
        <v>4</v>
      </c>
      <c r="B16" s="305" t="s">
        <v>19</v>
      </c>
      <c r="C16" s="22">
        <v>278083</v>
      </c>
      <c r="D16" s="22">
        <v>0</v>
      </c>
      <c r="E16" s="22">
        <f t="shared" si="0"/>
        <v>-278083</v>
      </c>
      <c r="F16" s="306">
        <f t="shared" si="1"/>
        <v>-1</v>
      </c>
    </row>
    <row r="17" spans="1:11" ht="24" customHeight="1" x14ac:dyDescent="0.2">
      <c r="A17" s="304">
        <v>5</v>
      </c>
      <c r="B17" s="305" t="s">
        <v>20</v>
      </c>
      <c r="C17" s="22">
        <v>0</v>
      </c>
      <c r="D17" s="22">
        <v>0</v>
      </c>
      <c r="E17" s="22">
        <f t="shared" si="0"/>
        <v>0</v>
      </c>
      <c r="F17" s="306">
        <f t="shared" si="1"/>
        <v>0</v>
      </c>
    </row>
    <row r="18" spans="1:11" ht="24" customHeight="1" x14ac:dyDescent="0.2">
      <c r="A18" s="304">
        <v>6</v>
      </c>
      <c r="B18" s="305" t="s">
        <v>21</v>
      </c>
      <c r="C18" s="22">
        <v>2368715</v>
      </c>
      <c r="D18" s="22">
        <v>0</v>
      </c>
      <c r="E18" s="22">
        <f t="shared" si="0"/>
        <v>-2368715</v>
      </c>
      <c r="F18" s="306">
        <f t="shared" si="1"/>
        <v>-1</v>
      </c>
    </row>
    <row r="19" spans="1:11" ht="24" customHeight="1" x14ac:dyDescent="0.2">
      <c r="A19" s="304">
        <v>7</v>
      </c>
      <c r="B19" s="305" t="s">
        <v>22</v>
      </c>
      <c r="C19" s="22">
        <v>2568063</v>
      </c>
      <c r="D19" s="22">
        <v>2717050</v>
      </c>
      <c r="E19" s="22">
        <f t="shared" si="0"/>
        <v>148987</v>
      </c>
      <c r="F19" s="306">
        <f t="shared" si="1"/>
        <v>5.8015321275217933E-2</v>
      </c>
    </row>
    <row r="20" spans="1:11" ht="24" customHeight="1" x14ac:dyDescent="0.2">
      <c r="A20" s="304">
        <v>8</v>
      </c>
      <c r="B20" s="305" t="s">
        <v>23</v>
      </c>
      <c r="C20" s="22">
        <v>2373762</v>
      </c>
      <c r="D20" s="22">
        <v>1589839</v>
      </c>
      <c r="E20" s="22">
        <f t="shared" si="0"/>
        <v>-783923</v>
      </c>
      <c r="F20" s="306">
        <f t="shared" si="1"/>
        <v>-0.33024498664988317</v>
      </c>
    </row>
    <row r="21" spans="1:11" ht="24" customHeight="1" x14ac:dyDescent="0.2">
      <c r="A21" s="304">
        <v>9</v>
      </c>
      <c r="B21" s="305" t="s">
        <v>24</v>
      </c>
      <c r="C21" s="22">
        <v>4508486</v>
      </c>
      <c r="D21" s="22">
        <v>6865383</v>
      </c>
      <c r="E21" s="22">
        <f t="shared" si="0"/>
        <v>2356897</v>
      </c>
      <c r="F21" s="306">
        <f t="shared" si="1"/>
        <v>0.5227690626077135</v>
      </c>
    </row>
    <row r="22" spans="1:11" ht="24" customHeight="1" x14ac:dyDescent="0.25">
      <c r="A22" s="307"/>
      <c r="B22" s="308" t="s">
        <v>25</v>
      </c>
      <c r="C22" s="309">
        <f>SUM(C13:C21)</f>
        <v>175407392</v>
      </c>
      <c r="D22" s="309">
        <f>SUM(D13:D21)</f>
        <v>156109818</v>
      </c>
      <c r="E22" s="309">
        <f t="shared" si="0"/>
        <v>-19297574</v>
      </c>
      <c r="F22" s="310">
        <f t="shared" si="1"/>
        <v>-0.11001573981557174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2366125</v>
      </c>
      <c r="D25" s="22">
        <v>59708986</v>
      </c>
      <c r="E25" s="22">
        <f>D25-C25</f>
        <v>57342861</v>
      </c>
      <c r="F25" s="306">
        <f>IF(C25=0,0,E25/C25)</f>
        <v>24.23492461302763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0</v>
      </c>
      <c r="D26" s="22">
        <v>0</v>
      </c>
      <c r="E26" s="22">
        <f>D26-C26</f>
        <v>0</v>
      </c>
      <c r="F26" s="306">
        <f>IF(C26=0,0,E26/C26)</f>
        <v>0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0</v>
      </c>
      <c r="D27" s="22">
        <v>0</v>
      </c>
      <c r="E27" s="22">
        <f>D27-C27</f>
        <v>0</v>
      </c>
      <c r="F27" s="306">
        <f>IF(C27=0,0,E27/C27)</f>
        <v>0</v>
      </c>
    </row>
    <row r="28" spans="1:11" ht="35.1" customHeight="1" x14ac:dyDescent="0.2">
      <c r="A28" s="304">
        <v>4</v>
      </c>
      <c r="B28" s="305" t="s">
        <v>31</v>
      </c>
      <c r="C28" s="22">
        <v>2450281</v>
      </c>
      <c r="D28" s="22">
        <v>327</v>
      </c>
      <c r="E28" s="22">
        <f>D28-C28</f>
        <v>-2449954</v>
      </c>
      <c r="F28" s="306">
        <f>IF(C28=0,0,E28/C28)</f>
        <v>-0.99986654591861102</v>
      </c>
    </row>
    <row r="29" spans="1:11" ht="35.1" customHeight="1" x14ac:dyDescent="0.25">
      <c r="A29" s="307"/>
      <c r="B29" s="308" t="s">
        <v>32</v>
      </c>
      <c r="C29" s="309">
        <f>SUM(C25:C28)</f>
        <v>4816406</v>
      </c>
      <c r="D29" s="309">
        <f>SUM(D25:D28)</f>
        <v>59709313</v>
      </c>
      <c r="E29" s="309">
        <f>D29-C29</f>
        <v>54892907</v>
      </c>
      <c r="F29" s="310">
        <f>IF(C29=0,0,E29/C29)</f>
        <v>11.397068062783744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0</v>
      </c>
      <c r="D31" s="22">
        <v>0</v>
      </c>
      <c r="E31" s="22">
        <f>D31-C31</f>
        <v>0</v>
      </c>
      <c r="F31" s="306">
        <f>IF(C31=0,0,E31/C31)</f>
        <v>0</v>
      </c>
    </row>
    <row r="32" spans="1:11" ht="24" customHeight="1" x14ac:dyDescent="0.2">
      <c r="A32" s="304">
        <v>6</v>
      </c>
      <c r="B32" s="305" t="s">
        <v>34</v>
      </c>
      <c r="C32" s="22">
        <v>104476656</v>
      </c>
      <c r="D32" s="22">
        <v>158419428</v>
      </c>
      <c r="E32" s="22">
        <f>D32-C32</f>
        <v>53942772</v>
      </c>
      <c r="F32" s="306">
        <f>IF(C32=0,0,E32/C32)</f>
        <v>0.51631411326947529</v>
      </c>
    </row>
    <row r="33" spans="1:8" ht="24" customHeight="1" x14ac:dyDescent="0.2">
      <c r="A33" s="304">
        <v>7</v>
      </c>
      <c r="B33" s="305" t="s">
        <v>35</v>
      </c>
      <c r="C33" s="22">
        <v>59332269</v>
      </c>
      <c r="D33" s="22">
        <v>59228366</v>
      </c>
      <c r="E33" s="22">
        <f>D33-C33</f>
        <v>-103903</v>
      </c>
      <c r="F33" s="306">
        <f>IF(C33=0,0,E33/C33)</f>
        <v>-1.751205570783076E-3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424678503</v>
      </c>
      <c r="D36" s="22">
        <v>440926532</v>
      </c>
      <c r="E36" s="22">
        <f>D36-C36</f>
        <v>16248029</v>
      </c>
      <c r="F36" s="306">
        <f>IF(C36=0,0,E36/C36)</f>
        <v>3.8259598461474281E-2</v>
      </c>
    </row>
    <row r="37" spans="1:8" ht="24" customHeight="1" x14ac:dyDescent="0.2">
      <c r="A37" s="304">
        <v>2</v>
      </c>
      <c r="B37" s="305" t="s">
        <v>39</v>
      </c>
      <c r="C37" s="22">
        <v>293885243</v>
      </c>
      <c r="D37" s="22">
        <v>312199270</v>
      </c>
      <c r="E37" s="22">
        <f>D37-C37</f>
        <v>18314027</v>
      </c>
      <c r="F37" s="22">
        <f>IF(C37=0,0,E37/C37)</f>
        <v>6.2316933007759083E-2</v>
      </c>
    </row>
    <row r="38" spans="1:8" ht="24" customHeight="1" x14ac:dyDescent="0.25">
      <c r="A38" s="307"/>
      <c r="B38" s="308" t="s">
        <v>40</v>
      </c>
      <c r="C38" s="309">
        <f>C36-C37</f>
        <v>130793260</v>
      </c>
      <c r="D38" s="309">
        <f>D36-D37</f>
        <v>128727262</v>
      </c>
      <c r="E38" s="309">
        <f>D38-C38</f>
        <v>-2065998</v>
      </c>
      <c r="F38" s="310">
        <f>IF(C38=0,0,E38/C38)</f>
        <v>-1.5795905691164819E-2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8602012</v>
      </c>
      <c r="D40" s="22">
        <v>34252962</v>
      </c>
      <c r="E40" s="22">
        <f>D40-C40</f>
        <v>25650950</v>
      </c>
      <c r="F40" s="306">
        <f>IF(C40=0,0,E40/C40)</f>
        <v>2.9819709621423454</v>
      </c>
    </row>
    <row r="41" spans="1:8" ht="24" customHeight="1" x14ac:dyDescent="0.25">
      <c r="A41" s="307"/>
      <c r="B41" s="308" t="s">
        <v>42</v>
      </c>
      <c r="C41" s="309">
        <f>+C38+C40</f>
        <v>139395272</v>
      </c>
      <c r="D41" s="309">
        <f>+D38+D40</f>
        <v>162980224</v>
      </c>
      <c r="E41" s="309">
        <f>D41-C41</f>
        <v>23584952</v>
      </c>
      <c r="F41" s="310">
        <f>IF(C41=0,0,E41/C41)</f>
        <v>0.16919477728053789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483427995</v>
      </c>
      <c r="D43" s="309">
        <f>D22+D29+D31+D32+D33+D41</f>
        <v>596447149</v>
      </c>
      <c r="E43" s="309">
        <f>D43-C43</f>
        <v>113019154</v>
      </c>
      <c r="F43" s="310">
        <f>IF(C43=0,0,E43/C43)</f>
        <v>0.23378694483756574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27132332</v>
      </c>
      <c r="D49" s="22">
        <v>31050734</v>
      </c>
      <c r="E49" s="22">
        <f t="shared" ref="E49:E56" si="2">D49-C49</f>
        <v>3918402</v>
      </c>
      <c r="F49" s="306">
        <f t="shared" ref="F49:F56" si="3">IF(C49=0,0,E49/C49)</f>
        <v>0.14441817975690405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20982422</v>
      </c>
      <c r="D50" s="22">
        <v>26011309</v>
      </c>
      <c r="E50" s="22">
        <f t="shared" si="2"/>
        <v>5028887</v>
      </c>
      <c r="F50" s="306">
        <f t="shared" si="3"/>
        <v>0.2396714259202298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5022080</v>
      </c>
      <c r="D51" s="22">
        <v>5008734</v>
      </c>
      <c r="E51" s="22">
        <f t="shared" si="2"/>
        <v>-13346</v>
      </c>
      <c r="F51" s="306">
        <f t="shared" si="3"/>
        <v>-2.6574646361666879E-3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0</v>
      </c>
      <c r="D52" s="22">
        <v>0</v>
      </c>
      <c r="E52" s="22">
        <f t="shared" si="2"/>
        <v>0</v>
      </c>
      <c r="F52" s="306">
        <f t="shared" si="3"/>
        <v>0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3820000</v>
      </c>
      <c r="D53" s="22">
        <v>3265000</v>
      </c>
      <c r="E53" s="22">
        <f t="shared" si="2"/>
        <v>-555000</v>
      </c>
      <c r="F53" s="306">
        <f t="shared" si="3"/>
        <v>-0.14528795811518325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1854419</v>
      </c>
      <c r="D54" s="22">
        <v>1925534</v>
      </c>
      <c r="E54" s="22">
        <f t="shared" si="2"/>
        <v>71115</v>
      </c>
      <c r="F54" s="306">
        <f t="shared" si="3"/>
        <v>3.8348938400652711E-2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1056636</v>
      </c>
      <c r="D55" s="22">
        <v>1101735</v>
      </c>
      <c r="E55" s="22">
        <f t="shared" si="2"/>
        <v>45099</v>
      </c>
      <c r="F55" s="306">
        <f t="shared" si="3"/>
        <v>4.2681680351606417E-2</v>
      </c>
    </row>
    <row r="56" spans="1:6" ht="24" customHeight="1" x14ac:dyDescent="0.25">
      <c r="A56" s="307"/>
      <c r="B56" s="308" t="s">
        <v>54</v>
      </c>
      <c r="C56" s="309">
        <f>SUM(C49:C55)</f>
        <v>59867889</v>
      </c>
      <c r="D56" s="309">
        <f>SUM(D49:D55)</f>
        <v>68363046</v>
      </c>
      <c r="E56" s="309">
        <f t="shared" si="2"/>
        <v>8495157</v>
      </c>
      <c r="F56" s="310">
        <f t="shared" si="3"/>
        <v>0.14189838896774865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48574999</v>
      </c>
      <c r="D59" s="22">
        <v>119435000</v>
      </c>
      <c r="E59" s="22">
        <f>D59-C59</f>
        <v>70860001</v>
      </c>
      <c r="F59" s="306">
        <f>IF(C59=0,0,E59/C59)</f>
        <v>1.458775140685026</v>
      </c>
    </row>
    <row r="60" spans="1:6" ht="24" customHeight="1" x14ac:dyDescent="0.2">
      <c r="A60" s="304">
        <v>2</v>
      </c>
      <c r="B60" s="305" t="s">
        <v>57</v>
      </c>
      <c r="C60" s="22">
        <v>7521400</v>
      </c>
      <c r="D60" s="22">
        <v>5595298</v>
      </c>
      <c r="E60" s="22">
        <f>D60-C60</f>
        <v>-1926102</v>
      </c>
      <c r="F60" s="306">
        <f>IF(C60=0,0,E60/C60)</f>
        <v>-0.25608291009652456</v>
      </c>
    </row>
    <row r="61" spans="1:6" ht="24" customHeight="1" x14ac:dyDescent="0.25">
      <c r="A61" s="307"/>
      <c r="B61" s="308" t="s">
        <v>58</v>
      </c>
      <c r="C61" s="309">
        <f>SUM(C59:C60)</f>
        <v>56096399</v>
      </c>
      <c r="D61" s="309">
        <f>SUM(D59:D60)</f>
        <v>125030298</v>
      </c>
      <c r="E61" s="309">
        <f>D61-C61</f>
        <v>68933899</v>
      </c>
      <c r="F61" s="310">
        <f>IF(C61=0,0,E61/C61)</f>
        <v>1.2288471315244318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64741651</v>
      </c>
      <c r="D63" s="22">
        <v>13061730</v>
      </c>
      <c r="E63" s="22">
        <f>D63-C63</f>
        <v>-51679921</v>
      </c>
      <c r="F63" s="306">
        <f>IF(C63=0,0,E63/C63)</f>
        <v>-0.79824842588583356</v>
      </c>
    </row>
    <row r="64" spans="1:6" ht="24" customHeight="1" x14ac:dyDescent="0.2">
      <c r="A64" s="304">
        <v>4</v>
      </c>
      <c r="B64" s="305" t="s">
        <v>60</v>
      </c>
      <c r="C64" s="22">
        <v>98583332</v>
      </c>
      <c r="D64" s="22">
        <v>97627328</v>
      </c>
      <c r="E64" s="22">
        <f>D64-C64</f>
        <v>-956004</v>
      </c>
      <c r="F64" s="306">
        <f>IF(C64=0,0,E64/C64)</f>
        <v>-9.6974202495001896E-3</v>
      </c>
    </row>
    <row r="65" spans="1:6" ht="24" customHeight="1" x14ac:dyDescent="0.25">
      <c r="A65" s="307"/>
      <c r="B65" s="308" t="s">
        <v>61</v>
      </c>
      <c r="C65" s="309">
        <f>SUM(C61:C64)</f>
        <v>219421382</v>
      </c>
      <c r="D65" s="309">
        <f>SUM(D61:D64)</f>
        <v>235719356</v>
      </c>
      <c r="E65" s="309">
        <f>D65-C65</f>
        <v>16297974</v>
      </c>
      <c r="F65" s="310">
        <f>IF(C65=0,0,E65/C65)</f>
        <v>7.4277054731156505E-2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0</v>
      </c>
      <c r="D67" s="22">
        <v>0</v>
      </c>
      <c r="E67" s="22">
        <f>D67-C67</f>
        <v>0</v>
      </c>
      <c r="F67" s="321">
        <f>IF(C67=0,0,E67/C67)</f>
        <v>0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147589726</v>
      </c>
      <c r="D70" s="22">
        <v>239539585</v>
      </c>
      <c r="E70" s="22">
        <f>D70-C70</f>
        <v>91949859</v>
      </c>
      <c r="F70" s="306">
        <f>IF(C70=0,0,E70/C70)</f>
        <v>0.62300989026837816</v>
      </c>
    </row>
    <row r="71" spans="1:6" ht="24" customHeight="1" x14ac:dyDescent="0.2">
      <c r="A71" s="304">
        <v>2</v>
      </c>
      <c r="B71" s="305" t="s">
        <v>65</v>
      </c>
      <c r="C71" s="22">
        <v>47103146</v>
      </c>
      <c r="D71" s="22">
        <v>43370310</v>
      </c>
      <c r="E71" s="22">
        <f>D71-C71</f>
        <v>-3732836</v>
      </c>
      <c r="F71" s="306">
        <f>IF(C71=0,0,E71/C71)</f>
        <v>-7.924812495539045E-2</v>
      </c>
    </row>
    <row r="72" spans="1:6" ht="24" customHeight="1" x14ac:dyDescent="0.2">
      <c r="A72" s="304">
        <v>3</v>
      </c>
      <c r="B72" s="305" t="s">
        <v>66</v>
      </c>
      <c r="C72" s="22">
        <v>9445852</v>
      </c>
      <c r="D72" s="22">
        <v>9454852</v>
      </c>
      <c r="E72" s="22">
        <f>D72-C72</f>
        <v>9000</v>
      </c>
      <c r="F72" s="306">
        <f>IF(C72=0,0,E72/C72)</f>
        <v>9.5279917576519303E-4</v>
      </c>
    </row>
    <row r="73" spans="1:6" ht="24" customHeight="1" x14ac:dyDescent="0.25">
      <c r="A73" s="304"/>
      <c r="B73" s="308" t="s">
        <v>67</v>
      </c>
      <c r="C73" s="309">
        <f>SUM(C70:C72)</f>
        <v>204138724</v>
      </c>
      <c r="D73" s="309">
        <f>SUM(D70:D72)</f>
        <v>292364747</v>
      </c>
      <c r="E73" s="309">
        <f>D73-C73</f>
        <v>88226023</v>
      </c>
      <c r="F73" s="310">
        <f>IF(C73=0,0,E73/C73)</f>
        <v>0.43218660953323096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483427995</v>
      </c>
      <c r="D75" s="309">
        <f>D56+D65+D67+D73</f>
        <v>596447149</v>
      </c>
      <c r="E75" s="309">
        <f>D75-C75</f>
        <v>113019154</v>
      </c>
      <c r="F75" s="310">
        <f>IF(C75=0,0,E75/C75)</f>
        <v>0.23378694483756574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0" fitToHeight="0" orientation="portrait" horizontalDpi="1200" verticalDpi="1200" r:id="rId1"/>
  <headerFooter>
    <oddHeader>&amp;LOFFICE OF HEALTH CARE ACCESS&amp;CTWELVE MONTHS ACTUAL FILING&amp;RNORWALK HOSPITAL</oddHeader>
    <oddFooter>&amp;LREPORT 100&amp;CPAGE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zoomScale="75" zoomScaleSheetLayoutView="75" workbookViewId="0">
      <selection sqref="A1:F1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500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502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961852662</v>
      </c>
      <c r="D11" s="76">
        <v>979538787</v>
      </c>
      <c r="E11" s="76">
        <f t="shared" ref="E11:E20" si="0">D11-C11</f>
        <v>17686125</v>
      </c>
      <c r="F11" s="77">
        <f t="shared" ref="F11:F20" si="1">IF(C11=0,0,E11/C11)</f>
        <v>1.8387561524469742E-2</v>
      </c>
    </row>
    <row r="12" spans="1:7" ht="23.1" customHeight="1" x14ac:dyDescent="0.2">
      <c r="A12" s="74">
        <v>2</v>
      </c>
      <c r="B12" s="75" t="s">
        <v>72</v>
      </c>
      <c r="C12" s="76">
        <v>555261117</v>
      </c>
      <c r="D12" s="76">
        <v>577711522</v>
      </c>
      <c r="E12" s="76">
        <f t="shared" si="0"/>
        <v>22450405</v>
      </c>
      <c r="F12" s="77">
        <f t="shared" si="1"/>
        <v>4.0432157614955055E-2</v>
      </c>
    </row>
    <row r="13" spans="1:7" ht="23.1" customHeight="1" x14ac:dyDescent="0.2">
      <c r="A13" s="74">
        <v>3</v>
      </c>
      <c r="B13" s="75" t="s">
        <v>73</v>
      </c>
      <c r="C13" s="76">
        <v>17929000</v>
      </c>
      <c r="D13" s="76">
        <v>18272000</v>
      </c>
      <c r="E13" s="76">
        <f t="shared" si="0"/>
        <v>343000</v>
      </c>
      <c r="F13" s="77">
        <f t="shared" si="1"/>
        <v>1.9131016788443304E-2</v>
      </c>
    </row>
    <row r="14" spans="1:7" ht="23.1" customHeight="1" x14ac:dyDescent="0.2">
      <c r="A14" s="74">
        <v>4</v>
      </c>
      <c r="B14" s="75" t="s">
        <v>74</v>
      </c>
      <c r="C14" s="76">
        <v>0</v>
      </c>
      <c r="D14" s="76">
        <v>0</v>
      </c>
      <c r="E14" s="76">
        <f t="shared" si="0"/>
        <v>0</v>
      </c>
      <c r="F14" s="77">
        <f t="shared" si="1"/>
        <v>0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388662545</v>
      </c>
      <c r="D15" s="79">
        <f>D11-D12-D13-D14</f>
        <v>383555265</v>
      </c>
      <c r="E15" s="79">
        <f t="shared" si="0"/>
        <v>-5107280</v>
      </c>
      <c r="F15" s="80">
        <f t="shared" si="1"/>
        <v>-1.3140653931548767E-2</v>
      </c>
    </row>
    <row r="16" spans="1:7" ht="23.1" customHeight="1" x14ac:dyDescent="0.2">
      <c r="A16" s="74">
        <v>5</v>
      </c>
      <c r="B16" s="75" t="s">
        <v>76</v>
      </c>
      <c r="C16" s="76">
        <v>0</v>
      </c>
      <c r="D16" s="76">
        <v>18754828</v>
      </c>
      <c r="E16" s="76">
        <f t="shared" si="0"/>
        <v>18754828</v>
      </c>
      <c r="F16" s="77">
        <f t="shared" si="1"/>
        <v>0</v>
      </c>
      <c r="G16" s="65"/>
    </row>
    <row r="17" spans="1:7" ht="31.5" customHeight="1" x14ac:dyDescent="0.25">
      <c r="A17" s="71"/>
      <c r="B17" s="81" t="s">
        <v>77</v>
      </c>
      <c r="C17" s="79">
        <f>C15-C16</f>
        <v>388662545</v>
      </c>
      <c r="D17" s="79">
        <f>D15-D16</f>
        <v>364800437</v>
      </c>
      <c r="E17" s="79">
        <f t="shared" si="0"/>
        <v>-23862108</v>
      </c>
      <c r="F17" s="80">
        <f t="shared" si="1"/>
        <v>-6.1395440098299156E-2</v>
      </c>
    </row>
    <row r="18" spans="1:7" ht="23.1" customHeight="1" x14ac:dyDescent="0.2">
      <c r="A18" s="74">
        <v>6</v>
      </c>
      <c r="B18" s="75" t="s">
        <v>78</v>
      </c>
      <c r="C18" s="76">
        <v>18207098</v>
      </c>
      <c r="D18" s="76">
        <v>15543696</v>
      </c>
      <c r="E18" s="76">
        <f t="shared" si="0"/>
        <v>-2663402</v>
      </c>
      <c r="F18" s="77">
        <f t="shared" si="1"/>
        <v>-0.14628371858052283</v>
      </c>
      <c r="G18" s="65"/>
    </row>
    <row r="19" spans="1:7" ht="33" customHeight="1" x14ac:dyDescent="0.2">
      <c r="A19" s="74">
        <v>7</v>
      </c>
      <c r="B19" s="82" t="s">
        <v>79</v>
      </c>
      <c r="C19" s="76">
        <v>5341417</v>
      </c>
      <c r="D19" s="76">
        <v>3450936</v>
      </c>
      <c r="E19" s="76">
        <f t="shared" si="0"/>
        <v>-1890481</v>
      </c>
      <c r="F19" s="77">
        <f t="shared" si="1"/>
        <v>-0.35392874212966335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412211060</v>
      </c>
      <c r="D20" s="79">
        <f>SUM(D17:D19)</f>
        <v>383795069</v>
      </c>
      <c r="E20" s="79">
        <f t="shared" si="0"/>
        <v>-28415991</v>
      </c>
      <c r="F20" s="80">
        <f t="shared" si="1"/>
        <v>-6.8935537537493541E-2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157810131</v>
      </c>
      <c r="D23" s="76">
        <v>164801605</v>
      </c>
      <c r="E23" s="76">
        <f t="shared" ref="E23:E32" si="2">D23-C23</f>
        <v>6991474</v>
      </c>
      <c r="F23" s="77">
        <f t="shared" ref="F23:F32" si="3">IF(C23=0,0,E23/C23)</f>
        <v>4.4303074559896287E-2</v>
      </c>
    </row>
    <row r="24" spans="1:7" ht="23.1" customHeight="1" x14ac:dyDescent="0.2">
      <c r="A24" s="74">
        <v>2</v>
      </c>
      <c r="B24" s="75" t="s">
        <v>83</v>
      </c>
      <c r="C24" s="76">
        <v>52400162</v>
      </c>
      <c r="D24" s="76">
        <v>56875510</v>
      </c>
      <c r="E24" s="76">
        <f t="shared" si="2"/>
        <v>4475348</v>
      </c>
      <c r="F24" s="77">
        <f t="shared" si="3"/>
        <v>8.5407140535176201E-2</v>
      </c>
    </row>
    <row r="25" spans="1:7" ht="23.1" customHeight="1" x14ac:dyDescent="0.2">
      <c r="A25" s="74">
        <v>3</v>
      </c>
      <c r="B25" s="75" t="s">
        <v>84</v>
      </c>
      <c r="C25" s="76">
        <v>8163443</v>
      </c>
      <c r="D25" s="76">
        <v>8321347</v>
      </c>
      <c r="E25" s="76">
        <f t="shared" si="2"/>
        <v>157904</v>
      </c>
      <c r="F25" s="77">
        <f t="shared" si="3"/>
        <v>1.9342818955188391E-2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38780255</v>
      </c>
      <c r="D26" s="76">
        <v>39003388</v>
      </c>
      <c r="E26" s="76">
        <f t="shared" si="2"/>
        <v>223133</v>
      </c>
      <c r="F26" s="77">
        <f t="shared" si="3"/>
        <v>5.7537785659222719E-3</v>
      </c>
    </row>
    <row r="27" spans="1:7" ht="23.1" customHeight="1" x14ac:dyDescent="0.2">
      <c r="A27" s="74">
        <v>5</v>
      </c>
      <c r="B27" s="75" t="s">
        <v>86</v>
      </c>
      <c r="C27" s="76">
        <v>20774884</v>
      </c>
      <c r="D27" s="76">
        <v>19123385</v>
      </c>
      <c r="E27" s="76">
        <f t="shared" si="2"/>
        <v>-1651499</v>
      </c>
      <c r="F27" s="77">
        <f t="shared" si="3"/>
        <v>-7.9494980573658072E-2</v>
      </c>
    </row>
    <row r="28" spans="1:7" ht="23.1" customHeight="1" x14ac:dyDescent="0.2">
      <c r="A28" s="74">
        <v>6</v>
      </c>
      <c r="B28" s="75" t="s">
        <v>87</v>
      </c>
      <c r="C28" s="76">
        <v>22763777</v>
      </c>
      <c r="D28" s="76">
        <v>0</v>
      </c>
      <c r="E28" s="76">
        <f t="shared" si="2"/>
        <v>-22763777</v>
      </c>
      <c r="F28" s="77">
        <f t="shared" si="3"/>
        <v>-1</v>
      </c>
    </row>
    <row r="29" spans="1:7" ht="23.1" customHeight="1" x14ac:dyDescent="0.2">
      <c r="A29" s="74">
        <v>7</v>
      </c>
      <c r="B29" s="75" t="s">
        <v>88</v>
      </c>
      <c r="C29" s="76">
        <v>2273303</v>
      </c>
      <c r="D29" s="76">
        <v>2695815</v>
      </c>
      <c r="E29" s="76">
        <f t="shared" si="2"/>
        <v>422512</v>
      </c>
      <c r="F29" s="77">
        <f t="shared" si="3"/>
        <v>0.18585819840118101</v>
      </c>
    </row>
    <row r="30" spans="1:7" ht="23.1" customHeight="1" x14ac:dyDescent="0.2">
      <c r="A30" s="74">
        <v>8</v>
      </c>
      <c r="B30" s="75" t="s">
        <v>89</v>
      </c>
      <c r="C30" s="76">
        <v>8984043</v>
      </c>
      <c r="D30" s="76">
        <v>7265774</v>
      </c>
      <c r="E30" s="76">
        <f t="shared" si="2"/>
        <v>-1718269</v>
      </c>
      <c r="F30" s="77">
        <f t="shared" si="3"/>
        <v>-0.19125787799546373</v>
      </c>
    </row>
    <row r="31" spans="1:7" ht="23.1" customHeight="1" x14ac:dyDescent="0.2">
      <c r="A31" s="74">
        <v>9</v>
      </c>
      <c r="B31" s="75" t="s">
        <v>90</v>
      </c>
      <c r="C31" s="76">
        <v>80162424</v>
      </c>
      <c r="D31" s="76">
        <v>71673327</v>
      </c>
      <c r="E31" s="76">
        <f t="shared" si="2"/>
        <v>-8489097</v>
      </c>
      <c r="F31" s="77">
        <f t="shared" si="3"/>
        <v>-0.10589870635648443</v>
      </c>
    </row>
    <row r="32" spans="1:7" ht="23.1" customHeight="1" x14ac:dyDescent="0.25">
      <c r="A32" s="71"/>
      <c r="B32" s="78" t="s">
        <v>91</v>
      </c>
      <c r="C32" s="79">
        <f>SUM(C23:C31)</f>
        <v>392112422</v>
      </c>
      <c r="D32" s="79">
        <f>SUM(D23:D31)</f>
        <v>369760151</v>
      </c>
      <c r="E32" s="79">
        <f t="shared" si="2"/>
        <v>-22352271</v>
      </c>
      <c r="F32" s="80">
        <f t="shared" si="3"/>
        <v>-5.7004751050707597E-2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20098638</v>
      </c>
      <c r="D34" s="79">
        <f>+D20-D32</f>
        <v>14034918</v>
      </c>
      <c r="E34" s="79">
        <f>D34-C34</f>
        <v>-6063720</v>
      </c>
      <c r="F34" s="80">
        <f>IF(C34=0,0,E34/C34)</f>
        <v>-0.30169805536076622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1275016</v>
      </c>
      <c r="D37" s="76">
        <v>2307725</v>
      </c>
      <c r="E37" s="76">
        <f>D37-C37</f>
        <v>1032709</v>
      </c>
      <c r="F37" s="77">
        <f>IF(C37=0,0,E37/C37)</f>
        <v>0.80995767896246007</v>
      </c>
    </row>
    <row r="38" spans="1:6" ht="23.1" customHeight="1" x14ac:dyDescent="0.2">
      <c r="A38" s="85">
        <v>2</v>
      </c>
      <c r="B38" s="75" t="s">
        <v>95</v>
      </c>
      <c r="C38" s="76">
        <v>0</v>
      </c>
      <c r="D38" s="76">
        <v>0</v>
      </c>
      <c r="E38" s="76">
        <f>D38-C38</f>
        <v>0</v>
      </c>
      <c r="F38" s="77">
        <f>IF(C38=0,0,E38/C38)</f>
        <v>0</v>
      </c>
    </row>
    <row r="39" spans="1:6" ht="23.1" customHeight="1" x14ac:dyDescent="0.2">
      <c r="A39" s="85">
        <v>3</v>
      </c>
      <c r="B39" s="75" t="s">
        <v>96</v>
      </c>
      <c r="C39" s="76">
        <v>-945589</v>
      </c>
      <c r="D39" s="76">
        <v>-246698</v>
      </c>
      <c r="E39" s="76">
        <f>D39-C39</f>
        <v>698891</v>
      </c>
      <c r="F39" s="77">
        <f>IF(C39=0,0,E39/C39)</f>
        <v>-0.7391065251393576</v>
      </c>
    </row>
    <row r="40" spans="1:6" ht="23.1" customHeight="1" x14ac:dyDescent="0.25">
      <c r="A40" s="83"/>
      <c r="B40" s="78" t="s">
        <v>97</v>
      </c>
      <c r="C40" s="79">
        <f>SUM(C37:C39)</f>
        <v>329427</v>
      </c>
      <c r="D40" s="79">
        <f>SUM(D37:D39)</f>
        <v>2061027</v>
      </c>
      <c r="E40" s="79">
        <f>D40-C40</f>
        <v>1731600</v>
      </c>
      <c r="F40" s="80">
        <f>IF(C40=0,0,E40/C40)</f>
        <v>5.2563997486544816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503</v>
      </c>
      <c r="C42" s="79">
        <f>C34+C40</f>
        <v>20428065</v>
      </c>
      <c r="D42" s="79">
        <f>D34+D40</f>
        <v>16095945</v>
      </c>
      <c r="E42" s="79">
        <f>D42-C42</f>
        <v>-4332120</v>
      </c>
      <c r="F42" s="80">
        <f>IF(C42=0,0,E42/C42)</f>
        <v>-0.21206707536910618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6210984</v>
      </c>
      <c r="D45" s="76">
        <v>10016229</v>
      </c>
      <c r="E45" s="76">
        <f>D45-C45</f>
        <v>3805245</v>
      </c>
      <c r="F45" s="77">
        <f>IF(C45=0,0,E45/C45)</f>
        <v>0.61266379047184794</v>
      </c>
    </row>
    <row r="46" spans="1:6" ht="23.1" customHeight="1" x14ac:dyDescent="0.2">
      <c r="A46" s="85"/>
      <c r="B46" s="75" t="s">
        <v>101</v>
      </c>
      <c r="C46" s="76">
        <v>-283937</v>
      </c>
      <c r="D46" s="76">
        <v>-1345837</v>
      </c>
      <c r="E46" s="76">
        <f>D46-C46</f>
        <v>-1061900</v>
      </c>
      <c r="F46" s="77">
        <f>IF(C46=0,0,E46/C46)</f>
        <v>3.7399141358822554</v>
      </c>
    </row>
    <row r="47" spans="1:6" ht="23.1" customHeight="1" x14ac:dyDescent="0.25">
      <c r="A47" s="83"/>
      <c r="B47" s="78" t="s">
        <v>102</v>
      </c>
      <c r="C47" s="79">
        <f>SUM(C45:C46)</f>
        <v>5927047</v>
      </c>
      <c r="D47" s="79">
        <f>SUM(D45:D46)</f>
        <v>8670392</v>
      </c>
      <c r="E47" s="79">
        <f>D47-C47</f>
        <v>2743345</v>
      </c>
      <c r="F47" s="80">
        <f>IF(C47=0,0,E47/C47)</f>
        <v>0.46285190584788682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26355112</v>
      </c>
      <c r="D49" s="79">
        <f>D42+D47</f>
        <v>24766337</v>
      </c>
      <c r="E49" s="79">
        <f>D49-C49</f>
        <v>-1588775</v>
      </c>
      <c r="F49" s="80">
        <f>IF(C49=0,0,E49/C49)</f>
        <v>-6.0283371210867936E-2</v>
      </c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FILING&amp;RNORWALK HOSPITAL</oddHeader>
    <oddFooter>&amp;LREPORT 100&amp;CPAGE &amp;P of &amp;N&amp;R&amp;D,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263</vt:i4>
      </vt:variant>
    </vt:vector>
  </HeadingPairs>
  <TitlesOfParts>
    <vt:vector size="283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Sheet1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Ciesones, Ron</cp:lastModifiedBy>
  <cp:lastPrinted>2014-10-07T13:14:29Z</cp:lastPrinted>
  <dcterms:created xsi:type="dcterms:W3CDTF">2014-10-06T18:53:05Z</dcterms:created>
  <dcterms:modified xsi:type="dcterms:W3CDTF">2014-10-09T18:49:53Z</dcterms:modified>
</cp:coreProperties>
</file>