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 firstSheet="8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85" i="14"/>
  <c r="D203" i="14"/>
  <c r="D267" i="14"/>
  <c r="D198" i="14"/>
  <c r="D290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C108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4" i="19"/>
  <c r="C12" i="19"/>
  <c r="C22" i="19"/>
  <c r="C45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D44" i="17"/>
  <c r="E44" i="17"/>
  <c r="C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F23" i="17"/>
  <c r="E23" i="17"/>
  <c r="E22" i="17"/>
  <c r="F22" i="17"/>
  <c r="D19" i="17"/>
  <c r="D20" i="17"/>
  <c r="C19" i="17"/>
  <c r="F18" i="17"/>
  <c r="E18" i="17"/>
  <c r="D16" i="17"/>
  <c r="E16" i="17"/>
  <c r="C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E328" i="15"/>
  <c r="E325" i="15"/>
  <c r="D324" i="15"/>
  <c r="E324" i="15"/>
  <c r="C324" i="15"/>
  <c r="C326" i="15"/>
  <c r="C330" i="15"/>
  <c r="E318" i="15"/>
  <c r="E315" i="15"/>
  <c r="D314" i="15"/>
  <c r="D316" i="15"/>
  <c r="D320" i="15"/>
  <c r="E320" i="15"/>
  <c r="E314" i="15"/>
  <c r="C314" i="15"/>
  <c r="C316" i="15"/>
  <c r="C320" i="15"/>
  <c r="E308" i="15"/>
  <c r="E305" i="15"/>
  <c r="D301" i="15"/>
  <c r="C301" i="15"/>
  <c r="E301" i="15"/>
  <c r="D293" i="15"/>
  <c r="E293" i="15"/>
  <c r="C293" i="15"/>
  <c r="D292" i="15"/>
  <c r="C292" i="15"/>
  <c r="E292" i="15"/>
  <c r="D291" i="15"/>
  <c r="E291" i="15"/>
  <c r="C291" i="15"/>
  <c r="D290" i="15"/>
  <c r="E290" i="15"/>
  <c r="C290" i="15"/>
  <c r="D288" i="15"/>
  <c r="E288" i="15"/>
  <c r="C288" i="15"/>
  <c r="D287" i="15"/>
  <c r="E287" i="15"/>
  <c r="C287" i="15"/>
  <c r="D282" i="15"/>
  <c r="C282" i="15"/>
  <c r="E282" i="15"/>
  <c r="D281" i="15"/>
  <c r="E281" i="15"/>
  <c r="C281" i="15"/>
  <c r="D280" i="15"/>
  <c r="C280" i="15"/>
  <c r="D279" i="15"/>
  <c r="E279" i="15"/>
  <c r="C279" i="15"/>
  <c r="D278" i="15"/>
  <c r="E278" i="15"/>
  <c r="C278" i="15"/>
  <c r="D277" i="15"/>
  <c r="E277" i="15"/>
  <c r="C277" i="15"/>
  <c r="D276" i="15"/>
  <c r="E276" i="15"/>
  <c r="C276" i="15"/>
  <c r="E270" i="15"/>
  <c r="D265" i="15"/>
  <c r="C265" i="15"/>
  <c r="C302" i="15"/>
  <c r="C303" i="15"/>
  <c r="C306" i="15"/>
  <c r="C310" i="15"/>
  <c r="D262" i="15"/>
  <c r="C262" i="15"/>
  <c r="D251" i="15"/>
  <c r="C251" i="15"/>
  <c r="D233" i="15"/>
  <c r="C233" i="15"/>
  <c r="D232" i="15"/>
  <c r="C232" i="15"/>
  <c r="D231" i="15"/>
  <c r="C231" i="15"/>
  <c r="E231" i="15"/>
  <c r="D230" i="15"/>
  <c r="C230" i="15"/>
  <c r="E230" i="15"/>
  <c r="D228" i="15"/>
  <c r="C228" i="15"/>
  <c r="D227" i="15"/>
  <c r="C227" i="15"/>
  <c r="E227" i="15"/>
  <c r="D221" i="15"/>
  <c r="D245" i="15"/>
  <c r="C221" i="15"/>
  <c r="C245" i="15"/>
  <c r="D220" i="15"/>
  <c r="D244" i="15"/>
  <c r="C220" i="15"/>
  <c r="C244" i="15"/>
  <c r="D219" i="15"/>
  <c r="E219" i="15"/>
  <c r="C219" i="15"/>
  <c r="C243" i="15"/>
  <c r="D218" i="15"/>
  <c r="C218" i="15"/>
  <c r="C242" i="15"/>
  <c r="D216" i="15"/>
  <c r="D240" i="15"/>
  <c r="E240" i="15"/>
  <c r="C216" i="15"/>
  <c r="C240" i="15"/>
  <c r="D215" i="15"/>
  <c r="D239" i="15"/>
  <c r="C215" i="15"/>
  <c r="E215" i="15"/>
  <c r="D210" i="15"/>
  <c r="D211" i="15"/>
  <c r="E209" i="15"/>
  <c r="E208" i="15"/>
  <c r="E207" i="15"/>
  <c r="E206" i="15"/>
  <c r="D205" i="15"/>
  <c r="D229" i="15"/>
  <c r="C205" i="15"/>
  <c r="E205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189" i="15"/>
  <c r="E189" i="15"/>
  <c r="C188" i="15"/>
  <c r="C189" i="15"/>
  <c r="E186" i="15"/>
  <c r="E185" i="15"/>
  <c r="D179" i="15"/>
  <c r="E179" i="15"/>
  <c r="C179" i="15"/>
  <c r="D178" i="15"/>
  <c r="E178" i="15"/>
  <c r="C178" i="15"/>
  <c r="D177" i="15"/>
  <c r="E177" i="15"/>
  <c r="C177" i="15"/>
  <c r="D176" i="15"/>
  <c r="E176" i="15"/>
  <c r="C176" i="15"/>
  <c r="D174" i="15"/>
  <c r="C174" i="15"/>
  <c r="E174" i="15"/>
  <c r="D173" i="15"/>
  <c r="E173" i="15"/>
  <c r="C173" i="15"/>
  <c r="D167" i="15"/>
  <c r="C167" i="15"/>
  <c r="E167" i="15"/>
  <c r="D166" i="15"/>
  <c r="E166" i="15"/>
  <c r="C166" i="15"/>
  <c r="D165" i="15"/>
  <c r="C165" i="15"/>
  <c r="D164" i="15"/>
  <c r="E164" i="15"/>
  <c r="C164" i="15"/>
  <c r="D162" i="15"/>
  <c r="E162" i="15"/>
  <c r="C162" i="15"/>
  <c r="D161" i="15"/>
  <c r="C161" i="15"/>
  <c r="E155" i="15"/>
  <c r="E154" i="15"/>
  <c r="E153" i="15"/>
  <c r="E152" i="15"/>
  <c r="D151" i="15"/>
  <c r="D156" i="15"/>
  <c r="D157" i="15"/>
  <c r="C151" i="15"/>
  <c r="C156" i="15"/>
  <c r="C157" i="15"/>
  <c r="E150" i="15"/>
  <c r="E149" i="15"/>
  <c r="E143" i="15"/>
  <c r="E142" i="15"/>
  <c r="E141" i="15"/>
  <c r="E140" i="15"/>
  <c r="D139" i="15"/>
  <c r="D144" i="15"/>
  <c r="C139" i="15"/>
  <c r="C175" i="15"/>
  <c r="E138" i="15"/>
  <c r="E137" i="15"/>
  <c r="D75" i="15"/>
  <c r="E75" i="15"/>
  <c r="C75" i="15"/>
  <c r="D74" i="15"/>
  <c r="C74" i="15"/>
  <c r="D73" i="15"/>
  <c r="E73" i="15"/>
  <c r="C73" i="15"/>
  <c r="D72" i="15"/>
  <c r="E72" i="15"/>
  <c r="C72" i="15"/>
  <c r="D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E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D40" i="15"/>
  <c r="E40" i="15"/>
  <c r="C40" i="15"/>
  <c r="D39" i="15"/>
  <c r="E39" i="15"/>
  <c r="C39" i="15"/>
  <c r="D38" i="15"/>
  <c r="C38" i="15"/>
  <c r="D37" i="15"/>
  <c r="D43" i="15"/>
  <c r="D44" i="15"/>
  <c r="D95" i="15"/>
  <c r="E37" i="15"/>
  <c r="C37" i="15"/>
  <c r="D36" i="15"/>
  <c r="C36" i="15"/>
  <c r="E36" i="15"/>
  <c r="D32" i="15"/>
  <c r="C32" i="15"/>
  <c r="C33" i="15"/>
  <c r="E31" i="15"/>
  <c r="E30" i="15"/>
  <c r="E29" i="15"/>
  <c r="E28" i="15"/>
  <c r="E27" i="15"/>
  <c r="E26" i="15"/>
  <c r="E25" i="15"/>
  <c r="D21" i="15"/>
  <c r="E21" i="15"/>
  <c r="C21" i="15"/>
  <c r="C283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08" i="14"/>
  <c r="F308" i="14"/>
  <c r="C307" i="14"/>
  <c r="E307" i="14"/>
  <c r="F307" i="14"/>
  <c r="C299" i="14"/>
  <c r="C298" i="14"/>
  <c r="C297" i="14"/>
  <c r="C296" i="14"/>
  <c r="E296" i="14"/>
  <c r="C295" i="14"/>
  <c r="C294" i="14"/>
  <c r="C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C237" i="14"/>
  <c r="F234" i="14"/>
  <c r="E234" i="14"/>
  <c r="E233" i="14"/>
  <c r="F233" i="14"/>
  <c r="C230" i="14"/>
  <c r="E230" i="14"/>
  <c r="F230" i="14"/>
  <c r="C229" i="14"/>
  <c r="E229" i="14"/>
  <c r="F229" i="14"/>
  <c r="E228" i="14"/>
  <c r="F228" i="14"/>
  <c r="C227" i="14"/>
  <c r="C226" i="14"/>
  <c r="E226" i="14"/>
  <c r="F226" i="14"/>
  <c r="E225" i="14"/>
  <c r="F225" i="14"/>
  <c r="E224" i="14"/>
  <c r="F224" i="14"/>
  <c r="C223" i="14"/>
  <c r="E223" i="14"/>
  <c r="E222" i="14"/>
  <c r="F222" i="14"/>
  <c r="E221" i="14"/>
  <c r="F221" i="14"/>
  <c r="C204" i="14"/>
  <c r="C269" i="14"/>
  <c r="C203" i="14"/>
  <c r="E203" i="14"/>
  <c r="C198" i="14"/>
  <c r="E198" i="14"/>
  <c r="C191" i="14"/>
  <c r="C189" i="14"/>
  <c r="C262" i="14"/>
  <c r="C188" i="14"/>
  <c r="C277" i="14"/>
  <c r="C180" i="14"/>
  <c r="E180" i="14"/>
  <c r="C179" i="14"/>
  <c r="C171" i="14"/>
  <c r="E171" i="14"/>
  <c r="C170" i="14"/>
  <c r="E169" i="14"/>
  <c r="F169" i="14"/>
  <c r="E168" i="14"/>
  <c r="F168" i="14"/>
  <c r="C165" i="14"/>
  <c r="E165" i="14"/>
  <c r="C164" i="14"/>
  <c r="E164" i="14"/>
  <c r="E163" i="14"/>
  <c r="F163" i="14"/>
  <c r="C158" i="14"/>
  <c r="E158" i="14"/>
  <c r="F157" i="14"/>
  <c r="E157" i="14"/>
  <c r="E156" i="14"/>
  <c r="F156" i="14"/>
  <c r="C155" i="14"/>
  <c r="E155" i="14"/>
  <c r="F155" i="14"/>
  <c r="E154" i="14"/>
  <c r="F154" i="14"/>
  <c r="E153" i="14"/>
  <c r="F153" i="14"/>
  <c r="C145" i="14"/>
  <c r="E145" i="14"/>
  <c r="C144" i="14"/>
  <c r="C136" i="14"/>
  <c r="E136" i="14"/>
  <c r="C135" i="14"/>
  <c r="E135" i="14"/>
  <c r="E134" i="14"/>
  <c r="F134" i="14"/>
  <c r="E133" i="14"/>
  <c r="F133" i="14"/>
  <c r="C130" i="14"/>
  <c r="C129" i="14"/>
  <c r="E129" i="14"/>
  <c r="F129" i="14"/>
  <c r="E128" i="14"/>
  <c r="F128" i="14"/>
  <c r="C123" i="14"/>
  <c r="E122" i="14"/>
  <c r="F122" i="14"/>
  <c r="E121" i="14"/>
  <c r="F121" i="14"/>
  <c r="C120" i="14"/>
  <c r="E120" i="14"/>
  <c r="F120" i="14"/>
  <c r="E119" i="14"/>
  <c r="F119" i="14"/>
  <c r="E118" i="14"/>
  <c r="F118" i="14"/>
  <c r="C110" i="14"/>
  <c r="C109" i="14"/>
  <c r="E109" i="14"/>
  <c r="F109" i="14"/>
  <c r="C101" i="14"/>
  <c r="C102" i="14"/>
  <c r="C100" i="14"/>
  <c r="E99" i="14"/>
  <c r="F99" i="14"/>
  <c r="E98" i="14"/>
  <c r="F98" i="14"/>
  <c r="C95" i="14"/>
  <c r="E95" i="14"/>
  <c r="F95" i="14"/>
  <c r="C94" i="14"/>
  <c r="E94" i="14"/>
  <c r="F94" i="14"/>
  <c r="E93" i="14"/>
  <c r="F93" i="14"/>
  <c r="C89" i="14"/>
  <c r="C88" i="14"/>
  <c r="E88" i="14"/>
  <c r="F88" i="14"/>
  <c r="F87" i="14"/>
  <c r="E87" i="14"/>
  <c r="E86" i="14"/>
  <c r="F86" i="14"/>
  <c r="C85" i="14"/>
  <c r="E84" i="14"/>
  <c r="F84" i="14"/>
  <c r="E83" i="14"/>
  <c r="F83" i="14"/>
  <c r="C76" i="14"/>
  <c r="C77" i="14"/>
  <c r="E77" i="14"/>
  <c r="E76" i="14"/>
  <c r="F76" i="14"/>
  <c r="E74" i="14"/>
  <c r="F74" i="14"/>
  <c r="E73" i="14"/>
  <c r="F73" i="14"/>
  <c r="C67" i="14"/>
  <c r="C66" i="14"/>
  <c r="E66" i="14"/>
  <c r="F66" i="14"/>
  <c r="C59" i="14"/>
  <c r="C60" i="14"/>
  <c r="C58" i="14"/>
  <c r="E57" i="14"/>
  <c r="F57" i="14"/>
  <c r="E56" i="14"/>
  <c r="F56" i="14"/>
  <c r="C53" i="14"/>
  <c r="C52" i="14"/>
  <c r="E52" i="14"/>
  <c r="F52" i="14"/>
  <c r="E51" i="14"/>
  <c r="F51" i="14"/>
  <c r="C47" i="14"/>
  <c r="E47" i="14"/>
  <c r="E46" i="14"/>
  <c r="F46" i="14"/>
  <c r="E45" i="14"/>
  <c r="F45" i="14"/>
  <c r="C44" i="14"/>
  <c r="E43" i="14"/>
  <c r="F43" i="14"/>
  <c r="E42" i="14"/>
  <c r="F42" i="14"/>
  <c r="C36" i="14"/>
  <c r="E36" i="14"/>
  <c r="F36" i="14"/>
  <c r="E35" i="14"/>
  <c r="C35" i="14"/>
  <c r="C30" i="14"/>
  <c r="E30" i="14"/>
  <c r="C29" i="14"/>
  <c r="E29" i="14"/>
  <c r="E28" i="14"/>
  <c r="F28" i="14"/>
  <c r="E27" i="14"/>
  <c r="F27" i="14"/>
  <c r="C24" i="14"/>
  <c r="C23" i="14"/>
  <c r="E23" i="14"/>
  <c r="F23" i="14"/>
  <c r="E22" i="14"/>
  <c r="F22" i="14"/>
  <c r="C20" i="14"/>
  <c r="C21" i="14"/>
  <c r="E19" i="14"/>
  <c r="F19" i="14"/>
  <c r="E18" i="14"/>
  <c r="F18" i="14"/>
  <c r="C17" i="14"/>
  <c r="E17" i="14"/>
  <c r="F17" i="14"/>
  <c r="E16" i="14"/>
  <c r="F16" i="14"/>
  <c r="E15" i="14"/>
  <c r="F15" i="14"/>
  <c r="D22" i="13"/>
  <c r="E22" i="13"/>
  <c r="F22" i="13"/>
  <c r="C22" i="13"/>
  <c r="E21" i="13"/>
  <c r="F21" i="13"/>
  <c r="D18" i="13"/>
  <c r="E18" i="13"/>
  <c r="C18" i="13"/>
  <c r="F18" i="13"/>
  <c r="F17" i="13"/>
  <c r="E17" i="13"/>
  <c r="D14" i="13"/>
  <c r="E14" i="13"/>
  <c r="C14" i="13"/>
  <c r="F14" i="13"/>
  <c r="E13" i="13"/>
  <c r="F13" i="13"/>
  <c r="F12" i="13"/>
  <c r="E12" i="13"/>
  <c r="D99" i="12"/>
  <c r="E99" i="12"/>
  <c r="F99" i="12"/>
  <c r="C99" i="12"/>
  <c r="E98" i="12"/>
  <c r="F98" i="12"/>
  <c r="F97" i="12"/>
  <c r="E97" i="12"/>
  <c r="E96" i="12"/>
  <c r="F96" i="12"/>
  <c r="D92" i="12"/>
  <c r="C92" i="12"/>
  <c r="F91" i="12"/>
  <c r="E91" i="12"/>
  <c r="E90" i="12"/>
  <c r="F90" i="12"/>
  <c r="F89" i="12"/>
  <c r="E89" i="12"/>
  <c r="E88" i="12"/>
  <c r="F88" i="12"/>
  <c r="F87" i="12"/>
  <c r="E87" i="12"/>
  <c r="D84" i="12"/>
  <c r="E84" i="12"/>
  <c r="F84" i="12"/>
  <c r="C84" i="12"/>
  <c r="E83" i="12"/>
  <c r="F83" i="12"/>
  <c r="F82" i="12"/>
  <c r="E82" i="12"/>
  <c r="E81" i="12"/>
  <c r="F81" i="12"/>
  <c r="F80" i="12"/>
  <c r="E80" i="12"/>
  <c r="F79" i="12"/>
  <c r="E79" i="12"/>
  <c r="D75" i="12"/>
  <c r="C75" i="12"/>
  <c r="F74" i="12"/>
  <c r="E74" i="12"/>
  <c r="E73" i="12"/>
  <c r="D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E59" i="12"/>
  <c r="F59" i="12"/>
  <c r="E58" i="12"/>
  <c r="D55" i="12"/>
  <c r="E55" i="12"/>
  <c r="C55" i="12"/>
  <c r="F55" i="12"/>
  <c r="F54" i="12"/>
  <c r="E54" i="12"/>
  <c r="E53" i="12"/>
  <c r="F53" i="12"/>
  <c r="D50" i="12"/>
  <c r="C50" i="12"/>
  <c r="F49" i="12"/>
  <c r="E49" i="12"/>
  <c r="E48" i="12"/>
  <c r="F48" i="12"/>
  <c r="D45" i="12"/>
  <c r="E45" i="12"/>
  <c r="C45" i="12"/>
  <c r="F45" i="12"/>
  <c r="F44" i="12"/>
  <c r="E44" i="12"/>
  <c r="E43" i="12"/>
  <c r="F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29" i="12"/>
  <c r="E29" i="12"/>
  <c r="E28" i="12"/>
  <c r="F28" i="12"/>
  <c r="E27" i="12"/>
  <c r="F27" i="12"/>
  <c r="E26" i="12"/>
  <c r="F26" i="12"/>
  <c r="D23" i="12"/>
  <c r="C23" i="12"/>
  <c r="F22" i="12"/>
  <c r="E22" i="12"/>
  <c r="E21" i="12"/>
  <c r="F21" i="12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G37" i="11"/>
  <c r="F37" i="11"/>
  <c r="E33" i="11"/>
  <c r="E31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D17" i="11"/>
  <c r="D33" i="11"/>
  <c r="D36" i="11"/>
  <c r="D38" i="11"/>
  <c r="D40" i="11"/>
  <c r="C17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C54" i="10"/>
  <c r="C50" i="10"/>
  <c r="E48" i="10"/>
  <c r="E42" i="10"/>
  <c r="E46" i="10"/>
  <c r="E59" i="10"/>
  <c r="E61" i="10"/>
  <c r="E57" i="10"/>
  <c r="D46" i="10"/>
  <c r="D48" i="10"/>
  <c r="D42" i="10"/>
  <c r="C46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D15" i="10"/>
  <c r="D24" i="10"/>
  <c r="E13" i="10"/>
  <c r="E25" i="10"/>
  <c r="E27" i="10"/>
  <c r="D13" i="10"/>
  <c r="D25" i="10"/>
  <c r="D27" i="10"/>
  <c r="C13" i="10"/>
  <c r="C25" i="10"/>
  <c r="C27" i="10"/>
  <c r="D46" i="9"/>
  <c r="C46" i="9"/>
  <c r="E46" i="9"/>
  <c r="F45" i="9"/>
  <c r="E45" i="9"/>
  <c r="E44" i="9"/>
  <c r="F44" i="9"/>
  <c r="D39" i="9"/>
  <c r="C39" i="9"/>
  <c r="E39" i="9"/>
  <c r="E38" i="9"/>
  <c r="F38" i="9"/>
  <c r="F37" i="9"/>
  <c r="E37" i="9"/>
  <c r="E36" i="9"/>
  <c r="F36" i="9"/>
  <c r="D31" i="9"/>
  <c r="C31" i="9"/>
  <c r="E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E16" i="9"/>
  <c r="F16" i="9"/>
  <c r="C16" i="9"/>
  <c r="C19" i="9"/>
  <c r="C33" i="9"/>
  <c r="C41" i="9"/>
  <c r="F15" i="9"/>
  <c r="E15" i="9"/>
  <c r="E14" i="9"/>
  <c r="F14" i="9"/>
  <c r="F13" i="9"/>
  <c r="E13" i="9"/>
  <c r="E12" i="9"/>
  <c r="F12" i="9"/>
  <c r="D73" i="8"/>
  <c r="C73" i="8"/>
  <c r="F72" i="8"/>
  <c r="E72" i="8"/>
  <c r="E71" i="8"/>
  <c r="F71" i="8"/>
  <c r="F70" i="8"/>
  <c r="E70" i="8"/>
  <c r="F67" i="8"/>
  <c r="E67" i="8"/>
  <c r="F64" i="8"/>
  <c r="E64" i="8"/>
  <c r="E63" i="8"/>
  <c r="F63" i="8"/>
  <c r="D61" i="8"/>
  <c r="C61" i="8"/>
  <c r="C65" i="8"/>
  <c r="E60" i="8"/>
  <c r="F60" i="8"/>
  <c r="F59" i="8"/>
  <c r="E59" i="8"/>
  <c r="D56" i="8"/>
  <c r="C56" i="8"/>
  <c r="C75" i="8"/>
  <c r="F55" i="8"/>
  <c r="E55" i="8"/>
  <c r="F54" i="8"/>
  <c r="E54" i="8"/>
  <c r="E53" i="8"/>
  <c r="F53" i="8"/>
  <c r="F52" i="8"/>
  <c r="E52" i="8"/>
  <c r="F51" i="8"/>
  <c r="E51" i="8"/>
  <c r="A51" i="8"/>
  <c r="A52" i="8"/>
  <c r="A53" i="8"/>
  <c r="A54" i="8"/>
  <c r="A55" i="8"/>
  <c r="E50" i="8"/>
  <c r="F50" i="8"/>
  <c r="A50" i="8"/>
  <c r="E49" i="8"/>
  <c r="F49" i="8"/>
  <c r="F40" i="8"/>
  <c r="E40" i="8"/>
  <c r="D38" i="8"/>
  <c r="D41" i="8"/>
  <c r="C38" i="8"/>
  <c r="C41" i="8"/>
  <c r="E37" i="8"/>
  <c r="F37" i="8"/>
  <c r="F36" i="8"/>
  <c r="E36" i="8"/>
  <c r="E33" i="8"/>
  <c r="F33" i="8"/>
  <c r="F32" i="8"/>
  <c r="E32" i="8"/>
  <c r="F31" i="8"/>
  <c r="E31" i="8"/>
  <c r="D29" i="8"/>
  <c r="C29" i="8"/>
  <c r="F28" i="8"/>
  <c r="E28" i="8"/>
  <c r="F27" i="8"/>
  <c r="E27" i="8"/>
  <c r="F26" i="8"/>
  <c r="E26" i="8"/>
  <c r="E25" i="8"/>
  <c r="F25" i="8"/>
  <c r="D22" i="8"/>
  <c r="E22" i="8"/>
  <c r="C22" i="8"/>
  <c r="F21" i="8"/>
  <c r="E21" i="8"/>
  <c r="F20" i="8"/>
  <c r="E20" i="8"/>
  <c r="F19" i="8"/>
  <c r="E19" i="8"/>
  <c r="E18" i="8"/>
  <c r="F18" i="8"/>
  <c r="F17" i="8"/>
  <c r="E17" i="8"/>
  <c r="E16" i="8"/>
  <c r="F16" i="8"/>
  <c r="F15" i="8"/>
  <c r="E15" i="8"/>
  <c r="E14" i="8"/>
  <c r="F14" i="8"/>
  <c r="F13" i="8"/>
  <c r="E13" i="8"/>
  <c r="D120" i="7"/>
  <c r="E120" i="7"/>
  <c r="C120" i="7"/>
  <c r="F120" i="7"/>
  <c r="D119" i="7"/>
  <c r="E119" i="7"/>
  <c r="F119" i="7"/>
  <c r="C119" i="7"/>
  <c r="D118" i="7"/>
  <c r="E118" i="7"/>
  <c r="F118" i="7"/>
  <c r="C118" i="7"/>
  <c r="D117" i="7"/>
  <c r="E117" i="7"/>
  <c r="F117" i="7"/>
  <c r="C117" i="7"/>
  <c r="D116" i="7"/>
  <c r="E116" i="7"/>
  <c r="C116" i="7"/>
  <c r="F116" i="7"/>
  <c r="D115" i="7"/>
  <c r="C115" i="7"/>
  <c r="D114" i="7"/>
  <c r="C114" i="7"/>
  <c r="D113" i="7"/>
  <c r="D122" i="7"/>
  <c r="E122" i="7"/>
  <c r="C113" i="7"/>
  <c r="C122" i="7"/>
  <c r="D112" i="7"/>
  <c r="D121" i="7"/>
  <c r="C112" i="7"/>
  <c r="C121" i="7"/>
  <c r="D108" i="7"/>
  <c r="E108" i="7"/>
  <c r="F108" i="7"/>
  <c r="C108" i="7"/>
  <c r="D107" i="7"/>
  <c r="E107" i="7"/>
  <c r="F107" i="7"/>
  <c r="C107" i="7"/>
  <c r="E106" i="7"/>
  <c r="F106" i="7"/>
  <c r="F105" i="7"/>
  <c r="E105" i="7"/>
  <c r="E104" i="7"/>
  <c r="F104" i="7"/>
  <c r="F103" i="7"/>
  <c r="E103" i="7"/>
  <c r="E102" i="7"/>
  <c r="F102" i="7"/>
  <c r="F101" i="7"/>
  <c r="E101" i="7"/>
  <c r="E100" i="7"/>
  <c r="F100" i="7"/>
  <c r="F99" i="7"/>
  <c r="E99" i="7"/>
  <c r="E98" i="7"/>
  <c r="F98" i="7"/>
  <c r="D96" i="7"/>
  <c r="C96" i="7"/>
  <c r="D95" i="7"/>
  <c r="C95" i="7"/>
  <c r="F94" i="7"/>
  <c r="E94" i="7"/>
  <c r="E93" i="7"/>
  <c r="F93" i="7"/>
  <c r="F92" i="7"/>
  <c r="E92" i="7"/>
  <c r="E91" i="7"/>
  <c r="F91" i="7"/>
  <c r="F90" i="7"/>
  <c r="E90" i="7"/>
  <c r="E89" i="7"/>
  <c r="F89" i="7"/>
  <c r="F88" i="7"/>
  <c r="E88" i="7"/>
  <c r="E87" i="7"/>
  <c r="F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F36" i="7"/>
  <c r="D35" i="7"/>
  <c r="E35" i="7"/>
  <c r="C35" i="7"/>
  <c r="F35" i="7"/>
  <c r="E34" i="7"/>
  <c r="F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D24" i="7"/>
  <c r="C24" i="7"/>
  <c r="D23" i="7"/>
  <c r="C23" i="7"/>
  <c r="F22" i="7"/>
  <c r="E22" i="7"/>
  <c r="E21" i="7"/>
  <c r="F21" i="7"/>
  <c r="F20" i="7"/>
  <c r="E20" i="7"/>
  <c r="E19" i="7"/>
  <c r="F19" i="7"/>
  <c r="F18" i="7"/>
  <c r="E18" i="7"/>
  <c r="E17" i="7"/>
  <c r="F17" i="7"/>
  <c r="F16" i="7"/>
  <c r="E16" i="7"/>
  <c r="E15" i="7"/>
  <c r="F15" i="7"/>
  <c r="F14" i="7"/>
  <c r="E14" i="7"/>
  <c r="D206" i="6"/>
  <c r="C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D208" i="6"/>
  <c r="C199" i="6"/>
  <c r="D198" i="6"/>
  <c r="D207" i="6"/>
  <c r="C198" i="6"/>
  <c r="D193" i="6"/>
  <c r="E193" i="6"/>
  <c r="F193" i="6"/>
  <c r="C193" i="6"/>
  <c r="D192" i="6"/>
  <c r="E192" i="6"/>
  <c r="F192" i="6"/>
  <c r="C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E140" i="6"/>
  <c r="C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D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D114" i="6"/>
  <c r="C114" i="6"/>
  <c r="F113" i="6"/>
  <c r="E113" i="6"/>
  <c r="E112" i="6"/>
  <c r="F112" i="6"/>
  <c r="E111" i="6"/>
  <c r="F111" i="6"/>
  <c r="F110" i="6"/>
  <c r="E110" i="6"/>
  <c r="F109" i="6"/>
  <c r="E109" i="6"/>
  <c r="E108" i="6"/>
  <c r="F108" i="6"/>
  <c r="E107" i="6"/>
  <c r="F107" i="6"/>
  <c r="F106" i="6"/>
  <c r="E106" i="6"/>
  <c r="F105" i="6"/>
  <c r="E105" i="6"/>
  <c r="D102" i="6"/>
  <c r="C102" i="6"/>
  <c r="D101" i="6"/>
  <c r="C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F89" i="6"/>
  <c r="D88" i="6"/>
  <c r="E88" i="6"/>
  <c r="C88" i="6"/>
  <c r="F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D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F63" i="6"/>
  <c r="D62" i="6"/>
  <c r="E62" i="6"/>
  <c r="C62" i="6"/>
  <c r="E61" i="6"/>
  <c r="F61" i="6"/>
  <c r="F60" i="6"/>
  <c r="E60" i="6"/>
  <c r="E59" i="6"/>
  <c r="F59" i="6"/>
  <c r="F58" i="6"/>
  <c r="E58" i="6"/>
  <c r="E57" i="6"/>
  <c r="F57" i="6"/>
  <c r="F56" i="6"/>
  <c r="E56" i="6"/>
  <c r="E55" i="6"/>
  <c r="F55" i="6"/>
  <c r="F54" i="6"/>
  <c r="E54" i="6"/>
  <c r="E53" i="6"/>
  <c r="F53" i="6"/>
  <c r="D50" i="6"/>
  <c r="E50" i="6"/>
  <c r="F50" i="6"/>
  <c r="C50" i="6"/>
  <c r="D49" i="6"/>
  <c r="E49" i="6"/>
  <c r="F49" i="6"/>
  <c r="C49" i="6"/>
  <c r="F48" i="6"/>
  <c r="E48" i="6"/>
  <c r="E47" i="6"/>
  <c r="F47" i="6"/>
  <c r="F46" i="6"/>
  <c r="E46" i="6"/>
  <c r="F45" i="6"/>
  <c r="E45" i="6"/>
  <c r="F44" i="6"/>
  <c r="E44" i="6"/>
  <c r="E43" i="6"/>
  <c r="F43" i="6"/>
  <c r="F42" i="6"/>
  <c r="E42" i="6"/>
  <c r="F41" i="6"/>
  <c r="E41" i="6"/>
  <c r="F40" i="6"/>
  <c r="E40" i="6"/>
  <c r="D37" i="6"/>
  <c r="E37" i="6"/>
  <c r="C37" i="6"/>
  <c r="D36" i="6"/>
  <c r="E36" i="6"/>
  <c r="C36" i="6"/>
  <c r="F35" i="6"/>
  <c r="E35" i="6"/>
  <c r="F34" i="6"/>
  <c r="E34" i="6"/>
  <c r="F33" i="6"/>
  <c r="E33" i="6"/>
  <c r="F32" i="6"/>
  <c r="E32" i="6"/>
  <c r="E31" i="6"/>
  <c r="F31" i="6"/>
  <c r="F30" i="6"/>
  <c r="E30" i="6"/>
  <c r="F29" i="6"/>
  <c r="E29" i="6"/>
  <c r="F28" i="6"/>
  <c r="E28" i="6"/>
  <c r="E27" i="6"/>
  <c r="F27" i="6"/>
  <c r="D24" i="6"/>
  <c r="E24" i="6"/>
  <c r="F24" i="6"/>
  <c r="C24" i="6"/>
  <c r="D23" i="6"/>
  <c r="E23" i="6"/>
  <c r="F23" i="6"/>
  <c r="C23" i="6"/>
  <c r="F22" i="6"/>
  <c r="E22" i="6"/>
  <c r="E21" i="6"/>
  <c r="F21" i="6"/>
  <c r="F20" i="6"/>
  <c r="E20" i="6"/>
  <c r="E19" i="6"/>
  <c r="F19" i="6"/>
  <c r="F18" i="6"/>
  <c r="E18" i="6"/>
  <c r="E17" i="6"/>
  <c r="F17" i="6"/>
  <c r="F16" i="6"/>
  <c r="E16" i="6"/>
  <c r="E15" i="6"/>
  <c r="F15" i="6"/>
  <c r="F14" i="6"/>
  <c r="E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47" i="5"/>
  <c r="D147" i="5"/>
  <c r="D143" i="5"/>
  <c r="D149" i="5"/>
  <c r="C147" i="5"/>
  <c r="C143" i="5"/>
  <c r="C149" i="5"/>
  <c r="E145" i="5"/>
  <c r="D145" i="5"/>
  <c r="C145" i="5"/>
  <c r="E144" i="5"/>
  <c r="D144" i="5"/>
  <c r="C144" i="5"/>
  <c r="E143" i="5"/>
  <c r="E149" i="5"/>
  <c r="E126" i="5"/>
  <c r="D126" i="5"/>
  <c r="C126" i="5"/>
  <c r="E119" i="5"/>
  <c r="D119" i="5"/>
  <c r="C119" i="5"/>
  <c r="E108" i="5"/>
  <c r="E109" i="5"/>
  <c r="E106" i="5"/>
  <c r="D108" i="5"/>
  <c r="C108" i="5"/>
  <c r="E107" i="5"/>
  <c r="D107" i="5"/>
  <c r="D109" i="5"/>
  <c r="D106" i="5"/>
  <c r="C107" i="5"/>
  <c r="C109" i="5"/>
  <c r="C106" i="5"/>
  <c r="E104" i="5"/>
  <c r="E102" i="5"/>
  <c r="D102" i="5"/>
  <c r="D104" i="5"/>
  <c r="C102" i="5"/>
  <c r="C104" i="5"/>
  <c r="E100" i="5"/>
  <c r="D100" i="5"/>
  <c r="C100" i="5"/>
  <c r="E95" i="5"/>
  <c r="D95" i="5"/>
  <c r="D94" i="5"/>
  <c r="C95" i="5"/>
  <c r="C94" i="5"/>
  <c r="E94" i="5"/>
  <c r="E89" i="5"/>
  <c r="D89" i="5"/>
  <c r="C89" i="5"/>
  <c r="C88" i="5"/>
  <c r="C90" i="5"/>
  <c r="C86" i="5"/>
  <c r="E87" i="5"/>
  <c r="D87" i="5"/>
  <c r="C87" i="5"/>
  <c r="E84" i="5"/>
  <c r="D84" i="5"/>
  <c r="C84" i="5"/>
  <c r="C79" i="5"/>
  <c r="E83" i="5"/>
  <c r="D83" i="5"/>
  <c r="D79" i="5"/>
  <c r="C83" i="5"/>
  <c r="E79" i="5"/>
  <c r="E75" i="5"/>
  <c r="E77" i="5"/>
  <c r="E71" i="5"/>
  <c r="E88" i="5"/>
  <c r="E90" i="5"/>
  <c r="E86" i="5"/>
  <c r="D75" i="5"/>
  <c r="D88" i="5"/>
  <c r="D90" i="5"/>
  <c r="D86" i="5"/>
  <c r="C75" i="5"/>
  <c r="C77" i="5"/>
  <c r="C71" i="5"/>
  <c r="E74" i="5"/>
  <c r="D74" i="5"/>
  <c r="C74" i="5"/>
  <c r="E67" i="5"/>
  <c r="D67" i="5"/>
  <c r="C67" i="5"/>
  <c r="E53" i="5"/>
  <c r="E38" i="5"/>
  <c r="E49" i="5"/>
  <c r="E57" i="5"/>
  <c r="E62" i="5"/>
  <c r="D38" i="5"/>
  <c r="D53" i="5"/>
  <c r="C38" i="5"/>
  <c r="C49" i="5"/>
  <c r="E34" i="5"/>
  <c r="E33" i="5"/>
  <c r="D33" i="5"/>
  <c r="D34" i="5"/>
  <c r="E26" i="5"/>
  <c r="D26" i="5"/>
  <c r="C26" i="5"/>
  <c r="E13" i="5"/>
  <c r="E15" i="5"/>
  <c r="E24" i="5"/>
  <c r="E25" i="5"/>
  <c r="E27" i="5"/>
  <c r="D13" i="5"/>
  <c r="D15" i="5"/>
  <c r="C13" i="5"/>
  <c r="C25" i="5"/>
  <c r="C27" i="5"/>
  <c r="E174" i="4"/>
  <c r="F174" i="4"/>
  <c r="D171" i="4"/>
  <c r="E171" i="4"/>
  <c r="F171" i="4"/>
  <c r="C171" i="4"/>
  <c r="F170" i="4"/>
  <c r="E170" i="4"/>
  <c r="E169" i="4"/>
  <c r="F169" i="4"/>
  <c r="F168" i="4"/>
  <c r="E168" i="4"/>
  <c r="E167" i="4"/>
  <c r="F167" i="4"/>
  <c r="F166" i="4"/>
  <c r="E166" i="4"/>
  <c r="E165" i="4"/>
  <c r="F165" i="4"/>
  <c r="F164" i="4"/>
  <c r="E164" i="4"/>
  <c r="E163" i="4"/>
  <c r="F163" i="4"/>
  <c r="F162" i="4"/>
  <c r="E162" i="4"/>
  <c r="E161" i="4"/>
  <c r="F161" i="4"/>
  <c r="F160" i="4"/>
  <c r="E160" i="4"/>
  <c r="E159" i="4"/>
  <c r="F159" i="4"/>
  <c r="F158" i="4"/>
  <c r="E158" i="4"/>
  <c r="D155" i="4"/>
  <c r="E155" i="4"/>
  <c r="C155" i="4"/>
  <c r="E154" i="4"/>
  <c r="F154" i="4"/>
  <c r="E153" i="4"/>
  <c r="F153" i="4"/>
  <c r="E152" i="4"/>
  <c r="F152" i="4"/>
  <c r="E151" i="4"/>
  <c r="F151" i="4"/>
  <c r="F150" i="4"/>
  <c r="E150" i="4"/>
  <c r="E149" i="4"/>
  <c r="F149" i="4"/>
  <c r="E148" i="4"/>
  <c r="F148" i="4"/>
  <c r="F147" i="4"/>
  <c r="E147" i="4"/>
  <c r="E146" i="4"/>
  <c r="F146" i="4"/>
  <c r="E145" i="4"/>
  <c r="F145" i="4"/>
  <c r="E144" i="4"/>
  <c r="F144" i="4"/>
  <c r="E143" i="4"/>
  <c r="F143" i="4"/>
  <c r="E142" i="4"/>
  <c r="F142" i="4"/>
  <c r="F141" i="4"/>
  <c r="E141" i="4"/>
  <c r="E140" i="4"/>
  <c r="F140" i="4"/>
  <c r="E139" i="4"/>
  <c r="F139" i="4"/>
  <c r="E138" i="4"/>
  <c r="F138" i="4"/>
  <c r="E137" i="4"/>
  <c r="F137" i="4"/>
  <c r="F136" i="4"/>
  <c r="E136" i="4"/>
  <c r="F135" i="4"/>
  <c r="E135" i="4"/>
  <c r="E134" i="4"/>
  <c r="F134" i="4"/>
  <c r="E133" i="4"/>
  <c r="F133" i="4"/>
  <c r="F132" i="4"/>
  <c r="E132" i="4"/>
  <c r="F131" i="4"/>
  <c r="E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E118" i="4"/>
  <c r="C118" i="4"/>
  <c r="E117" i="4"/>
  <c r="F117" i="4"/>
  <c r="F116" i="4"/>
  <c r="E116" i="4"/>
  <c r="E115" i="4"/>
  <c r="F115" i="4"/>
  <c r="F114" i="4"/>
  <c r="E114" i="4"/>
  <c r="E113" i="4"/>
  <c r="F113" i="4"/>
  <c r="F112" i="4"/>
  <c r="E112" i="4"/>
  <c r="D109" i="4"/>
  <c r="E109" i="4"/>
  <c r="C109" i="4"/>
  <c r="E108" i="4"/>
  <c r="F108" i="4"/>
  <c r="F107" i="4"/>
  <c r="E107" i="4"/>
  <c r="E106" i="4"/>
  <c r="F106" i="4"/>
  <c r="F105" i="4"/>
  <c r="E105" i="4"/>
  <c r="E104" i="4"/>
  <c r="F104" i="4"/>
  <c r="F103" i="4"/>
  <c r="E103" i="4"/>
  <c r="E102" i="4"/>
  <c r="F102" i="4"/>
  <c r="F101" i="4"/>
  <c r="E101" i="4"/>
  <c r="E100" i="4"/>
  <c r="F100" i="4"/>
  <c r="F99" i="4"/>
  <c r="E99" i="4"/>
  <c r="E98" i="4"/>
  <c r="F98" i="4"/>
  <c r="F97" i="4"/>
  <c r="E97" i="4"/>
  <c r="E96" i="4"/>
  <c r="F96" i="4"/>
  <c r="F95" i="4"/>
  <c r="E95" i="4"/>
  <c r="E94" i="4"/>
  <c r="F94" i="4"/>
  <c r="F93" i="4"/>
  <c r="E93" i="4"/>
  <c r="E92" i="4"/>
  <c r="F92" i="4"/>
  <c r="F91" i="4"/>
  <c r="E91" i="4"/>
  <c r="F81" i="4"/>
  <c r="E81" i="4"/>
  <c r="D78" i="4"/>
  <c r="E78" i="4"/>
  <c r="F78" i="4"/>
  <c r="C78" i="4"/>
  <c r="F77" i="4"/>
  <c r="E77" i="4"/>
  <c r="E76" i="4"/>
  <c r="F76" i="4"/>
  <c r="F75" i="4"/>
  <c r="E75" i="4"/>
  <c r="E74" i="4"/>
  <c r="F74" i="4"/>
  <c r="F73" i="4"/>
  <c r="E73" i="4"/>
  <c r="E72" i="4"/>
  <c r="F72" i="4"/>
  <c r="F71" i="4"/>
  <c r="E71" i="4"/>
  <c r="E70" i="4"/>
  <c r="F70" i="4"/>
  <c r="F69" i="4"/>
  <c r="E69" i="4"/>
  <c r="E68" i="4"/>
  <c r="F68" i="4"/>
  <c r="F67" i="4"/>
  <c r="E67" i="4"/>
  <c r="E66" i="4"/>
  <c r="F66" i="4"/>
  <c r="F65" i="4"/>
  <c r="E65" i="4"/>
  <c r="E64" i="4"/>
  <c r="F64" i="4"/>
  <c r="F63" i="4"/>
  <c r="E63" i="4"/>
  <c r="E62" i="4"/>
  <c r="F62" i="4"/>
  <c r="D59" i="4"/>
  <c r="E59" i="4"/>
  <c r="F59" i="4"/>
  <c r="C59" i="4"/>
  <c r="F58" i="4"/>
  <c r="E58" i="4"/>
  <c r="E57" i="4"/>
  <c r="F57" i="4"/>
  <c r="F56" i="4"/>
  <c r="E56" i="4"/>
  <c r="E55" i="4"/>
  <c r="F55" i="4"/>
  <c r="F54" i="4"/>
  <c r="E54" i="4"/>
  <c r="E53" i="4"/>
  <c r="F53" i="4"/>
  <c r="F50" i="4"/>
  <c r="E50" i="4"/>
  <c r="E47" i="4"/>
  <c r="F47" i="4"/>
  <c r="F44" i="4"/>
  <c r="E44" i="4"/>
  <c r="D41" i="4"/>
  <c r="C41" i="4"/>
  <c r="F40" i="4"/>
  <c r="E40" i="4"/>
  <c r="E39" i="4"/>
  <c r="F39" i="4"/>
  <c r="E38" i="4"/>
  <c r="F38" i="4"/>
  <c r="D35" i="4"/>
  <c r="C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E24" i="4"/>
  <c r="C24" i="4"/>
  <c r="F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E179" i="3"/>
  <c r="C179" i="3"/>
  <c r="F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F165" i="3"/>
  <c r="E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C153" i="3"/>
  <c r="F153" i="3"/>
  <c r="F152" i="3"/>
  <c r="E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E93" i="3"/>
  <c r="C93" i="3"/>
  <c r="D92" i="3"/>
  <c r="C92" i="3"/>
  <c r="D91" i="3"/>
  <c r="E91" i="3"/>
  <c r="C91" i="3"/>
  <c r="D90" i="3"/>
  <c r="E90" i="3"/>
  <c r="C90" i="3"/>
  <c r="F90" i="3"/>
  <c r="D89" i="3"/>
  <c r="E89" i="3"/>
  <c r="F89" i="3"/>
  <c r="C89" i="3"/>
  <c r="D88" i="3"/>
  <c r="E88" i="3"/>
  <c r="C88" i="3"/>
  <c r="F88" i="3"/>
  <c r="D87" i="3"/>
  <c r="E87" i="3"/>
  <c r="C87" i="3"/>
  <c r="D86" i="3"/>
  <c r="E86" i="3"/>
  <c r="C86" i="3"/>
  <c r="F86" i="3"/>
  <c r="D85" i="3"/>
  <c r="E85" i="3"/>
  <c r="F85" i="3"/>
  <c r="C85" i="3"/>
  <c r="D84" i="3"/>
  <c r="E84" i="3"/>
  <c r="C84" i="3"/>
  <c r="F84" i="3"/>
  <c r="D81" i="3"/>
  <c r="E81" i="3"/>
  <c r="C81" i="3"/>
  <c r="F80" i="3"/>
  <c r="E80" i="3"/>
  <c r="F79" i="3"/>
  <c r="E79" i="3"/>
  <c r="E78" i="3"/>
  <c r="F78" i="3"/>
  <c r="F77" i="3"/>
  <c r="E77" i="3"/>
  <c r="E76" i="3"/>
  <c r="F76" i="3"/>
  <c r="F75" i="3"/>
  <c r="E75" i="3"/>
  <c r="E74" i="3"/>
  <c r="F74" i="3"/>
  <c r="F73" i="3"/>
  <c r="E73" i="3"/>
  <c r="E72" i="3"/>
  <c r="F72" i="3"/>
  <c r="F71" i="3"/>
  <c r="E71" i="3"/>
  <c r="E70" i="3"/>
  <c r="F70" i="3"/>
  <c r="D68" i="3"/>
  <c r="E68" i="3"/>
  <c r="F68" i="3"/>
  <c r="C68" i="3"/>
  <c r="F67" i="3"/>
  <c r="E67" i="3"/>
  <c r="E66" i="3"/>
  <c r="F66" i="3"/>
  <c r="F65" i="3"/>
  <c r="E65" i="3"/>
  <c r="E64" i="3"/>
  <c r="F64" i="3"/>
  <c r="F63" i="3"/>
  <c r="E63" i="3"/>
  <c r="E62" i="3"/>
  <c r="F62" i="3"/>
  <c r="F61" i="3"/>
  <c r="E61" i="3"/>
  <c r="E60" i="3"/>
  <c r="F60" i="3"/>
  <c r="F59" i="3"/>
  <c r="E59" i="3"/>
  <c r="E58" i="3"/>
  <c r="F58" i="3"/>
  <c r="F57" i="3"/>
  <c r="E57" i="3"/>
  <c r="D51" i="3"/>
  <c r="E51" i="3"/>
  <c r="C51" i="3"/>
  <c r="F51" i="3"/>
  <c r="D50" i="3"/>
  <c r="E50" i="3"/>
  <c r="C50" i="3"/>
  <c r="F50" i="3"/>
  <c r="D49" i="3"/>
  <c r="E49" i="3"/>
  <c r="F49" i="3"/>
  <c r="C49" i="3"/>
  <c r="D48" i="3"/>
  <c r="E48" i="3"/>
  <c r="C48" i="3"/>
  <c r="F48" i="3"/>
  <c r="D47" i="3"/>
  <c r="E47" i="3"/>
  <c r="C47" i="3"/>
  <c r="D46" i="3"/>
  <c r="E46" i="3"/>
  <c r="C46" i="3"/>
  <c r="D45" i="3"/>
  <c r="E45" i="3"/>
  <c r="F45" i="3"/>
  <c r="C45" i="3"/>
  <c r="D44" i="3"/>
  <c r="E44" i="3"/>
  <c r="C44" i="3"/>
  <c r="F44" i="3"/>
  <c r="D43" i="3"/>
  <c r="E43" i="3"/>
  <c r="C43" i="3"/>
  <c r="D42" i="3"/>
  <c r="E42" i="3"/>
  <c r="C42" i="3"/>
  <c r="F42" i="3"/>
  <c r="D41" i="3"/>
  <c r="D52" i="3"/>
  <c r="E52" i="3"/>
  <c r="F52" i="3"/>
  <c r="C41" i="3"/>
  <c r="D38" i="3"/>
  <c r="E38" i="3"/>
  <c r="C38" i="3"/>
  <c r="F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/>
  <c r="F45" i="2"/>
  <c r="E45" i="2"/>
  <c r="E44" i="2"/>
  <c r="F44" i="2"/>
  <c r="D39" i="2"/>
  <c r="C39" i="2"/>
  <c r="E39" i="2"/>
  <c r="E38" i="2"/>
  <c r="F38" i="2"/>
  <c r="F37" i="2"/>
  <c r="E37" i="2"/>
  <c r="E36" i="2"/>
  <c r="F36" i="2"/>
  <c r="D31" i="2"/>
  <c r="E31" i="2"/>
  <c r="C31" i="2"/>
  <c r="E30" i="2"/>
  <c r="F30" i="2"/>
  <c r="F29" i="2"/>
  <c r="E29" i="2"/>
  <c r="E28" i="2"/>
  <c r="F28" i="2"/>
  <c r="F27" i="2"/>
  <c r="E27" i="2"/>
  <c r="E26" i="2"/>
  <c r="F26" i="2"/>
  <c r="F25" i="2"/>
  <c r="E25" i="2"/>
  <c r="E24" i="2"/>
  <c r="F24" i="2"/>
  <c r="F23" i="2"/>
  <c r="E23" i="2"/>
  <c r="E22" i="2"/>
  <c r="F22" i="2"/>
  <c r="F18" i="2"/>
  <c r="E18" i="2"/>
  <c r="E17" i="2"/>
  <c r="F17" i="2"/>
  <c r="D16" i="2"/>
  <c r="E16" i="2"/>
  <c r="C16" i="2"/>
  <c r="F16" i="2"/>
  <c r="F15" i="2"/>
  <c r="E15" i="2"/>
  <c r="F14" i="2"/>
  <c r="E14" i="2"/>
  <c r="F13" i="2"/>
  <c r="E13" i="2"/>
  <c r="F12" i="2"/>
  <c r="E12" i="2"/>
  <c r="D73" i="1"/>
  <c r="E73" i="1"/>
  <c r="F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E61" i="1"/>
  <c r="F61" i="1"/>
  <c r="C61" i="1"/>
  <c r="C65" i="1"/>
  <c r="E60" i="1"/>
  <c r="F60" i="1"/>
  <c r="E59" i="1"/>
  <c r="F59" i="1"/>
  <c r="D56" i="1"/>
  <c r="C56" i="1"/>
  <c r="E56" i="1"/>
  <c r="F55" i="1"/>
  <c r="E55" i="1"/>
  <c r="E54" i="1"/>
  <c r="F54" i="1"/>
  <c r="F53" i="1"/>
  <c r="E53" i="1"/>
  <c r="F52" i="1"/>
  <c r="E52" i="1"/>
  <c r="F51" i="1"/>
  <c r="E51" i="1"/>
  <c r="E50" i="1"/>
  <c r="F50" i="1"/>
  <c r="A50" i="1"/>
  <c r="A51" i="1"/>
  <c r="A52" i="1"/>
  <c r="A53" i="1"/>
  <c r="A54" i="1"/>
  <c r="A55" i="1"/>
  <c r="F49" i="1"/>
  <c r="E49" i="1"/>
  <c r="F40" i="1"/>
  <c r="E40" i="1"/>
  <c r="D38" i="1"/>
  <c r="D41" i="1"/>
  <c r="C38" i="1"/>
  <c r="E37" i="1"/>
  <c r="F37" i="1"/>
  <c r="E36" i="1"/>
  <c r="F36" i="1"/>
  <c r="E33" i="1"/>
  <c r="F33" i="1"/>
  <c r="E32" i="1"/>
  <c r="F32" i="1"/>
  <c r="E31" i="1"/>
  <c r="F31" i="1"/>
  <c r="D29" i="1"/>
  <c r="C29" i="1"/>
  <c r="E29" i="1"/>
  <c r="E28" i="1"/>
  <c r="F28" i="1"/>
  <c r="F27" i="1"/>
  <c r="E27" i="1"/>
  <c r="F26" i="1"/>
  <c r="E26" i="1"/>
  <c r="E25" i="1"/>
  <c r="F25" i="1"/>
  <c r="D22" i="1"/>
  <c r="E22" i="1"/>
  <c r="C22" i="1"/>
  <c r="F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E227" i="14"/>
  <c r="F227" i="14"/>
  <c r="D111" i="14"/>
  <c r="D199" i="14"/>
  <c r="D215" i="14"/>
  <c r="D255" i="14"/>
  <c r="E255" i="14"/>
  <c r="F255" i="14"/>
  <c r="D283" i="14"/>
  <c r="D286" i="14"/>
  <c r="D205" i="14"/>
  <c r="D274" i="14"/>
  <c r="D269" i="14"/>
  <c r="E269" i="14"/>
  <c r="F269" i="14"/>
  <c r="D270" i="14"/>
  <c r="D262" i="14"/>
  <c r="D272" i="14"/>
  <c r="E157" i="5"/>
  <c r="E153" i="5"/>
  <c r="E155" i="5"/>
  <c r="E154" i="5"/>
  <c r="E156" i="5"/>
  <c r="E152" i="5"/>
  <c r="E140" i="5"/>
  <c r="E136" i="5"/>
  <c r="E139" i="5"/>
  <c r="E138" i="5"/>
  <c r="E137" i="5"/>
  <c r="E135" i="5"/>
  <c r="D139" i="5"/>
  <c r="D135" i="5"/>
  <c r="D137" i="5"/>
  <c r="D140" i="5"/>
  <c r="D136" i="5"/>
  <c r="D138" i="5"/>
  <c r="C21" i="10"/>
  <c r="F93" i="3"/>
  <c r="F115" i="6"/>
  <c r="E20" i="5"/>
  <c r="E21" i="5"/>
  <c r="C138" i="5"/>
  <c r="C137" i="5"/>
  <c r="C140" i="5"/>
  <c r="C136" i="5"/>
  <c r="C139" i="5"/>
  <c r="C135" i="5"/>
  <c r="C141" i="5"/>
  <c r="C48" i="9"/>
  <c r="D24" i="5"/>
  <c r="D17" i="5"/>
  <c r="D156" i="5"/>
  <c r="D152" i="5"/>
  <c r="D155" i="5"/>
  <c r="D154" i="5"/>
  <c r="D157" i="5"/>
  <c r="D153" i="5"/>
  <c r="C21" i="5"/>
  <c r="C155" i="5"/>
  <c r="C157" i="5"/>
  <c r="C153" i="5"/>
  <c r="C156" i="5"/>
  <c r="C152" i="5"/>
  <c r="C158" i="5"/>
  <c r="C154" i="5"/>
  <c r="D20" i="10"/>
  <c r="D21" i="10"/>
  <c r="F31" i="2"/>
  <c r="F43" i="3"/>
  <c r="F47" i="3"/>
  <c r="F81" i="3"/>
  <c r="F87" i="3"/>
  <c r="F91" i="3"/>
  <c r="F118" i="4"/>
  <c r="F155" i="4"/>
  <c r="F62" i="6"/>
  <c r="F140" i="6"/>
  <c r="E21" i="10"/>
  <c r="C91" i="14"/>
  <c r="E53" i="14"/>
  <c r="F53" i="14"/>
  <c r="D95" i="3"/>
  <c r="E95" i="3"/>
  <c r="F95" i="3"/>
  <c r="D176" i="4"/>
  <c r="C95" i="3"/>
  <c r="C83" i="4"/>
  <c r="E17" i="5"/>
  <c r="C43" i="5"/>
  <c r="D77" i="5"/>
  <c r="D71" i="5"/>
  <c r="E38" i="1"/>
  <c r="F38" i="1"/>
  <c r="C41" i="1"/>
  <c r="C43" i="1"/>
  <c r="E41" i="3"/>
  <c r="F41" i="3"/>
  <c r="E41" i="4"/>
  <c r="F41" i="4"/>
  <c r="D25" i="5"/>
  <c r="D27" i="5"/>
  <c r="C53" i="5"/>
  <c r="D57" i="5"/>
  <c r="D62" i="5"/>
  <c r="E180" i="6"/>
  <c r="E24" i="7"/>
  <c r="F24" i="7"/>
  <c r="E95" i="7"/>
  <c r="F95" i="7"/>
  <c r="E114" i="7"/>
  <c r="F114" i="7"/>
  <c r="F22" i="8"/>
  <c r="E61" i="8"/>
  <c r="D17" i="10"/>
  <c r="D28" i="10"/>
  <c r="D59" i="10"/>
  <c r="D61" i="10"/>
  <c r="D57" i="10"/>
  <c r="D80" i="10"/>
  <c r="D77" i="10"/>
  <c r="E16" i="12"/>
  <c r="F16" i="12"/>
  <c r="E75" i="12"/>
  <c r="F75" i="12"/>
  <c r="F73" i="12"/>
  <c r="C272" i="14"/>
  <c r="E262" i="14"/>
  <c r="F262" i="14"/>
  <c r="C57" i="5"/>
  <c r="C62" i="5"/>
  <c r="E47" i="7"/>
  <c r="E96" i="7"/>
  <c r="F96" i="7"/>
  <c r="F122" i="7"/>
  <c r="E73" i="8"/>
  <c r="F73" i="8"/>
  <c r="E65" i="12"/>
  <c r="F65" i="12"/>
  <c r="C33" i="11"/>
  <c r="C36" i="11"/>
  <c r="C38" i="11"/>
  <c r="C40" i="11"/>
  <c r="C31" i="11"/>
  <c r="G31" i="11"/>
  <c r="G33" i="11"/>
  <c r="G36" i="11"/>
  <c r="G38" i="11"/>
  <c r="G40" i="11"/>
  <c r="E36" i="11"/>
  <c r="E38" i="11"/>
  <c r="E40" i="11"/>
  <c r="E44" i="14"/>
  <c r="F44" i="14"/>
  <c r="C48" i="14"/>
  <c r="F47" i="14"/>
  <c r="G17" i="11"/>
  <c r="E60" i="12"/>
  <c r="F60" i="12"/>
  <c r="F58" i="12"/>
  <c r="E24" i="14"/>
  <c r="F24" i="14"/>
  <c r="C37" i="14"/>
  <c r="F35" i="14"/>
  <c r="E102" i="14"/>
  <c r="F102" i="14"/>
  <c r="C103" i="14"/>
  <c r="D145" i="15"/>
  <c r="D168" i="15"/>
  <c r="D180" i="15"/>
  <c r="C52" i="3"/>
  <c r="C176" i="4"/>
  <c r="E179" i="6"/>
  <c r="E23" i="7"/>
  <c r="F23" i="7"/>
  <c r="E72" i="7"/>
  <c r="E113" i="7"/>
  <c r="F113" i="7"/>
  <c r="E29" i="8"/>
  <c r="F29" i="8"/>
  <c r="E38" i="8"/>
  <c r="F38" i="8"/>
  <c r="E56" i="8"/>
  <c r="F56" i="8"/>
  <c r="F61" i="8"/>
  <c r="C15" i="10"/>
  <c r="D50" i="10"/>
  <c r="F17" i="11"/>
  <c r="F33" i="11"/>
  <c r="F36" i="11"/>
  <c r="F38" i="11"/>
  <c r="F40" i="11"/>
  <c r="E23" i="12"/>
  <c r="F23" i="12"/>
  <c r="E37" i="12"/>
  <c r="E50" i="12"/>
  <c r="F50" i="12"/>
  <c r="E70" i="12"/>
  <c r="F70" i="12"/>
  <c r="E92" i="12"/>
  <c r="F92" i="12"/>
  <c r="F29" i="14"/>
  <c r="E58" i="14"/>
  <c r="F58" i="14"/>
  <c r="F130" i="14"/>
  <c r="C181" i="14"/>
  <c r="C264" i="14"/>
  <c r="E191" i="14"/>
  <c r="D289" i="15"/>
  <c r="E289" i="15"/>
  <c r="E60" i="15"/>
  <c r="D242" i="15"/>
  <c r="E242" i="15"/>
  <c r="E218" i="15"/>
  <c r="D217" i="15"/>
  <c r="D41" i="17"/>
  <c r="D90" i="14"/>
  <c r="D160" i="14"/>
  <c r="D104" i="14"/>
  <c r="D174" i="14"/>
  <c r="D254" i="14"/>
  <c r="D216" i="14"/>
  <c r="D43" i="8"/>
  <c r="D65" i="8"/>
  <c r="E65" i="8"/>
  <c r="F65" i="8"/>
  <c r="D19" i="9"/>
  <c r="E67" i="14"/>
  <c r="F67" i="14"/>
  <c r="E89" i="14"/>
  <c r="F89" i="14"/>
  <c r="E100" i="14"/>
  <c r="F100" i="14"/>
  <c r="E110" i="14"/>
  <c r="F110" i="14"/>
  <c r="E123" i="14"/>
  <c r="F123" i="14"/>
  <c r="E130" i="14"/>
  <c r="F135" i="14"/>
  <c r="E170" i="14"/>
  <c r="F170" i="14"/>
  <c r="F180" i="14"/>
  <c r="E189" i="14"/>
  <c r="C193" i="14"/>
  <c r="D33" i="15"/>
  <c r="E38" i="15"/>
  <c r="E41" i="15"/>
  <c r="D71" i="15"/>
  <c r="E71" i="15"/>
  <c r="E74" i="15"/>
  <c r="D84" i="15"/>
  <c r="E161" i="15"/>
  <c r="E165" i="15"/>
  <c r="E195" i="15"/>
  <c r="E221" i="15"/>
  <c r="C253" i="15"/>
  <c r="E265" i="15"/>
  <c r="E280" i="15"/>
  <c r="E316" i="15"/>
  <c r="C49" i="16"/>
  <c r="C278" i="14"/>
  <c r="C215" i="14"/>
  <c r="C283" i="14"/>
  <c r="C287" i="14"/>
  <c r="C205" i="14"/>
  <c r="E294" i="14"/>
  <c r="F294" i="14"/>
  <c r="E298" i="14"/>
  <c r="F298" i="14"/>
  <c r="D22" i="15"/>
  <c r="D283" i="15"/>
  <c r="E283" i="15"/>
  <c r="D100" i="15"/>
  <c r="D96" i="15"/>
  <c r="D89" i="15"/>
  <c r="D85" i="15"/>
  <c r="D101" i="15"/>
  <c r="D97" i="15"/>
  <c r="D86" i="15"/>
  <c r="C71" i="15"/>
  <c r="C65" i="15"/>
  <c r="C66" i="15"/>
  <c r="E70" i="15"/>
  <c r="D163" i="15"/>
  <c r="D175" i="15"/>
  <c r="E175" i="15"/>
  <c r="E139" i="15"/>
  <c r="D235" i="15"/>
  <c r="E251" i="15"/>
  <c r="C37" i="16"/>
  <c r="C38" i="16"/>
  <c r="C127" i="16"/>
  <c r="C129" i="16"/>
  <c r="C133" i="16"/>
  <c r="C22" i="16"/>
  <c r="E109" i="19"/>
  <c r="E108" i="19"/>
  <c r="D175" i="14"/>
  <c r="D62" i="14"/>
  <c r="D105" i="14"/>
  <c r="E101" i="14"/>
  <c r="F101" i="14"/>
  <c r="F145" i="14"/>
  <c r="F158" i="14"/>
  <c r="C199" i="14"/>
  <c r="C267" i="14"/>
  <c r="E32" i="15"/>
  <c r="D55" i="15"/>
  <c r="E55" i="15"/>
  <c r="D83" i="15"/>
  <c r="E151" i="15"/>
  <c r="E232" i="15"/>
  <c r="E262" i="15"/>
  <c r="C294" i="15"/>
  <c r="E311" i="14"/>
  <c r="F311" i="14"/>
  <c r="C144" i="15"/>
  <c r="E144" i="15"/>
  <c r="C163" i="15"/>
  <c r="D261" i="15"/>
  <c r="E188" i="15"/>
  <c r="D109" i="19"/>
  <c r="D108" i="19"/>
  <c r="D207" i="14"/>
  <c r="D138" i="14"/>
  <c r="D300" i="14"/>
  <c r="C68" i="14"/>
  <c r="C111" i="14"/>
  <c r="C124" i="14"/>
  <c r="F165" i="14"/>
  <c r="C192" i="14"/>
  <c r="C206" i="14"/>
  <c r="F223" i="14"/>
  <c r="F238" i="14"/>
  <c r="C255" i="14"/>
  <c r="C295" i="15"/>
  <c r="C76" i="15"/>
  <c r="C77" i="15"/>
  <c r="D88" i="15"/>
  <c r="D99" i="15"/>
  <c r="C217" i="15"/>
  <c r="C241" i="15"/>
  <c r="E241" i="15"/>
  <c r="D222" i="15"/>
  <c r="D234" i="15"/>
  <c r="C65" i="16"/>
  <c r="C114" i="16"/>
  <c r="C116" i="16"/>
  <c r="C119" i="16"/>
  <c r="C123" i="16"/>
  <c r="C214" i="14"/>
  <c r="C190" i="14"/>
  <c r="C261" i="14"/>
  <c r="C254" i="14"/>
  <c r="C239" i="14"/>
  <c r="E237" i="14"/>
  <c r="F237" i="14"/>
  <c r="D253" i="15"/>
  <c r="E253" i="15"/>
  <c r="E233" i="15"/>
  <c r="E20" i="14"/>
  <c r="F20" i="14"/>
  <c r="C146" i="14"/>
  <c r="C159" i="14"/>
  <c r="F164" i="14"/>
  <c r="E179" i="14"/>
  <c r="F179" i="14"/>
  <c r="F189" i="14"/>
  <c r="F191" i="14"/>
  <c r="C200" i="14"/>
  <c r="F203" i="14"/>
  <c r="C280" i="14"/>
  <c r="E295" i="14"/>
  <c r="F295" i="14"/>
  <c r="E299" i="14"/>
  <c r="F299" i="14"/>
  <c r="C43" i="15"/>
  <c r="E43" i="15"/>
  <c r="D65" i="15"/>
  <c r="E69" i="15"/>
  <c r="D87" i="15"/>
  <c r="D98" i="15"/>
  <c r="E156" i="15"/>
  <c r="C222" i="15"/>
  <c r="C223" i="15"/>
  <c r="C246" i="15"/>
  <c r="E228" i="15"/>
  <c r="E244" i="15"/>
  <c r="D258" i="15"/>
  <c r="C261" i="15"/>
  <c r="E40" i="17"/>
  <c r="F40" i="17"/>
  <c r="D288" i="14"/>
  <c r="D302" i="15"/>
  <c r="E25" i="17"/>
  <c r="F25" i="17"/>
  <c r="C39" i="17"/>
  <c r="E22" i="19"/>
  <c r="C33" i="19"/>
  <c r="C53" i="19"/>
  <c r="C101" i="19"/>
  <c r="C103" i="19"/>
  <c r="D102" i="19"/>
  <c r="D103" i="19"/>
  <c r="C109" i="19"/>
  <c r="D193" i="14"/>
  <c r="D277" i="14"/>
  <c r="D306" i="14"/>
  <c r="E306" i="14"/>
  <c r="E23" i="19"/>
  <c r="C110" i="19"/>
  <c r="D124" i="14"/>
  <c r="D200" i="14"/>
  <c r="E200" i="14"/>
  <c r="F200" i="14"/>
  <c r="D206" i="14"/>
  <c r="E206" i="14"/>
  <c r="F206" i="14"/>
  <c r="D280" i="14"/>
  <c r="C29" i="19"/>
  <c r="E33" i="19"/>
  <c r="C35" i="19"/>
  <c r="C39" i="19"/>
  <c r="E101" i="19"/>
  <c r="E103" i="19"/>
  <c r="D261" i="14"/>
  <c r="D268" i="14"/>
  <c r="E268" i="14"/>
  <c r="F268" i="14"/>
  <c r="D21" i="14"/>
  <c r="D190" i="14"/>
  <c r="E190" i="14"/>
  <c r="F190" i="14"/>
  <c r="E261" i="14"/>
  <c r="D263" i="14"/>
  <c r="D66" i="15"/>
  <c r="E66" i="15"/>
  <c r="E65" i="15"/>
  <c r="D126" i="14"/>
  <c r="D91" i="14"/>
  <c r="D49" i="14"/>
  <c r="D161" i="14"/>
  <c r="E21" i="14"/>
  <c r="F21" i="14"/>
  <c r="C216" i="14"/>
  <c r="E216" i="14"/>
  <c r="F216" i="14"/>
  <c r="E214" i="14"/>
  <c r="F214" i="14"/>
  <c r="E280" i="14"/>
  <c r="C41" i="17"/>
  <c r="E159" i="14"/>
  <c r="F159" i="14"/>
  <c r="E192" i="14"/>
  <c r="F192" i="14"/>
  <c r="E68" i="14"/>
  <c r="F68" i="14"/>
  <c r="D208" i="14"/>
  <c r="D106" i="14"/>
  <c r="D176" i="14"/>
  <c r="E283" i="14"/>
  <c r="F283" i="14"/>
  <c r="C284" i="14"/>
  <c r="D90" i="15"/>
  <c r="E19" i="9"/>
  <c r="F19" i="9"/>
  <c r="D33" i="9"/>
  <c r="E217" i="15"/>
  <c r="D241" i="15"/>
  <c r="E124" i="14"/>
  <c r="E261" i="15"/>
  <c r="D294" i="15"/>
  <c r="E294" i="15"/>
  <c r="C161" i="14"/>
  <c r="C112" i="19"/>
  <c r="C55" i="19"/>
  <c r="C47" i="19"/>
  <c r="C37" i="19"/>
  <c r="D194" i="14"/>
  <c r="E193" i="14"/>
  <c r="C268" i="14"/>
  <c r="C263" i="14"/>
  <c r="C271" i="14"/>
  <c r="F261" i="14"/>
  <c r="D246" i="15"/>
  <c r="E246" i="15"/>
  <c r="E222" i="15"/>
  <c r="D223" i="15"/>
  <c r="E111" i="14"/>
  <c r="F111" i="14"/>
  <c r="D91" i="15"/>
  <c r="E199" i="14"/>
  <c r="F199" i="14"/>
  <c r="D102" i="15"/>
  <c r="E205" i="14"/>
  <c r="F205" i="14"/>
  <c r="C194" i="14"/>
  <c r="F193" i="14"/>
  <c r="E181" i="14"/>
  <c r="F181" i="14"/>
  <c r="C24" i="10"/>
  <c r="C20" i="10"/>
  <c r="C17" i="10"/>
  <c r="C28" i="10"/>
  <c r="D20" i="5"/>
  <c r="D21" i="5"/>
  <c r="D28" i="5"/>
  <c r="D99" i="5"/>
  <c r="D101" i="5"/>
  <c r="D98" i="5"/>
  <c r="D112" i="5"/>
  <c r="D111" i="5"/>
  <c r="D282" i="14"/>
  <c r="D281" i="14"/>
  <c r="D140" i="14"/>
  <c r="C282" i="14"/>
  <c r="C304" i="14"/>
  <c r="D141" i="5"/>
  <c r="E158" i="5"/>
  <c r="E302" i="15"/>
  <c r="D303" i="15"/>
  <c r="C270" i="14"/>
  <c r="E267" i="14"/>
  <c r="F267" i="14"/>
  <c r="D284" i="15"/>
  <c r="E278" i="14"/>
  <c r="F278" i="14"/>
  <c r="D295" i="15"/>
  <c r="E295" i="15"/>
  <c r="E33" i="15"/>
  <c r="E103" i="14"/>
  <c r="F103" i="14"/>
  <c r="E37" i="14"/>
  <c r="F37" i="14"/>
  <c r="C160" i="14"/>
  <c r="E160" i="14"/>
  <c r="F160" i="14"/>
  <c r="C195" i="14"/>
  <c r="C125" i="14"/>
  <c r="C90" i="14"/>
  <c r="E48" i="14"/>
  <c r="F48" i="14"/>
  <c r="E272" i="14"/>
  <c r="F272" i="14"/>
  <c r="E112" i="5"/>
  <c r="E111" i="5"/>
  <c r="E28" i="5"/>
  <c r="C92" i="14"/>
  <c r="F124" i="14"/>
  <c r="D125" i="14"/>
  <c r="E125" i="14"/>
  <c r="E39" i="17"/>
  <c r="E41" i="17"/>
  <c r="C279" i="14"/>
  <c r="C126" i="14"/>
  <c r="E54" i="19"/>
  <c r="E46" i="19"/>
  <c r="E40" i="19"/>
  <c r="E36" i="19"/>
  <c r="E30" i="19"/>
  <c r="E111" i="19"/>
  <c r="E110" i="19"/>
  <c r="E53" i="19"/>
  <c r="E45" i="19"/>
  <c r="E39" i="19"/>
  <c r="E35" i="19"/>
  <c r="E29" i="19"/>
  <c r="D287" i="14"/>
  <c r="D279" i="14"/>
  <c r="E279" i="14"/>
  <c r="F279" i="14"/>
  <c r="D284" i="14"/>
  <c r="E284" i="14"/>
  <c r="F284" i="14"/>
  <c r="E277" i="14"/>
  <c r="F277" i="14"/>
  <c r="C145" i="15"/>
  <c r="C168" i="15"/>
  <c r="E168" i="15"/>
  <c r="D63" i="14"/>
  <c r="F280" i="14"/>
  <c r="E146" i="14"/>
  <c r="F146" i="14"/>
  <c r="E239" i="14"/>
  <c r="F239" i="14"/>
  <c r="E215" i="14"/>
  <c r="F215" i="14"/>
  <c r="E254" i="14"/>
  <c r="F254" i="14"/>
  <c r="E264" i="14"/>
  <c r="F264" i="14"/>
  <c r="D181" i="15"/>
  <c r="D169" i="15"/>
  <c r="D266" i="14"/>
  <c r="C259" i="15"/>
  <c r="C263" i="15"/>
  <c r="C264" i="15"/>
  <c r="C266" i="15"/>
  <c r="C267" i="15"/>
  <c r="C44" i="15"/>
  <c r="E163" i="15"/>
  <c r="D75" i="8"/>
  <c r="E75" i="8"/>
  <c r="F75" i="8"/>
  <c r="D139" i="14"/>
  <c r="C266" i="14"/>
  <c r="E176" i="4"/>
  <c r="F176" i="4"/>
  <c r="C49" i="14"/>
  <c r="E49" i="14"/>
  <c r="F49" i="14"/>
  <c r="D158" i="5"/>
  <c r="E141" i="5"/>
  <c r="C127" i="14"/>
  <c r="D141" i="14"/>
  <c r="D103" i="15"/>
  <c r="D247" i="15"/>
  <c r="C273" i="14"/>
  <c r="E194" i="14"/>
  <c r="D195" i="14"/>
  <c r="E195" i="14"/>
  <c r="F195" i="14"/>
  <c r="D50" i="14"/>
  <c r="F125" i="14"/>
  <c r="E263" i="14"/>
  <c r="C169" i="15"/>
  <c r="E169" i="15"/>
  <c r="E47" i="19"/>
  <c r="E37" i="19"/>
  <c r="E112" i="19"/>
  <c r="E55" i="19"/>
  <c r="E99" i="5"/>
  <c r="E101" i="5"/>
  <c r="E98" i="5"/>
  <c r="E22" i="5"/>
  <c r="E270" i="14"/>
  <c r="F270" i="14"/>
  <c r="E303" i="15"/>
  <c r="D306" i="15"/>
  <c r="C162" i="14"/>
  <c r="E282" i="14"/>
  <c r="D22" i="5"/>
  <c r="D196" i="14"/>
  <c r="D210" i="14"/>
  <c r="D209" i="14"/>
  <c r="D162" i="14"/>
  <c r="E161" i="14"/>
  <c r="F161" i="14"/>
  <c r="D127" i="14"/>
  <c r="E126" i="14"/>
  <c r="F126" i="14"/>
  <c r="F282" i="14"/>
  <c r="F39" i="17"/>
  <c r="C50" i="14"/>
  <c r="E266" i="14"/>
  <c r="F266" i="14"/>
  <c r="D265" i="14"/>
  <c r="C99" i="15"/>
  <c r="E99" i="15"/>
  <c r="C95" i="15"/>
  <c r="C88" i="15"/>
  <c r="E88" i="15"/>
  <c r="C84" i="15"/>
  <c r="C100" i="15"/>
  <c r="E100" i="15"/>
  <c r="C96" i="15"/>
  <c r="C89" i="15"/>
  <c r="E89" i="15"/>
  <c r="C85" i="15"/>
  <c r="E85" i="15"/>
  <c r="C101" i="15"/>
  <c r="E101" i="15"/>
  <c r="C83" i="15"/>
  <c r="C97" i="15"/>
  <c r="E97" i="15"/>
  <c r="C86" i="15"/>
  <c r="E86" i="15"/>
  <c r="C258" i="15"/>
  <c r="C98" i="15"/>
  <c r="E98" i="15"/>
  <c r="C87" i="15"/>
  <c r="E87" i="15"/>
  <c r="E44" i="15"/>
  <c r="D291" i="14"/>
  <c r="D289" i="14"/>
  <c r="E48" i="19"/>
  <c r="E38" i="19"/>
  <c r="E113" i="19"/>
  <c r="E56" i="19"/>
  <c r="F194" i="14"/>
  <c r="C196" i="14"/>
  <c r="E196" i="14"/>
  <c r="F196" i="14"/>
  <c r="D41" i="9"/>
  <c r="E33" i="9"/>
  <c r="F33" i="9"/>
  <c r="D92" i="14"/>
  <c r="E91" i="14"/>
  <c r="F91" i="14"/>
  <c r="C265" i="14"/>
  <c r="E145" i="15"/>
  <c r="E90" i="14"/>
  <c r="F90" i="14"/>
  <c r="C281" i="14"/>
  <c r="E281" i="14"/>
  <c r="F263" i="14"/>
  <c r="F41" i="17"/>
  <c r="E83" i="15"/>
  <c r="C102" i="15"/>
  <c r="E102" i="15"/>
  <c r="E96" i="15"/>
  <c r="E95" i="15"/>
  <c r="E41" i="9"/>
  <c r="F41" i="9"/>
  <c r="D48" i="9"/>
  <c r="E48" i="9"/>
  <c r="F48" i="9"/>
  <c r="D148" i="14"/>
  <c r="E127" i="14"/>
  <c r="D211" i="14"/>
  <c r="D105" i="15"/>
  <c r="C90" i="15"/>
  <c r="E90" i="15"/>
  <c r="E84" i="15"/>
  <c r="D197" i="14"/>
  <c r="E197" i="14"/>
  <c r="F197" i="14"/>
  <c r="E306" i="15"/>
  <c r="D310" i="15"/>
  <c r="E310" i="15"/>
  <c r="C197" i="14"/>
  <c r="F127" i="14"/>
  <c r="E265" i="14"/>
  <c r="D324" i="14"/>
  <c r="D113" i="14"/>
  <c r="E92" i="14"/>
  <c r="F92" i="14"/>
  <c r="E258" i="15"/>
  <c r="D183" i="14"/>
  <c r="D323" i="14"/>
  <c r="E162" i="14"/>
  <c r="F162" i="14"/>
  <c r="D70" i="14"/>
  <c r="E50" i="14"/>
  <c r="F50" i="14"/>
  <c r="D322" i="14"/>
  <c r="F281" i="14"/>
  <c r="F265" i="14"/>
  <c r="C103" i="15"/>
  <c r="E103" i="15"/>
  <c r="C91" i="15"/>
  <c r="C105" i="15"/>
  <c r="E105" i="15"/>
  <c r="C268" i="15"/>
  <c r="C269" i="15"/>
  <c r="C70" i="10"/>
  <c r="C72" i="10"/>
  <c r="C69" i="10"/>
  <c r="C22" i="10"/>
  <c r="E287" i="14"/>
  <c r="F287" i="14"/>
  <c r="D70" i="10"/>
  <c r="D72" i="10"/>
  <c r="D69" i="10"/>
  <c r="D22" i="10"/>
  <c r="F46" i="3"/>
  <c r="C247" i="15"/>
  <c r="E247" i="15"/>
  <c r="E223" i="15"/>
  <c r="C122" i="15"/>
  <c r="C111" i="15"/>
  <c r="C123" i="15"/>
  <c r="C124" i="15"/>
  <c r="C125" i="15"/>
  <c r="C109" i="15"/>
  <c r="C110" i="15"/>
  <c r="C126" i="15"/>
  <c r="C115" i="15"/>
  <c r="C127" i="15"/>
  <c r="C112" i="15"/>
  <c r="C113" i="15"/>
  <c r="C114" i="15"/>
  <c r="C121" i="15"/>
  <c r="D43" i="1"/>
  <c r="E43" i="1"/>
  <c r="F43" i="1"/>
  <c r="E41" i="1"/>
  <c r="F41" i="1"/>
  <c r="F29" i="1"/>
  <c r="C75" i="1"/>
  <c r="F56" i="1"/>
  <c r="D65" i="1"/>
  <c r="C19" i="2"/>
  <c r="D19" i="2"/>
  <c r="F39" i="2"/>
  <c r="F46" i="2"/>
  <c r="F25" i="3"/>
  <c r="E92" i="3"/>
  <c r="F36" i="6"/>
  <c r="F37" i="6"/>
  <c r="E91" i="15"/>
  <c r="D325" i="14"/>
  <c r="D305" i="14"/>
  <c r="D271" i="14"/>
  <c r="D76" i="15"/>
  <c r="F92" i="3"/>
  <c r="E111" i="3"/>
  <c r="F111" i="3"/>
  <c r="F109" i="4"/>
  <c r="F75" i="6"/>
  <c r="E137" i="3"/>
  <c r="F137" i="3"/>
  <c r="E166" i="3"/>
  <c r="F166" i="3"/>
  <c r="E18" i="4"/>
  <c r="F18" i="4"/>
  <c r="E30" i="4"/>
  <c r="F30" i="4"/>
  <c r="E35" i="4"/>
  <c r="F35" i="4"/>
  <c r="D43" i="5"/>
  <c r="D49" i="5"/>
  <c r="E75" i="6"/>
  <c r="E76" i="6"/>
  <c r="F76" i="6"/>
  <c r="E101" i="6"/>
  <c r="F101" i="6"/>
  <c r="E121" i="7"/>
  <c r="F121" i="7"/>
  <c r="D83" i="4"/>
  <c r="E83" i="4"/>
  <c r="F83" i="4"/>
  <c r="C15" i="5"/>
  <c r="E43" i="5"/>
  <c r="F102" i="6"/>
  <c r="E102" i="6"/>
  <c r="E114" i="6"/>
  <c r="F114" i="6"/>
  <c r="E127" i="6"/>
  <c r="F127" i="6"/>
  <c r="E128" i="6"/>
  <c r="F128" i="6"/>
  <c r="E198" i="6"/>
  <c r="F198" i="6"/>
  <c r="E199" i="6"/>
  <c r="F199" i="6"/>
  <c r="E200" i="6"/>
  <c r="F200" i="6"/>
  <c r="E201" i="6"/>
  <c r="F201" i="6"/>
  <c r="E202" i="6"/>
  <c r="F202" i="6"/>
  <c r="E203" i="6"/>
  <c r="F203" i="6"/>
  <c r="E204" i="6"/>
  <c r="F204" i="6"/>
  <c r="E205" i="6"/>
  <c r="F205" i="6"/>
  <c r="E206" i="6"/>
  <c r="F206" i="6"/>
  <c r="E59" i="7"/>
  <c r="F59" i="7"/>
  <c r="C61" i="14"/>
  <c r="F60" i="14"/>
  <c r="E60" i="14"/>
  <c r="C207" i="6"/>
  <c r="C208" i="6"/>
  <c r="E208" i="6"/>
  <c r="E112" i="7"/>
  <c r="F112" i="7"/>
  <c r="E115" i="7"/>
  <c r="F115" i="7"/>
  <c r="C43" i="8"/>
  <c r="E41" i="8"/>
  <c r="F41" i="8"/>
  <c r="F30" i="12"/>
  <c r="F31" i="9"/>
  <c r="F39" i="9"/>
  <c r="F46" i="9"/>
  <c r="E15" i="10"/>
  <c r="D31" i="11"/>
  <c r="F31" i="11"/>
  <c r="F30" i="14"/>
  <c r="C31" i="14"/>
  <c r="E85" i="14"/>
  <c r="F85" i="14"/>
  <c r="F136" i="14"/>
  <c r="C137" i="14"/>
  <c r="E144" i="14"/>
  <c r="F144" i="14"/>
  <c r="F171" i="14"/>
  <c r="C172" i="14"/>
  <c r="E188" i="14"/>
  <c r="F188" i="14"/>
  <c r="C290" i="14"/>
  <c r="F198" i="14"/>
  <c r="E204" i="14"/>
  <c r="F204" i="14"/>
  <c r="E250" i="14"/>
  <c r="F250" i="14"/>
  <c r="C274" i="14"/>
  <c r="C285" i="14"/>
  <c r="E157" i="15"/>
  <c r="E260" i="15"/>
  <c r="E245" i="15"/>
  <c r="F44" i="17"/>
  <c r="F45" i="17"/>
  <c r="C48" i="10"/>
  <c r="C42" i="10"/>
  <c r="E59" i="14"/>
  <c r="F59" i="14"/>
  <c r="F296" i="14"/>
  <c r="E297" i="14"/>
  <c r="F297" i="14"/>
  <c r="F19" i="17"/>
  <c r="C22" i="15"/>
  <c r="C210" i="15"/>
  <c r="E216" i="15"/>
  <c r="D243" i="15"/>
  <c r="C229" i="15"/>
  <c r="E229" i="15"/>
  <c r="C252" i="15"/>
  <c r="C254" i="15"/>
  <c r="C239" i="15"/>
  <c r="E239" i="15"/>
  <c r="D326" i="15"/>
  <c r="E19" i="17"/>
  <c r="E43" i="17"/>
  <c r="C34" i="19"/>
  <c r="E220" i="15"/>
  <c r="C20" i="17"/>
  <c r="E36" i="17"/>
  <c r="F36" i="17"/>
  <c r="C23" i="19"/>
  <c r="D33" i="19"/>
  <c r="D22" i="19"/>
  <c r="D23" i="19"/>
  <c r="E46" i="17"/>
  <c r="F46" i="17"/>
  <c r="F43" i="17"/>
  <c r="D330" i="15"/>
  <c r="E330" i="15"/>
  <c r="E326" i="15"/>
  <c r="E243" i="15"/>
  <c r="D252" i="15"/>
  <c r="F285" i="14"/>
  <c r="E285" i="14"/>
  <c r="C286" i="14"/>
  <c r="C288" i="14"/>
  <c r="C207" i="14"/>
  <c r="C138" i="14"/>
  <c r="E137" i="14"/>
  <c r="F137" i="14"/>
  <c r="C32" i="14"/>
  <c r="E31" i="14"/>
  <c r="F31" i="14"/>
  <c r="C24" i="5"/>
  <c r="C20" i="5"/>
  <c r="C17" i="5"/>
  <c r="D304" i="14"/>
  <c r="D273" i="14"/>
  <c r="E273" i="14"/>
  <c r="F273" i="14"/>
  <c r="E271" i="14"/>
  <c r="F271" i="14"/>
  <c r="C33" i="2"/>
  <c r="C116" i="15"/>
  <c r="C128" i="15"/>
  <c r="E43" i="8"/>
  <c r="F43" i="8"/>
  <c r="D46" i="19"/>
  <c r="D36" i="19"/>
  <c r="D40" i="19"/>
  <c r="D54" i="19"/>
  <c r="D111" i="19"/>
  <c r="D30" i="19"/>
  <c r="C211" i="15"/>
  <c r="C234" i="15"/>
  <c r="E234" i="15"/>
  <c r="C180" i="15"/>
  <c r="E180" i="15"/>
  <c r="E210" i="15"/>
  <c r="D53" i="19"/>
  <c r="D29" i="19"/>
  <c r="D39" i="19"/>
  <c r="D110" i="19"/>
  <c r="D35" i="19"/>
  <c r="D45" i="19"/>
  <c r="C40" i="19"/>
  <c r="C30" i="19"/>
  <c r="C54" i="19"/>
  <c r="C46" i="19"/>
  <c r="C36" i="19"/>
  <c r="C111" i="19"/>
  <c r="E20" i="17"/>
  <c r="F20" i="17"/>
  <c r="C284" i="15"/>
  <c r="E284" i="15"/>
  <c r="E22" i="15"/>
  <c r="F274" i="14"/>
  <c r="E274" i="14"/>
  <c r="C300" i="14"/>
  <c r="E290" i="14"/>
  <c r="F290" i="14"/>
  <c r="C173" i="14"/>
  <c r="F172" i="14"/>
  <c r="E172" i="14"/>
  <c r="E24" i="10"/>
  <c r="E20" i="10"/>
  <c r="E17" i="10"/>
  <c r="E28" i="10"/>
  <c r="F208" i="6"/>
  <c r="C139" i="14"/>
  <c r="F61" i="14"/>
  <c r="C174" i="14"/>
  <c r="E61" i="14"/>
  <c r="C104" i="14"/>
  <c r="E207" i="6"/>
  <c r="F207" i="6"/>
  <c r="E76" i="15"/>
  <c r="D77" i="15"/>
  <c r="D259" i="15"/>
  <c r="D309" i="14"/>
  <c r="E19" i="2"/>
  <c r="F19" i="2"/>
  <c r="D33" i="2"/>
  <c r="E65" i="1"/>
  <c r="F65" i="1"/>
  <c r="D75" i="1"/>
  <c r="E75" i="1"/>
  <c r="F75" i="1"/>
  <c r="C129" i="15"/>
  <c r="C117" i="15"/>
  <c r="C271" i="15"/>
  <c r="C131" i="15"/>
  <c r="D127" i="15"/>
  <c r="E127" i="15"/>
  <c r="D123" i="15"/>
  <c r="E123" i="15"/>
  <c r="D112" i="15"/>
  <c r="E112" i="15"/>
  <c r="D124" i="15"/>
  <c r="E124" i="15"/>
  <c r="D113" i="15"/>
  <c r="E113" i="15"/>
  <c r="D109" i="15"/>
  <c r="D110" i="15"/>
  <c r="D111" i="15"/>
  <c r="E111" i="15"/>
  <c r="D125" i="15"/>
  <c r="E125" i="15"/>
  <c r="D114" i="15"/>
  <c r="E114" i="15"/>
  <c r="D126" i="15"/>
  <c r="E126" i="15"/>
  <c r="D115" i="15"/>
  <c r="E115" i="15"/>
  <c r="E77" i="15"/>
  <c r="D121" i="15"/>
  <c r="D122" i="15"/>
  <c r="E139" i="14"/>
  <c r="F139" i="14"/>
  <c r="E70" i="10"/>
  <c r="E72" i="10"/>
  <c r="E69" i="10"/>
  <c r="E22" i="10"/>
  <c r="E173" i="14"/>
  <c r="F173" i="14"/>
  <c r="C48" i="19"/>
  <c r="C113" i="19"/>
  <c r="C56" i="19"/>
  <c r="C38" i="19"/>
  <c r="D37" i="19"/>
  <c r="D55" i="19"/>
  <c r="D47" i="19"/>
  <c r="D112" i="19"/>
  <c r="D56" i="19"/>
  <c r="D38" i="19"/>
  <c r="D113" i="19"/>
  <c r="D48" i="19"/>
  <c r="E304" i="14"/>
  <c r="F304" i="14"/>
  <c r="D310" i="14"/>
  <c r="F138" i="14"/>
  <c r="E138" i="14"/>
  <c r="E288" i="14"/>
  <c r="F288" i="14"/>
  <c r="C289" i="14"/>
  <c r="C291" i="14"/>
  <c r="D254" i="15"/>
  <c r="E254" i="15"/>
  <c r="E252" i="15"/>
  <c r="D41" i="2"/>
  <c r="E33" i="2"/>
  <c r="E259" i="15"/>
  <c r="D263" i="15"/>
  <c r="F104" i="14"/>
  <c r="E104" i="14"/>
  <c r="F174" i="14"/>
  <c r="E174" i="14"/>
  <c r="F300" i="14"/>
  <c r="E300" i="14"/>
  <c r="C235" i="15"/>
  <c r="E235" i="15"/>
  <c r="C181" i="15"/>
  <c r="E181" i="15"/>
  <c r="E211" i="15"/>
  <c r="C41" i="2"/>
  <c r="F33" i="2"/>
  <c r="C112" i="5"/>
  <c r="C111" i="5"/>
  <c r="C28" i="5"/>
  <c r="C140" i="14"/>
  <c r="F32" i="14"/>
  <c r="C175" i="14"/>
  <c r="E32" i="14"/>
  <c r="C62" i="14"/>
  <c r="C105" i="14"/>
  <c r="C208" i="14"/>
  <c r="E207" i="14"/>
  <c r="F207" i="14"/>
  <c r="E286" i="14"/>
  <c r="F286" i="14"/>
  <c r="F208" i="14"/>
  <c r="E208" i="14"/>
  <c r="C209" i="14"/>
  <c r="E105" i="14"/>
  <c r="C106" i="14"/>
  <c r="F105" i="14"/>
  <c r="C210" i="14"/>
  <c r="C141" i="14"/>
  <c r="F140" i="14"/>
  <c r="E140" i="14"/>
  <c r="C48" i="2"/>
  <c r="E263" i="15"/>
  <c r="D264" i="15"/>
  <c r="C305" i="14"/>
  <c r="E291" i="14"/>
  <c r="F291" i="14"/>
  <c r="E121" i="15"/>
  <c r="E109" i="15"/>
  <c r="C63" i="14"/>
  <c r="E62" i="14"/>
  <c r="F62" i="14"/>
  <c r="F175" i="14"/>
  <c r="E175" i="14"/>
  <c r="C176" i="14"/>
  <c r="C22" i="5"/>
  <c r="C99" i="5"/>
  <c r="C101" i="5"/>
  <c r="C98" i="5"/>
  <c r="D48" i="2"/>
  <c r="E48" i="2"/>
  <c r="E41" i="2"/>
  <c r="F41" i="2"/>
  <c r="E289" i="14"/>
  <c r="F289" i="14"/>
  <c r="D312" i="14"/>
  <c r="D128" i="15"/>
  <c r="E128" i="15"/>
  <c r="E122" i="15"/>
  <c r="D116" i="15"/>
  <c r="E116" i="15"/>
  <c r="E110" i="15"/>
  <c r="D313" i="14"/>
  <c r="C70" i="14"/>
  <c r="E63" i="14"/>
  <c r="F63" i="14"/>
  <c r="C309" i="14"/>
  <c r="F305" i="14"/>
  <c r="E305" i="14"/>
  <c r="D266" i="15"/>
  <c r="E264" i="15"/>
  <c r="C211" i="14"/>
  <c r="C148" i="14"/>
  <c r="E141" i="14"/>
  <c r="C322" i="14"/>
  <c r="F141" i="14"/>
  <c r="E176" i="14"/>
  <c r="C183" i="14"/>
  <c r="F176" i="14"/>
  <c r="C323" i="14"/>
  <c r="D117" i="15"/>
  <c r="D129" i="15"/>
  <c r="E129" i="15"/>
  <c r="F48" i="2"/>
  <c r="E210" i="14"/>
  <c r="F210" i="14"/>
  <c r="C324" i="14"/>
  <c r="E106" i="14"/>
  <c r="F106" i="14"/>
  <c r="C113" i="14"/>
  <c r="F209" i="14"/>
  <c r="E209" i="14"/>
  <c r="F113" i="14"/>
  <c r="E113" i="14"/>
  <c r="E117" i="15"/>
  <c r="D131" i="15"/>
  <c r="E131" i="15"/>
  <c r="F322" i="14"/>
  <c r="E322" i="14"/>
  <c r="E148" i="14"/>
  <c r="F148" i="14"/>
  <c r="C310" i="14"/>
  <c r="E309" i="14"/>
  <c r="F309" i="14"/>
  <c r="D315" i="14"/>
  <c r="D251" i="14"/>
  <c r="D256" i="14"/>
  <c r="D314" i="14"/>
  <c r="E324" i="14"/>
  <c r="C325" i="14"/>
  <c r="F324" i="14"/>
  <c r="E323" i="14"/>
  <c r="F323" i="14"/>
  <c r="E183" i="14"/>
  <c r="F183" i="14"/>
  <c r="E211" i="14"/>
  <c r="F211" i="14"/>
  <c r="E266" i="15"/>
  <c r="D267" i="15"/>
  <c r="E70" i="14"/>
  <c r="F70" i="14"/>
  <c r="F325" i="14"/>
  <c r="E325" i="14"/>
  <c r="D318" i="14"/>
  <c r="D257" i="14"/>
  <c r="D268" i="15"/>
  <c r="D269" i="15"/>
  <c r="E269" i="15"/>
  <c r="E267" i="15"/>
  <c r="C312" i="14"/>
  <c r="F310" i="14"/>
  <c r="E310" i="14"/>
  <c r="C313" i="14"/>
  <c r="E312" i="14"/>
  <c r="F312" i="14"/>
  <c r="D271" i="15"/>
  <c r="E271" i="15"/>
  <c r="E268" i="15"/>
  <c r="F313" i="14"/>
  <c r="C314" i="14"/>
  <c r="C315" i="14"/>
  <c r="C256" i="14"/>
  <c r="C251" i="14"/>
  <c r="E313" i="14"/>
  <c r="F251" i="14"/>
  <c r="E251" i="14"/>
  <c r="F315" i="14"/>
  <c r="E315" i="14"/>
  <c r="C257" i="14"/>
  <c r="E256" i="14"/>
  <c r="F256" i="14"/>
  <c r="C318" i="14"/>
  <c r="E314" i="14"/>
  <c r="F314" i="14"/>
  <c r="F318" i="14"/>
  <c r="E318" i="14"/>
  <c r="F257" i="14"/>
  <c r="E257" i="14"/>
</calcChain>
</file>

<file path=xl/sharedStrings.xml><?xml version="1.0" encoding="utf-8"?>
<sst xmlns="http://schemas.openxmlformats.org/spreadsheetml/2006/main" count="2301" uniqueCount="979">
  <si>
    <t>NORWALK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</si>
  <si>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</si>
  <si>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</si>
  <si>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</si>
  <si>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</si>
  <si>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</si>
  <si>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</si>
  <si>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</si>
  <si>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</si>
  <si>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</si>
  <si>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</si>
  <si>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</si>
  <si>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</si>
  <si>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</si>
  <si>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</si>
  <si>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</si>
  <si>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</si>
  <si>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</si>
  <si>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</si>
  <si>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</si>
  <si>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</si>
  <si>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</si>
  <si>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</si>
  <si>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</si>
  <si>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</si>
  <si>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</si>
  <si>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</si>
  <si>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</si>
  <si>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</si>
  <si>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</si>
  <si>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</si>
  <si>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</si>
  <si>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</si>
  <si>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</si>
  <si>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</si>
  <si>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</si>
  <si>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</si>
  <si>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</si>
  <si>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</si>
  <si>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</si>
  <si>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</si>
  <si>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</si>
  <si>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</si>
  <si>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</si>
  <si>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</si>
  <si>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</si>
  <si>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</si>
  <si>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</si>
  <si>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</si>
  <si>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</si>
  <si>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</si>
  <si>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</si>
  <si>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</si>
  <si>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</si>
  <si>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</si>
  <si>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</si>
  <si>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</si>
  <si>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</si>
  <si>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</si>
  <si>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</si>
  <si>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</si>
  <si>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</si>
  <si>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</si>
  <si>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</si>
  <si>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</si>
  <si>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</si>
  <si>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</si>
  <si>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</si>
  <si>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</si>
  <si>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</si>
  <si>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</si>
  <si>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</si>
  <si>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</si>
  <si>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</si>
  <si>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</si>
  <si>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</si>
  <si>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</si>
  <si>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</si>
  <si>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</si>
  <si>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</si>
  <si>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</si>
  <si>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</si>
  <si>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</si>
  <si>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</si>
  <si>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</si>
  <si>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</si>
  <si>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</si>
  <si>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</si>
  <si>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</si>
  <si>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</si>
  <si>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</si>
  <si>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</si>
  <si>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</si>
  <si>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</si>
  <si>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</si>
  <si>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</si>
  <si>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</si>
  <si>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</si>
  <si>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</si>
  <si>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</si>
  <si>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</si>
  <si>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</si>
  <si>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</si>
  <si>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</si>
  <si>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</si>
  <si>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</si>
  <si>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</si>
  <si>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</si>
  <si>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</si>
  <si>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</si>
  <si>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</si>
  <si>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</si>
  <si>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</si>
  <si>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</si>
  <si>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</si>
  <si>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</si>
  <si>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</si>
  <si>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</si>
  <si>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</si>
  <si>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</si>
  <si>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</si>
  <si>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</si>
  <si>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</si>
  <si>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</si>
  <si>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</si>
  <si>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</si>
  <si>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</si>
  <si>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</si>
  <si>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</si>
  <si>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</si>
  <si>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</si>
  <si>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</si>
  <si>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</si>
  <si>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</si>
  <si>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</si>
  <si>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</si>
  <si>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</si>
  <si>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</si>
  <si>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</si>
  <si>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</si>
  <si>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</si>
  <si>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</si>
  <si>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</si>
  <si>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</si>
  <si>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</si>
  <si>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</si>
  <si>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</si>
  <si>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</si>
  <si>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</si>
  <si>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</si>
  <si>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</si>
  <si>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</si>
  <si>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</si>
  <si>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</si>
  <si>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</si>
  <si>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</si>
  <si>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</si>
  <si>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</si>
  <si>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</si>
  <si>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</si>
  <si>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</si>
  <si>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</si>
  <si>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</si>
  <si>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</si>
  <si>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</si>
  <si>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</si>
  <si>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</si>
  <si>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</si>
  <si>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</si>
  <si>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</si>
  <si>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</si>
  <si>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</si>
  <si>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</si>
  <si>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</si>
  <si>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</si>
  <si>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</si>
  <si>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</si>
  <si>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</si>
  <si>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</si>
  <si>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</si>
  <si>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</si>
  <si>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</si>
  <si>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</si>
  <si>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</si>
  <si>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</si>
  <si>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</si>
  <si>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</si>
  <si>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</si>
  <si>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</si>
  <si>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</si>
  <si>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</si>
  <si>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</si>
  <si>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</si>
  <si>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</si>
  <si>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</si>
  <si>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</si>
  <si>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</si>
  <si>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</si>
  <si>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</si>
  <si>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</si>
  <si>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</si>
  <si>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</si>
  <si>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</si>
  <si>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</si>
  <si>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</si>
  <si>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</si>
  <si>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</si>
  <si>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</si>
  <si>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</si>
  <si>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</si>
  <si>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</si>
  <si>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</si>
  <si>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</si>
  <si>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</si>
  <si>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</si>
  <si>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</si>
  <si>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</si>
  <si>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</si>
  <si>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</si>
  <si>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</si>
  <si>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</si>
  <si>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</si>
  <si>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</si>
  <si>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</si>
  <si>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</si>
  <si>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</si>
  <si>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</si>
  <si>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</si>
  <si>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</si>
  <si>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</si>
  <si>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</si>
  <si>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</si>
  <si>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</si>
  <si>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</si>
  <si>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</si>
  <si>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</si>
  <si>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</si>
  <si>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</si>
  <si>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</si>
  <si>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</si>
  <si>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</si>
  <si>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</si>
  <si>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</si>
  <si>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</si>
  <si>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</si>
  <si>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</si>
  <si>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</si>
  <si>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</si>
  <si>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</si>
  <si>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</si>
  <si>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</si>
  <si>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</si>
  <si>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</si>
  <si>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</si>
  <si>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</si>
  <si>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</si>
  <si>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</si>
  <si>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</si>
  <si>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</si>
  <si>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</si>
  <si>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</si>
  <si>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</si>
  <si>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</si>
  <si>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</si>
  <si>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</si>
  <si>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</si>
  <si>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</si>
  <si>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</si>
  <si>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</si>
  <si>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</si>
  <si>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</si>
  <si>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</si>
  <si>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</si>
  <si>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</si>
  <si>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</si>
  <si>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</si>
  <si>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</si>
  <si>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</si>
  <si>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</si>
  <si>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</si>
  <si>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</si>
  <si>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</si>
  <si>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</si>
  <si>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</si>
  <si>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</si>
  <si>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</si>
  <si>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</si>
  <si>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</si>
  <si>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</si>
  <si>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</si>
  <si>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</si>
  <si>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</si>
  <si>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</si>
  <si>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</si>
  <si>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</si>
  <si>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</si>
  <si>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</si>
  <si>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</si>
  <si>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</si>
  <si>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</si>
  <si>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</si>
  <si>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</si>
  <si>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</si>
  <si>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</si>
  <si>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</si>
  <si>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</si>
  <si>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</si>
  <si>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</si>
  <si>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</si>
  <si>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</si>
  <si>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</si>
  <si>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</si>
  <si>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</si>
  <si>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</si>
  <si>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</si>
  <si>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</si>
  <si>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</si>
  <si>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</si>
  <si>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</si>
  <si>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</si>
  <si>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</si>
  <si>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</si>
  <si>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</si>
  <si>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</si>
  <si>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</si>
  <si>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</si>
  <si>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</si>
  <si>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</si>
  <si>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</si>
  <si>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</si>
  <si>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</si>
  <si>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</si>
  <si>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</si>
  <si>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</si>
  <si>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</si>
  <si>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</si>
  <si>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</si>
  <si>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</si>
  <si>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</si>
  <si>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</si>
  <si>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</si>
  <si>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</si>
  <si>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</si>
  <si>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</si>
  <si>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</si>
  <si>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</si>
  <si>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</si>
  <si>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</si>
  <si>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</si>
  <si>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</si>
  <si>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</si>
  <si>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</si>
  <si>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</si>
  <si>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</si>
  <si>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</si>
  <si>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</si>
  <si>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</si>
  <si>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</si>
  <si>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</si>
  <si>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</si>
  <si>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</si>
  <si>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</si>
  <si>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</si>
  <si>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</si>
  <si>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</si>
  <si>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</si>
  <si>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</si>
  <si>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</si>
  <si>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</si>
  <si>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</si>
  <si>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</si>
  <si>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</si>
  <si>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</si>
  <si>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</si>
  <si>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</si>
  <si>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</si>
  <si>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</si>
  <si>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</si>
  <si>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</si>
  <si>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</si>
  <si>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</si>
  <si>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</si>
  <si>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</si>
  <si>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</si>
  <si>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</si>
  <si>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</si>
  <si>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</si>
  <si>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</si>
  <si>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</si>
  <si>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</si>
  <si>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</si>
  <si>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</si>
  <si>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</si>
  <si>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</si>
  <si>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</si>
  <si>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</si>
  <si>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</si>
  <si>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</si>
  <si>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</si>
  <si>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</si>
  <si>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</si>
  <si>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</si>
  <si>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</si>
  <si>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</si>
  <si>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</si>
  <si>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</si>
  <si>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</si>
  <si>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</si>
  <si>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</si>
  <si>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</si>
  <si>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</si>
  <si>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</si>
  <si>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</si>
  <si>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</si>
  <si>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</si>
  <si>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</si>
  <si>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</si>
  <si>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</si>
  <si>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</si>
  <si>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</si>
  <si>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</si>
  <si>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</si>
  <si>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</si>
  <si>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</si>
  <si>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</si>
  <si>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</si>
  <si>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</si>
  <si>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</si>
  <si>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</si>
  <si>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</si>
  <si>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</si>
  <si>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</si>
  <si>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</si>
  <si>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</si>
  <si>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</si>
  <si>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</si>
  <si>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</si>
  <si>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</si>
  <si>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</si>
  <si>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</si>
  <si>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</si>
  <si>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</si>
  <si>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</si>
  <si>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</si>
  <si>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</si>
  <si>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</si>
  <si>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</si>
  <si>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</si>
  <si>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</si>
  <si>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</si>
  <si>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</si>
  <si>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</si>
  <si>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</si>
  <si>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</si>
  <si>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</si>
  <si>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</si>
  <si>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</si>
  <si>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</si>
  <si>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</si>
  <si>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</si>
  <si>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</si>
  <si>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</si>
  <si>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</si>
  <si>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</si>
  <si>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</si>
  <si>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</si>
  <si>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</si>
  <si>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</si>
  <si>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</si>
  <si>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</si>
  <si>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</si>
  <si>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</si>
  <si>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</si>
  <si>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</si>
  <si>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</si>
  <si>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</si>
  <si>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</si>
  <si>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</si>
  <si>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</si>
  <si>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NORWALK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</si>
  <si>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</si>
  <si>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</si>
  <si>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</si>
  <si>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</si>
  <si>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</si>
  <si>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</si>
  <si>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</si>
  <si>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</si>
  <si>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</si>
  <si>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</si>
  <si>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</si>
  <si>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</si>
  <si>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</si>
  <si>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</si>
  <si>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</si>
  <si>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</si>
  <si>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</si>
  <si>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</si>
  <si>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</si>
  <si>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</si>
  <si>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</si>
  <si>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</si>
  <si>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</si>
  <si>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</si>
  <si>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</si>
  <si>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</si>
  <si>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</si>
  <si>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</si>
  <si>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</si>
  <si>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</si>
  <si>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</si>
  <si>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</si>
  <si>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</si>
  <si>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</si>
  <si>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</si>
  <si>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</si>
  <si>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</si>
  <si>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</si>
  <si>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</si>
  <si>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</si>
  <si>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</si>
  <si>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</si>
  <si>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</si>
  <si>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</si>
  <si>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</si>
  <si>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</si>
  <si>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</si>
  <si>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</si>
  <si>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</si>
  <si>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</si>
  <si>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</si>
  <si>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</si>
  <si>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</si>
  <si>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</si>
  <si>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</si>
  <si>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</si>
  <si>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</si>
  <si>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</si>
  <si>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</si>
  <si>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</si>
  <si>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</si>
  <si>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</si>
  <si>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</si>
  <si>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</si>
  <si>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</si>
  <si>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</si>
  <si>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</si>
  <si>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</si>
  <si>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</si>
  <si>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</si>
  <si>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</si>
  <si>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</si>
  <si>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</si>
  <si>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</si>
  <si>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</si>
  <si>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</si>
  <si>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</si>
  <si>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</si>
  <si>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</si>
  <si>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</si>
  <si>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</si>
  <si>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</si>
  <si>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</si>
  <si>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</si>
  <si>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</si>
  <si>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</si>
  <si>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</si>
  <si>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</si>
  <si>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</si>
  <si>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</si>
  <si>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</si>
  <si>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</si>
  <si>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</si>
  <si>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</si>
  <si>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</si>
  <si>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</si>
  <si>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</si>
  <si>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</si>
  <si>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</si>
  <si>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</si>
  <si>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</si>
  <si>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</si>
  <si>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</si>
  <si>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40 Cross Street</t>
  </si>
  <si>
    <t>Norwalk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</si>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</sst>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15790395</v>
      </c>
      <c r="D13" s="23">
        <v>26310543</v>
      </c>
      <c r="E13" s="23">
        <f t="shared" ref="E13:E22" si="0">D13-C13</f>
        <v>10520148</v>
      </c>
      <c r="F13" s="24">
        <f t="shared" ref="F13:F22" si="1">IF(C13=0,0,E13/C13)</f>
        <v>0.66623716506141861</v>
      </c>
    </row>
    <row r="14" spans="1:8" ht="24" customHeight="1" x14ac:dyDescent="0.2">
      <c r="A14" s="21">
        <v>2</v>
      </c>
      <c r="B14" s="22" t="s">
        <v>17</v>
      </c>
      <c r="C14" s="23">
        <v>8601698</v>
      </c>
      <c r="D14" s="23">
        <v>8655334</v>
      </c>
      <c r="E14" s="23">
        <f t="shared" si="0"/>
        <v>53636</v>
      </c>
      <c r="F14" s="24">
        <f t="shared" si="1"/>
        <v>6.2355130347519754E-3</v>
      </c>
    </row>
    <row r="15" spans="1:8" ht="35.25" customHeight="1" x14ac:dyDescent="0.2">
      <c r="A15" s="21">
        <v>3</v>
      </c>
      <c r="B15" s="22" t="s">
        <v>18</v>
      </c>
      <c r="C15" s="23">
        <v>42345864</v>
      </c>
      <c r="D15" s="23">
        <v>40941651</v>
      </c>
      <c r="E15" s="23">
        <f t="shared" si="0"/>
        <v>-1404213</v>
      </c>
      <c r="F15" s="24">
        <f t="shared" si="1"/>
        <v>-3.316057029796346E-2</v>
      </c>
    </row>
    <row r="16" spans="1:8" ht="24" customHeight="1" x14ac:dyDescent="0.2">
      <c r="A16" s="21">
        <v>4</v>
      </c>
      <c r="B16" s="22" t="s">
        <v>19</v>
      </c>
      <c r="C16" s="23">
        <v>333297</v>
      </c>
      <c r="D16" s="23">
        <v>371800</v>
      </c>
      <c r="E16" s="23">
        <f t="shared" si="0"/>
        <v>38503</v>
      </c>
      <c r="F16" s="24">
        <f t="shared" si="1"/>
        <v>0.11552159185351203</v>
      </c>
    </row>
    <row r="17" spans="1:11" ht="24" customHeight="1" x14ac:dyDescent="0.2">
      <c r="A17" s="21">
        <v>5</v>
      </c>
      <c r="B17" s="22" t="s">
        <v>20</v>
      </c>
      <c r="C17" s="23">
        <v>7647590</v>
      </c>
      <c r="D17" s="23">
        <v>446142</v>
      </c>
      <c r="E17" s="23">
        <f t="shared" si="0"/>
        <v>-7201448</v>
      </c>
      <c r="F17" s="24">
        <f t="shared" si="1"/>
        <v>-0.9416624060651787</v>
      </c>
    </row>
    <row r="18" spans="1:11" ht="24" customHeight="1" x14ac:dyDescent="0.2">
      <c r="A18" s="21">
        <v>6</v>
      </c>
      <c r="B18" s="22" t="s">
        <v>21</v>
      </c>
      <c r="C18" s="23">
        <v>1696670</v>
      </c>
      <c r="D18" s="23">
        <v>573584</v>
      </c>
      <c r="E18" s="23">
        <f t="shared" si="0"/>
        <v>-1123086</v>
      </c>
      <c r="F18" s="24">
        <f t="shared" si="1"/>
        <v>-0.66193543824078926</v>
      </c>
    </row>
    <row r="19" spans="1:11" ht="24" customHeight="1" x14ac:dyDescent="0.2">
      <c r="A19" s="21">
        <v>7</v>
      </c>
      <c r="B19" s="22" t="s">
        <v>22</v>
      </c>
      <c r="C19" s="23">
        <v>2323933</v>
      </c>
      <c r="D19" s="23">
        <v>2361637</v>
      </c>
      <c r="E19" s="23">
        <f t="shared" si="0"/>
        <v>37704</v>
      </c>
      <c r="F19" s="24">
        <f t="shared" si="1"/>
        <v>1.6224219889299736E-2</v>
      </c>
    </row>
    <row r="20" spans="1:11" ht="24" customHeight="1" x14ac:dyDescent="0.2">
      <c r="A20" s="21">
        <v>8</v>
      </c>
      <c r="B20" s="22" t="s">
        <v>23</v>
      </c>
      <c r="C20" s="23">
        <v>2379157</v>
      </c>
      <c r="D20" s="23">
        <v>1831130</v>
      </c>
      <c r="E20" s="23">
        <f t="shared" si="0"/>
        <v>-548027</v>
      </c>
      <c r="F20" s="24">
        <f t="shared" si="1"/>
        <v>-0.2303450339763202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81118604</v>
      </c>
      <c r="D22" s="27">
        <f>SUM(D13:D21)</f>
        <v>81491821</v>
      </c>
      <c r="E22" s="27">
        <f t="shared" si="0"/>
        <v>373217</v>
      </c>
      <c r="F22" s="28">
        <f t="shared" si="1"/>
        <v>4.6008804589388642E-3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2063900</v>
      </c>
      <c r="D25" s="23">
        <v>1075930</v>
      </c>
      <c r="E25" s="23">
        <f>D25-C25</f>
        <v>-987970</v>
      </c>
      <c r="F25" s="24">
        <f>IF(C25=0,0,E25/C25)</f>
        <v>-0.47869082804399438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5983665</v>
      </c>
      <c r="D28" s="23">
        <v>5954228</v>
      </c>
      <c r="E28" s="23">
        <f>D28-C28</f>
        <v>-29437</v>
      </c>
      <c r="F28" s="24">
        <f>IF(C28=0,0,E28/C28)</f>
        <v>-4.9195601692273881E-3</v>
      </c>
    </row>
    <row r="29" spans="1:11" ht="24" customHeight="1" x14ac:dyDescent="0.25">
      <c r="A29" s="25"/>
      <c r="B29" s="26" t="s">
        <v>32</v>
      </c>
      <c r="C29" s="27">
        <f>SUM(C25:C28)</f>
        <v>8047565</v>
      </c>
      <c r="D29" s="27">
        <f>SUM(D25:D28)</f>
        <v>7030158</v>
      </c>
      <c r="E29" s="27">
        <f>D29-C29</f>
        <v>-1017407</v>
      </c>
      <c r="F29" s="28">
        <f>IF(C29=0,0,E29/C29)</f>
        <v>-0.1264242040915482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28565355</v>
      </c>
      <c r="D31" s="23">
        <v>28803532</v>
      </c>
      <c r="E31" s="23">
        <f>D31-C31</f>
        <v>238177</v>
      </c>
      <c r="F31" s="24">
        <f>IF(C31=0,0,E31/C31)</f>
        <v>8.3379674434292863E-3</v>
      </c>
    </row>
    <row r="32" spans="1:11" ht="24" customHeight="1" x14ac:dyDescent="0.2">
      <c r="A32" s="21">
        <v>6</v>
      </c>
      <c r="B32" s="22" t="s">
        <v>34</v>
      </c>
      <c r="C32" s="23">
        <v>20099143</v>
      </c>
      <c r="D32" s="23">
        <v>21535624</v>
      </c>
      <c r="E32" s="23">
        <f>D32-C32</f>
        <v>1436481</v>
      </c>
      <c r="F32" s="24">
        <f>IF(C32=0,0,E32/C32)</f>
        <v>7.146976366106754E-2</v>
      </c>
    </row>
    <row r="33" spans="1:8" ht="24" customHeight="1" x14ac:dyDescent="0.2">
      <c r="A33" s="21">
        <v>7</v>
      </c>
      <c r="B33" s="22" t="s">
        <v>35</v>
      </c>
      <c r="C33" s="23">
        <v>12864266</v>
      </c>
      <c r="D33" s="23">
        <v>12699168</v>
      </c>
      <c r="E33" s="23">
        <f>D33-C33</f>
        <v>-165098</v>
      </c>
      <c r="F33" s="24">
        <f>IF(C33=0,0,E33/C33)</f>
        <v>-1.2833845320051685E-2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360832913</v>
      </c>
      <c r="D36" s="23">
        <v>367512614</v>
      </c>
      <c r="E36" s="23">
        <f>D36-C36</f>
        <v>6679701</v>
      </c>
      <c r="F36" s="24">
        <f>IF(C36=0,0,E36/C36)</f>
        <v>1.8511895005542359E-2</v>
      </c>
    </row>
    <row r="37" spans="1:8" ht="24" customHeight="1" x14ac:dyDescent="0.2">
      <c r="A37" s="21">
        <v>2</v>
      </c>
      <c r="B37" s="22" t="s">
        <v>39</v>
      </c>
      <c r="C37" s="23">
        <v>247990711</v>
      </c>
      <c r="D37" s="23">
        <v>261142100</v>
      </c>
      <c r="E37" s="23">
        <f>D37-C37</f>
        <v>13151389</v>
      </c>
      <c r="F37" s="24">
        <f>IF(C37=0,0,E37/C37)</f>
        <v>5.3031780694398671E-2</v>
      </c>
    </row>
    <row r="38" spans="1:8" ht="24" customHeight="1" x14ac:dyDescent="0.25">
      <c r="A38" s="25"/>
      <c r="B38" s="26" t="s">
        <v>40</v>
      </c>
      <c r="C38" s="27">
        <f>C36-C37</f>
        <v>112842202</v>
      </c>
      <c r="D38" s="27">
        <f>D36-D37</f>
        <v>106370514</v>
      </c>
      <c r="E38" s="27">
        <f>D38-C38</f>
        <v>-6471688</v>
      </c>
      <c r="F38" s="28">
        <f>IF(C38=0,0,E38/C38)</f>
        <v>-5.7351663520355617E-2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3130487</v>
      </c>
      <c r="D40" s="23">
        <v>5120280</v>
      </c>
      <c r="E40" s="23">
        <f>D40-C40</f>
        <v>1989793</v>
      </c>
      <c r="F40" s="24">
        <f>IF(C40=0,0,E40/C40)</f>
        <v>0.63561771698780412</v>
      </c>
    </row>
    <row r="41" spans="1:8" ht="24" customHeight="1" x14ac:dyDescent="0.25">
      <c r="A41" s="25"/>
      <c r="B41" s="26" t="s">
        <v>42</v>
      </c>
      <c r="C41" s="27">
        <f>+C38+C40</f>
        <v>115972689</v>
      </c>
      <c r="D41" s="27">
        <f>+D38+D40</f>
        <v>111490794</v>
      </c>
      <c r="E41" s="27">
        <f>D41-C41</f>
        <v>-4481895</v>
      </c>
      <c r="F41" s="28">
        <f>IF(C41=0,0,E41/C41)</f>
        <v>-3.8646124692340279E-2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266667622</v>
      </c>
      <c r="D43" s="27">
        <f>D22+D29+D31+D32+D33+D41</f>
        <v>263051097</v>
      </c>
      <c r="E43" s="27">
        <f>D43-C43</f>
        <v>-3616525</v>
      </c>
      <c r="F43" s="28">
        <f>IF(C43=0,0,E43/C43)</f>
        <v>-1.3561920164421011E-2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17732018</v>
      </c>
      <c r="D49" s="23">
        <v>19616137</v>
      </c>
      <c r="E49" s="23">
        <f t="shared" ref="E49:E56" si="2">D49-C49</f>
        <v>1884119</v>
      </c>
      <c r="F49" s="24">
        <f t="shared" ref="F49:F56" si="3">IF(C49=0,0,E49/C49)</f>
        <v>0.10625519328933683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13905178</v>
      </c>
      <c r="D50" s="23">
        <v>17233599</v>
      </c>
      <c r="E50" s="23">
        <f t="shared" si="2"/>
        <v>3328421</v>
      </c>
      <c r="F50" s="24">
        <f t="shared" si="3"/>
        <v>0.23936558021767143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1670554</v>
      </c>
      <c r="D51" s="23">
        <v>1001192</v>
      </c>
      <c r="E51" s="23">
        <f t="shared" si="2"/>
        <v>-669362</v>
      </c>
      <c r="F51" s="24">
        <f t="shared" si="3"/>
        <v>-0.40068264779228924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39553</v>
      </c>
      <c r="D52" s="23">
        <v>0</v>
      </c>
      <c r="E52" s="23">
        <f t="shared" si="2"/>
        <v>-39553</v>
      </c>
      <c r="F52" s="24">
        <f t="shared" si="3"/>
        <v>-1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595000</v>
      </c>
      <c r="D53" s="23">
        <v>625000</v>
      </c>
      <c r="E53" s="23">
        <f t="shared" si="2"/>
        <v>30000</v>
      </c>
      <c r="F53" s="24">
        <f t="shared" si="3"/>
        <v>5.0420168067226892E-2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1087783</v>
      </c>
      <c r="D54" s="23">
        <v>1042606</v>
      </c>
      <c r="E54" s="23">
        <f t="shared" si="2"/>
        <v>-45177</v>
      </c>
      <c r="F54" s="24">
        <f t="shared" si="3"/>
        <v>-4.1531261290165412E-2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165788</v>
      </c>
      <c r="D55" s="23">
        <v>150221</v>
      </c>
      <c r="E55" s="23">
        <f t="shared" si="2"/>
        <v>-15567</v>
      </c>
      <c r="F55" s="24">
        <f t="shared" si="3"/>
        <v>-9.3897025116413735E-2</v>
      </c>
    </row>
    <row r="56" spans="1:6" ht="24" customHeight="1" x14ac:dyDescent="0.25">
      <c r="A56" s="25"/>
      <c r="B56" s="26" t="s">
        <v>54</v>
      </c>
      <c r="C56" s="27">
        <f>SUM(C49:C55)</f>
        <v>35195874</v>
      </c>
      <c r="D56" s="27">
        <f>SUM(D49:D55)</f>
        <v>39668755</v>
      </c>
      <c r="E56" s="27">
        <f t="shared" si="2"/>
        <v>4472881</v>
      </c>
      <c r="F56" s="28">
        <f t="shared" si="3"/>
        <v>0.12708537938282197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9845000</v>
      </c>
      <c r="D59" s="23">
        <v>9220000</v>
      </c>
      <c r="E59" s="23">
        <f>D59-C59</f>
        <v>-625000</v>
      </c>
      <c r="F59" s="24">
        <f>IF(C59=0,0,E59/C59)</f>
        <v>-6.348400203148806E-2</v>
      </c>
    </row>
    <row r="60" spans="1:6" ht="24" customHeight="1" x14ac:dyDescent="0.2">
      <c r="A60" s="21">
        <v>2</v>
      </c>
      <c r="B60" s="22" t="s">
        <v>57</v>
      </c>
      <c r="C60" s="23">
        <v>7683237</v>
      </c>
      <c r="D60" s="23">
        <v>6522952</v>
      </c>
      <c r="E60" s="23">
        <f>D60-C60</f>
        <v>-1160285</v>
      </c>
      <c r="F60" s="24">
        <f>IF(C60=0,0,E60/C60)</f>
        <v>-0.15101512552586885</v>
      </c>
    </row>
    <row r="61" spans="1:6" ht="24" customHeight="1" x14ac:dyDescent="0.25">
      <c r="A61" s="25"/>
      <c r="B61" s="26" t="s">
        <v>58</v>
      </c>
      <c r="C61" s="27">
        <f>SUM(C59:C60)</f>
        <v>17528237</v>
      </c>
      <c r="D61" s="27">
        <f>SUM(D59:D60)</f>
        <v>15742952</v>
      </c>
      <c r="E61" s="27">
        <f>D61-C61</f>
        <v>-1785285</v>
      </c>
      <c r="F61" s="28">
        <f>IF(C61=0,0,E61/C61)</f>
        <v>-0.10185194323878664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31230209</v>
      </c>
      <c r="D63" s="23">
        <v>37851799</v>
      </c>
      <c r="E63" s="23">
        <f>D63-C63</f>
        <v>6621590</v>
      </c>
      <c r="F63" s="24">
        <f>IF(C63=0,0,E63/C63)</f>
        <v>0.212025158076912</v>
      </c>
    </row>
    <row r="64" spans="1:6" ht="24" customHeight="1" x14ac:dyDescent="0.2">
      <c r="A64" s="21">
        <v>4</v>
      </c>
      <c r="B64" s="22" t="s">
        <v>60</v>
      </c>
      <c r="C64" s="23">
        <v>33793380</v>
      </c>
      <c r="D64" s="23">
        <v>34610953</v>
      </c>
      <c r="E64" s="23">
        <f>D64-C64</f>
        <v>817573</v>
      </c>
      <c r="F64" s="24">
        <f>IF(C64=0,0,E64/C64)</f>
        <v>2.4193288744718641E-2</v>
      </c>
    </row>
    <row r="65" spans="1:6" ht="24" customHeight="1" x14ac:dyDescent="0.25">
      <c r="A65" s="25"/>
      <c r="B65" s="26" t="s">
        <v>61</v>
      </c>
      <c r="C65" s="27">
        <f>SUM(C61:C64)</f>
        <v>82551826</v>
      </c>
      <c r="D65" s="27">
        <f>SUM(D61:D64)</f>
        <v>88205704</v>
      </c>
      <c r="E65" s="27">
        <f>D65-C65</f>
        <v>5653878</v>
      </c>
      <c r="F65" s="28">
        <f>IF(C65=0,0,E65/C65)</f>
        <v>6.8488830277358123E-2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125849836</v>
      </c>
      <c r="D70" s="23">
        <v>111900976</v>
      </c>
      <c r="E70" s="23">
        <f>D70-C70</f>
        <v>-13948860</v>
      </c>
      <c r="F70" s="24">
        <f>IF(C70=0,0,E70/C70)</f>
        <v>-0.11083733156394419</v>
      </c>
    </row>
    <row r="71" spans="1:6" ht="24" customHeight="1" x14ac:dyDescent="0.2">
      <c r="A71" s="21">
        <v>2</v>
      </c>
      <c r="B71" s="22" t="s">
        <v>65</v>
      </c>
      <c r="C71" s="23">
        <v>13726443</v>
      </c>
      <c r="D71" s="23">
        <v>13846953</v>
      </c>
      <c r="E71" s="23">
        <f>D71-C71</f>
        <v>120510</v>
      </c>
      <c r="F71" s="24">
        <f>IF(C71=0,0,E71/C71)</f>
        <v>8.7794048319728563E-3</v>
      </c>
    </row>
    <row r="72" spans="1:6" ht="24" customHeight="1" x14ac:dyDescent="0.2">
      <c r="A72" s="21">
        <v>3</v>
      </c>
      <c r="B72" s="22" t="s">
        <v>66</v>
      </c>
      <c r="C72" s="23">
        <v>9343643</v>
      </c>
      <c r="D72" s="23">
        <v>9428709</v>
      </c>
      <c r="E72" s="23">
        <f>D72-C72</f>
        <v>85066</v>
      </c>
      <c r="F72" s="24">
        <f>IF(C72=0,0,E72/C72)</f>
        <v>9.1041577680140394E-3</v>
      </c>
    </row>
    <row r="73" spans="1:6" ht="24" customHeight="1" x14ac:dyDescent="0.25">
      <c r="A73" s="21"/>
      <c r="B73" s="26" t="s">
        <v>67</v>
      </c>
      <c r="C73" s="27">
        <f>SUM(C70:C72)</f>
        <v>148919922</v>
      </c>
      <c r="D73" s="27">
        <f>SUM(D70:D72)</f>
        <v>135176638</v>
      </c>
      <c r="E73" s="27">
        <f>D73-C73</f>
        <v>-13743284</v>
      </c>
      <c r="F73" s="28">
        <f>IF(C73=0,0,E73/C73)</f>
        <v>-9.2286403426937058E-2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266667622</v>
      </c>
      <c r="D75" s="27">
        <f>D56+D65+D67+D73</f>
        <v>263051097</v>
      </c>
      <c r="E75" s="27">
        <f>D75-C75</f>
        <v>-3616525</v>
      </c>
      <c r="F75" s="28">
        <f>IF(C75=0,0,E75/C75)</f>
        <v>-1.3561920164421011E-2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321530402</v>
      </c>
      <c r="D11" s="51">
        <v>345514638</v>
      </c>
      <c r="E11" s="51">
        <v>350695373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23041676</v>
      </c>
      <c r="D12" s="49">
        <v>23542171</v>
      </c>
      <c r="E12" s="49">
        <v>24687471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344572078</v>
      </c>
      <c r="D13" s="51">
        <f>+D11+D12</f>
        <v>369056809</v>
      </c>
      <c r="E13" s="51">
        <f>+E11+E12</f>
        <v>375382844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339790008</v>
      </c>
      <c r="D14" s="49">
        <v>357223168</v>
      </c>
      <c r="E14" s="49">
        <v>377200353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4782070</v>
      </c>
      <c r="D15" s="51">
        <f>+D13-D14</f>
        <v>11833641</v>
      </c>
      <c r="E15" s="51">
        <f>+E13-E14</f>
        <v>-1817509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2462112</v>
      </c>
      <c r="D16" s="49">
        <v>809408</v>
      </c>
      <c r="E16" s="49">
        <v>3595122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7244182</v>
      </c>
      <c r="D17" s="51">
        <f>D15+D16</f>
        <v>12643049</v>
      </c>
      <c r="E17" s="51">
        <f>E15+E16</f>
        <v>1777613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1.3779823826580315E-2</v>
      </c>
      <c r="D20" s="169">
        <f>IF(+D27=0,0,+D24/+D27)</f>
        <v>3.1994381903768195E-2</v>
      </c>
      <c r="E20" s="169">
        <f>IF(+E27=0,0,+E24/+E27)</f>
        <v>-4.7958170739667754E-3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7.0947245860703235E-3</v>
      </c>
      <c r="D21" s="169">
        <f>IF(+D27=0,0,+D26/+D27)</f>
        <v>2.1883804543305994E-3</v>
      </c>
      <c r="E21" s="169">
        <f>IF(+E27=0,0,+E26/+E27)</f>
        <v>9.4863615369132036E-3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2.0874548412650639E-2</v>
      </c>
      <c r="D22" s="169">
        <f>IF(+D27=0,0,+D28/+D27)</f>
        <v>3.4182762358098792E-2</v>
      </c>
      <c r="E22" s="169">
        <f>IF(+E27=0,0,+E28/+E27)</f>
        <v>4.6905444629464291E-3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4782070</v>
      </c>
      <c r="D24" s="51">
        <f>+D15</f>
        <v>11833641</v>
      </c>
      <c r="E24" s="51">
        <f>+E15</f>
        <v>-1817509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344572078</v>
      </c>
      <c r="D25" s="51">
        <f>+D13</f>
        <v>369056809</v>
      </c>
      <c r="E25" s="51">
        <f>+E13</f>
        <v>375382844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2462112</v>
      </c>
      <c r="D26" s="51">
        <f>+D16</f>
        <v>809408</v>
      </c>
      <c r="E26" s="51">
        <f>+E16</f>
        <v>3595122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347034190</v>
      </c>
      <c r="D27" s="51">
        <f>SUM(D25:D26)</f>
        <v>369866217</v>
      </c>
      <c r="E27" s="51">
        <f>SUM(E25:E26)</f>
        <v>378977966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7244182</v>
      </c>
      <c r="D28" s="51">
        <f>+D17</f>
        <v>12643049</v>
      </c>
      <c r="E28" s="51">
        <f>+E17</f>
        <v>1777613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154157848</v>
      </c>
      <c r="D31" s="51">
        <v>145071590</v>
      </c>
      <c r="E31" s="52">
        <v>138968662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190882007</v>
      </c>
      <c r="D32" s="51">
        <v>180142734</v>
      </c>
      <c r="E32" s="51">
        <v>174695130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-21532328</v>
      </c>
      <c r="D33" s="51">
        <f>+D32-C32</f>
        <v>-10739273</v>
      </c>
      <c r="E33" s="51">
        <f>+E32-D32</f>
        <v>-5447604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0.89859999999999995</v>
      </c>
      <c r="D34" s="171">
        <f>IF(C32=0,0,+D33/C32)</f>
        <v>-5.6261316447704789E-2</v>
      </c>
      <c r="E34" s="171">
        <f>IF(D32=0,0,+E33/D32)</f>
        <v>-3.0240486968516864E-2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1.4584069242774469</v>
      </c>
      <c r="D38" s="269">
        <f>IF(+D40=0,0,+D39/+D40)</f>
        <v>2.1805275140716298</v>
      </c>
      <c r="E38" s="269">
        <f>IF(+E40=0,0,+E39/+E40)</f>
        <v>2.4356411075525384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64893222</v>
      </c>
      <c r="D39" s="270">
        <v>89031767</v>
      </c>
      <c r="E39" s="270">
        <v>110652425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44495964</v>
      </c>
      <c r="D40" s="270">
        <v>40830380</v>
      </c>
      <c r="E40" s="270">
        <v>45430513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3.8291037264144028</v>
      </c>
      <c r="D42" s="271">
        <f>IF((D48/365)=0,0,+D45/(D48/365))</f>
        <v>36.417822486937759</v>
      </c>
      <c r="E42" s="271">
        <f>IF((E48/365)=0,0,+E45/(E48/365))</f>
        <v>61.762952658200064</v>
      </c>
    </row>
    <row r="43" spans="1:14" ht="24" customHeight="1" x14ac:dyDescent="0.2">
      <c r="A43" s="17">
        <v>5</v>
      </c>
      <c r="B43" s="188" t="s">
        <v>16</v>
      </c>
      <c r="C43" s="272">
        <v>3354998</v>
      </c>
      <c r="D43" s="272">
        <v>17551919</v>
      </c>
      <c r="E43" s="272">
        <v>28741901</v>
      </c>
    </row>
    <row r="44" spans="1:14" ht="24" customHeight="1" x14ac:dyDescent="0.2">
      <c r="A44" s="17">
        <v>6</v>
      </c>
      <c r="B44" s="273" t="s">
        <v>17</v>
      </c>
      <c r="C44" s="274">
        <v>29387</v>
      </c>
      <c r="D44" s="274">
        <v>16173831</v>
      </c>
      <c r="E44" s="274">
        <v>31620264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3384385</v>
      </c>
      <c r="D45" s="270">
        <f>+D43+D44</f>
        <v>33725750</v>
      </c>
      <c r="E45" s="270">
        <f>+E43+E44</f>
        <v>60362165</v>
      </c>
    </row>
    <row r="46" spans="1:14" ht="24" customHeight="1" x14ac:dyDescent="0.2">
      <c r="A46" s="17">
        <v>8</v>
      </c>
      <c r="B46" s="45" t="s">
        <v>324</v>
      </c>
      <c r="C46" s="270">
        <f>+C14</f>
        <v>339790008</v>
      </c>
      <c r="D46" s="270">
        <f>+D14</f>
        <v>357223168</v>
      </c>
      <c r="E46" s="270">
        <f>+E14</f>
        <v>377200353</v>
      </c>
    </row>
    <row r="47" spans="1:14" ht="24" customHeight="1" x14ac:dyDescent="0.2">
      <c r="A47" s="17">
        <v>9</v>
      </c>
      <c r="B47" s="45" t="s">
        <v>347</v>
      </c>
      <c r="C47" s="270">
        <v>17181739</v>
      </c>
      <c r="D47" s="270">
        <v>19204640</v>
      </c>
      <c r="E47" s="270">
        <v>20478576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322608269</v>
      </c>
      <c r="D48" s="270">
        <f>+D46-D47</f>
        <v>338018528</v>
      </c>
      <c r="E48" s="270">
        <f>+E46-E47</f>
        <v>356721777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43.232278031985295</v>
      </c>
      <c r="D50" s="278">
        <f>IF((D55/365)=0,0,+D54/(D55/365))</f>
        <v>46.697151583488051</v>
      </c>
      <c r="E50" s="278">
        <f>IF((E55/365)=0,0,+E54/(E55/365))</f>
        <v>43.141755123755225</v>
      </c>
    </row>
    <row r="51" spans="1:5" ht="24" customHeight="1" x14ac:dyDescent="0.2">
      <c r="A51" s="17">
        <v>12</v>
      </c>
      <c r="B51" s="188" t="s">
        <v>350</v>
      </c>
      <c r="C51" s="279">
        <v>46205777</v>
      </c>
      <c r="D51" s="279">
        <v>45676015</v>
      </c>
      <c r="E51" s="279">
        <v>42567297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313892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8122238</v>
      </c>
      <c r="D53" s="270">
        <v>1785662</v>
      </c>
      <c r="E53" s="270">
        <v>1116300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38083539</v>
      </c>
      <c r="D54" s="280">
        <f>+D51+D52-D53</f>
        <v>44204245</v>
      </c>
      <c r="E54" s="280">
        <f>+E51+E52-E53</f>
        <v>41450997</v>
      </c>
    </row>
    <row r="55" spans="1:5" ht="24" customHeight="1" x14ac:dyDescent="0.2">
      <c r="A55" s="17">
        <v>16</v>
      </c>
      <c r="B55" s="45" t="s">
        <v>75</v>
      </c>
      <c r="C55" s="270">
        <f>+C11</f>
        <v>321530402</v>
      </c>
      <c r="D55" s="270">
        <f>+D11</f>
        <v>345514638</v>
      </c>
      <c r="E55" s="270">
        <f>+E11</f>
        <v>350695373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50.342872209515498</v>
      </c>
      <c r="D57" s="283">
        <f>IF((D61/365)=0,0,+D58/(D61/365))</f>
        <v>44.089561563915218</v>
      </c>
      <c r="E57" s="283">
        <f>IF((E61/365)=0,0,+E58/(E61/365))</f>
        <v>46.484790988804704</v>
      </c>
    </row>
    <row r="58" spans="1:5" ht="24" customHeight="1" x14ac:dyDescent="0.2">
      <c r="A58" s="17">
        <v>18</v>
      </c>
      <c r="B58" s="45" t="s">
        <v>54</v>
      </c>
      <c r="C58" s="281">
        <f>+C40</f>
        <v>44495964</v>
      </c>
      <c r="D58" s="281">
        <f>+D40</f>
        <v>40830380</v>
      </c>
      <c r="E58" s="281">
        <f>+E40</f>
        <v>45430513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339790008</v>
      </c>
      <c r="D59" s="281">
        <f t="shared" si="0"/>
        <v>357223168</v>
      </c>
      <c r="E59" s="281">
        <f t="shared" si="0"/>
        <v>377200353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17181739</v>
      </c>
      <c r="D60" s="176">
        <f t="shared" si="0"/>
        <v>19204640</v>
      </c>
      <c r="E60" s="176">
        <f t="shared" si="0"/>
        <v>20478576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322608269</v>
      </c>
      <c r="D61" s="281">
        <f>+D59-D60</f>
        <v>338018528</v>
      </c>
      <c r="E61" s="281">
        <f>+E59-E60</f>
        <v>356721777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60.474704265552738</v>
      </c>
      <c r="D65" s="284">
        <f>IF(D67=0,0,(D66/D67)*100)</f>
        <v>54.783267723910114</v>
      </c>
      <c r="E65" s="284">
        <f>IF(E67=0,0,(E66/E67)*100)</f>
        <v>51.429176433220306</v>
      </c>
    </row>
    <row r="66" spans="1:5" ht="24" customHeight="1" x14ac:dyDescent="0.2">
      <c r="A66" s="17">
        <v>2</v>
      </c>
      <c r="B66" s="45" t="s">
        <v>67</v>
      </c>
      <c r="C66" s="281">
        <f>+C32</f>
        <v>190882007</v>
      </c>
      <c r="D66" s="281">
        <f>+D32</f>
        <v>180142734</v>
      </c>
      <c r="E66" s="281">
        <f>+E32</f>
        <v>174695130</v>
      </c>
    </row>
    <row r="67" spans="1:5" ht="24" customHeight="1" x14ac:dyDescent="0.2">
      <c r="A67" s="17">
        <v>3</v>
      </c>
      <c r="B67" s="45" t="s">
        <v>43</v>
      </c>
      <c r="C67" s="281">
        <v>315639422</v>
      </c>
      <c r="D67" s="281">
        <v>328828019</v>
      </c>
      <c r="E67" s="281">
        <v>339680979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33.666785735314967</v>
      </c>
      <c r="D69" s="284">
        <f>IF(D75=0,0,(D72/D75)*100)</f>
        <v>47.752229422494807</v>
      </c>
      <c r="E69" s="284">
        <f>IF(E75=0,0,(E72/E75)*100)</f>
        <v>32.265416460050247</v>
      </c>
    </row>
    <row r="70" spans="1:5" ht="24" customHeight="1" x14ac:dyDescent="0.2">
      <c r="A70" s="17">
        <v>5</v>
      </c>
      <c r="B70" s="45" t="s">
        <v>358</v>
      </c>
      <c r="C70" s="281">
        <f>+C28</f>
        <v>7244182</v>
      </c>
      <c r="D70" s="281">
        <f>+D28</f>
        <v>12643049</v>
      </c>
      <c r="E70" s="281">
        <f>+E28</f>
        <v>1777613</v>
      </c>
    </row>
    <row r="71" spans="1:5" ht="24" customHeight="1" x14ac:dyDescent="0.2">
      <c r="A71" s="17">
        <v>6</v>
      </c>
      <c r="B71" s="45" t="s">
        <v>347</v>
      </c>
      <c r="C71" s="176">
        <f>+C47</f>
        <v>17181739</v>
      </c>
      <c r="D71" s="176">
        <f>+D47</f>
        <v>19204640</v>
      </c>
      <c r="E71" s="176">
        <f>+E47</f>
        <v>20478576</v>
      </c>
    </row>
    <row r="72" spans="1:5" ht="24" customHeight="1" x14ac:dyDescent="0.2">
      <c r="A72" s="17">
        <v>7</v>
      </c>
      <c r="B72" s="45" t="s">
        <v>359</v>
      </c>
      <c r="C72" s="281">
        <f>+C70+C71</f>
        <v>24425921</v>
      </c>
      <c r="D72" s="281">
        <f>+D70+D71</f>
        <v>31847689</v>
      </c>
      <c r="E72" s="281">
        <f>+E70+E71</f>
        <v>22256189</v>
      </c>
    </row>
    <row r="73" spans="1:5" ht="24" customHeight="1" x14ac:dyDescent="0.2">
      <c r="A73" s="17">
        <v>8</v>
      </c>
      <c r="B73" s="45" t="s">
        <v>54</v>
      </c>
      <c r="C73" s="270">
        <f>+C40</f>
        <v>44495964</v>
      </c>
      <c r="D73" s="270">
        <f>+D40</f>
        <v>40830380</v>
      </c>
      <c r="E73" s="270">
        <f>+E40</f>
        <v>45430513</v>
      </c>
    </row>
    <row r="74" spans="1:5" ht="24" customHeight="1" x14ac:dyDescent="0.2">
      <c r="A74" s="17">
        <v>9</v>
      </c>
      <c r="B74" s="45" t="s">
        <v>58</v>
      </c>
      <c r="C74" s="281">
        <v>28056020</v>
      </c>
      <c r="D74" s="281">
        <v>25863237</v>
      </c>
      <c r="E74" s="281">
        <v>23547952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72551984</v>
      </c>
      <c r="D75" s="270">
        <f>+D73+D74</f>
        <v>66693617</v>
      </c>
      <c r="E75" s="270">
        <f>+E73+E74</f>
        <v>68978465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12.814594332669307</v>
      </c>
      <c r="D77" s="286">
        <f>IF(D80=0,0,(D78/D80)*100)</f>
        <v>12.554605516749803</v>
      </c>
      <c r="E77" s="286">
        <f>IF(E80=0,0,(E78/E80)*100)</f>
        <v>11.87832219032995</v>
      </c>
    </row>
    <row r="78" spans="1:5" ht="24" customHeight="1" x14ac:dyDescent="0.2">
      <c r="A78" s="17">
        <v>12</v>
      </c>
      <c r="B78" s="45" t="s">
        <v>58</v>
      </c>
      <c r="C78" s="270">
        <f>+C74</f>
        <v>28056020</v>
      </c>
      <c r="D78" s="270">
        <f>+D74</f>
        <v>25863237</v>
      </c>
      <c r="E78" s="270">
        <f>+E74</f>
        <v>23547952</v>
      </c>
    </row>
    <row r="79" spans="1:5" ht="24" customHeight="1" x14ac:dyDescent="0.2">
      <c r="A79" s="17">
        <v>13</v>
      </c>
      <c r="B79" s="45" t="s">
        <v>67</v>
      </c>
      <c r="C79" s="270">
        <f>+C32</f>
        <v>190882007</v>
      </c>
      <c r="D79" s="270">
        <f>+D32</f>
        <v>180142734</v>
      </c>
      <c r="E79" s="270">
        <f>+E32</f>
        <v>174695130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218938027</v>
      </c>
      <c r="D80" s="270">
        <f>+D78+D79</f>
        <v>206005971</v>
      </c>
      <c r="E80" s="270">
        <f>+E78+E79</f>
        <v>198243082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FILING&amp;R&amp;8NORWALK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33635</v>
      </c>
      <c r="D11" s="297">
        <v>93</v>
      </c>
      <c r="E11" s="297">
        <v>136</v>
      </c>
      <c r="F11" s="298">
        <f>IF(D11=0,0,$C11/(D11*365))</f>
        <v>0.9908675799086758</v>
      </c>
      <c r="G11" s="298">
        <f>IF(E11=0,0,$C11/(E11*365))</f>
        <v>0.67757856567284447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13469</v>
      </c>
      <c r="D13" s="297">
        <v>37</v>
      </c>
      <c r="E13" s="297">
        <v>49</v>
      </c>
      <c r="F13" s="298">
        <f>IF(D13=0,0,$C13/(D13*365))</f>
        <v>0.9973343206219919</v>
      </c>
      <c r="G13" s="298">
        <f>IF(E13=0,0,$C13/(E13*365))</f>
        <v>0.75308918087783061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3607</v>
      </c>
      <c r="D16" s="297">
        <v>10</v>
      </c>
      <c r="E16" s="297">
        <v>22</v>
      </c>
      <c r="F16" s="298">
        <f t="shared" si="0"/>
        <v>0.98821917808219173</v>
      </c>
      <c r="G16" s="298">
        <f t="shared" si="0"/>
        <v>0.44919053549190535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3607</v>
      </c>
      <c r="D17" s="300">
        <f>SUM(D15:D16)</f>
        <v>10</v>
      </c>
      <c r="E17" s="300">
        <f>SUM(E15:E16)</f>
        <v>22</v>
      </c>
      <c r="F17" s="301">
        <f t="shared" si="0"/>
        <v>0.98821917808219173</v>
      </c>
      <c r="G17" s="301">
        <f t="shared" si="0"/>
        <v>0.44919053549190535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7458</v>
      </c>
      <c r="D19" s="297">
        <v>21</v>
      </c>
      <c r="E19" s="297">
        <v>25</v>
      </c>
      <c r="F19" s="298">
        <f>IF(D19=0,0,$C19/(D19*365))</f>
        <v>0.97299412915851269</v>
      </c>
      <c r="G19" s="298">
        <f>IF(E19=0,0,$C19/(E19*365))</f>
        <v>0.81731506849315072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4770</v>
      </c>
      <c r="D21" s="297">
        <v>14</v>
      </c>
      <c r="E21" s="297">
        <v>27</v>
      </c>
      <c r="F21" s="298">
        <f>IF(D21=0,0,$C21/(D21*365))</f>
        <v>0.93346379647749511</v>
      </c>
      <c r="G21" s="298">
        <f>IF(E21=0,0,$C21/(E21*365))</f>
        <v>0.48401826484018262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3630</v>
      </c>
      <c r="D23" s="297">
        <v>10</v>
      </c>
      <c r="E23" s="297">
        <v>20</v>
      </c>
      <c r="F23" s="298">
        <f>IF(D23=0,0,$C23/(D23*365))</f>
        <v>0.9945205479452055</v>
      </c>
      <c r="G23" s="298">
        <f>IF(E23=0,0,$C23/(E23*365))</f>
        <v>0.49726027397260275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1592</v>
      </c>
      <c r="D25" s="297">
        <v>5</v>
      </c>
      <c r="E25" s="297">
        <v>16</v>
      </c>
      <c r="F25" s="298">
        <f>IF(D25=0,0,$C25/(D25*365))</f>
        <v>0.87232876712328766</v>
      </c>
      <c r="G25" s="298">
        <f>IF(E25=0,0,$C25/(E25*365))</f>
        <v>0.27260273972602739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1256</v>
      </c>
      <c r="D27" s="297">
        <v>4</v>
      </c>
      <c r="E27" s="297">
        <v>17</v>
      </c>
      <c r="F27" s="298">
        <f>IF(D27=0,0,$C27/(D27*365))</f>
        <v>0.86027397260273974</v>
      </c>
      <c r="G27" s="298">
        <f>IF(E27=0,0,$C27/(E27*365))</f>
        <v>0.20241740531829169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65787</v>
      </c>
      <c r="D31" s="300">
        <f>SUM(D10:D29)-D17-D23</f>
        <v>184</v>
      </c>
      <c r="E31" s="300">
        <f>SUM(E10:E29)-E17-E23</f>
        <v>292</v>
      </c>
      <c r="F31" s="301">
        <f>IF(D31=0,0,$C31/(D31*365))</f>
        <v>0.97955628350208457</v>
      </c>
      <c r="G31" s="301">
        <f>IF(E31=0,0,$C31/(E31*365))</f>
        <v>0.6172546443985738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69417</v>
      </c>
      <c r="D33" s="300">
        <f>SUM(D10:D29)-D17</f>
        <v>194</v>
      </c>
      <c r="E33" s="300">
        <f>SUM(E10:E29)-E17</f>
        <v>312</v>
      </c>
      <c r="F33" s="301">
        <f>IF(D33=0,0,$C33/(D33*365))</f>
        <v>0.98032763733935879</v>
      </c>
      <c r="G33" s="301">
        <f>IF(E33=0,0,$C33/(E33*365))</f>
        <v>0.60956269757639625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69417</v>
      </c>
      <c r="D36" s="300">
        <f>+D33</f>
        <v>194</v>
      </c>
      <c r="E36" s="300">
        <f>+E33</f>
        <v>312</v>
      </c>
      <c r="F36" s="301">
        <f>+F33</f>
        <v>0.98032763733935879</v>
      </c>
      <c r="G36" s="301">
        <f>+G33</f>
        <v>0.60956269757639625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71363</v>
      </c>
      <c r="D37" s="302">
        <v>200</v>
      </c>
      <c r="E37" s="302">
        <v>322</v>
      </c>
      <c r="F37" s="301">
        <f>IF(D37=0,0,$C37/(D37*365))</f>
        <v>0.97757534246575339</v>
      </c>
      <c r="G37" s="301">
        <f>IF(E37=0,0,$C37/(E37*365))</f>
        <v>0.60718965370543687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-1946</v>
      </c>
      <c r="D38" s="300">
        <f>+D36-D37</f>
        <v>-6</v>
      </c>
      <c r="E38" s="300">
        <f>+E36-E37</f>
        <v>-10</v>
      </c>
      <c r="F38" s="301">
        <f>+F36-F37</f>
        <v>2.7522948736053987E-3</v>
      </c>
      <c r="G38" s="301">
        <f>+G36-G37</f>
        <v>2.3730438709593793E-3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-2.7269032972268542E-2</v>
      </c>
      <c r="D40" s="148">
        <f>IF(D37=0,0,D38/D37)</f>
        <v>-0.03</v>
      </c>
      <c r="E40" s="148">
        <f>IF(E37=0,0,E38/E37)</f>
        <v>-3.1055900621118012E-2</v>
      </c>
      <c r="F40" s="148">
        <f>IF(F37=0,0,F38/F37)</f>
        <v>2.8154299254963232E-3</v>
      </c>
      <c r="G40" s="148">
        <f>IF(G37=0,0,G38/G37)</f>
        <v>3.9082416119537557E-3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366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FILING&amp;RNORWALK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11680</v>
      </c>
      <c r="D12" s="296">
        <v>10207</v>
      </c>
      <c r="E12" s="296">
        <f>+D12-C12</f>
        <v>-1473</v>
      </c>
      <c r="F12" s="316">
        <f>IF(C12=0,0,+E12/C12)</f>
        <v>-0.12611301369863015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4459</v>
      </c>
      <c r="D13" s="296">
        <v>4556</v>
      </c>
      <c r="E13" s="296">
        <f>+D13-C13</f>
        <v>97</v>
      </c>
      <c r="F13" s="316">
        <f>IF(C13=0,0,+E13/C13)</f>
        <v>2.1753756447633998E-2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12204</v>
      </c>
      <c r="D14" s="296">
        <v>10781</v>
      </c>
      <c r="E14" s="296">
        <f>+D14-C14</f>
        <v>-1423</v>
      </c>
      <c r="F14" s="316">
        <f>IF(C14=0,0,+E14/C14)</f>
        <v>-0.116601114388725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28343</v>
      </c>
      <c r="D16" s="300">
        <f>SUM(D12:D15)</f>
        <v>25544</v>
      </c>
      <c r="E16" s="300">
        <f>+D16-C16</f>
        <v>-2799</v>
      </c>
      <c r="F16" s="309">
        <f>IF(C16=0,0,+E16/C16)</f>
        <v>-9.8754542567829798E-2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1172</v>
      </c>
      <c r="D19" s="296">
        <v>1111</v>
      </c>
      <c r="E19" s="296">
        <f>+D19-C19</f>
        <v>-61</v>
      </c>
      <c r="F19" s="316">
        <f>IF(C19=0,0,+E19/C19)</f>
        <v>-5.2047781569965867E-2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12134</v>
      </c>
      <c r="D20" s="296">
        <v>11998</v>
      </c>
      <c r="E20" s="296">
        <f>+D20-C20</f>
        <v>-136</v>
      </c>
      <c r="F20" s="316">
        <f>IF(C20=0,0,+E20/C20)</f>
        <v>-1.1208175374979397E-2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79</v>
      </c>
      <c r="D21" s="296">
        <v>113</v>
      </c>
      <c r="E21" s="296">
        <f>+D21-C21</f>
        <v>34</v>
      </c>
      <c r="F21" s="316">
        <f>IF(C21=0,0,+E21/C21)</f>
        <v>0.43037974683544306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13385</v>
      </c>
      <c r="D23" s="300">
        <f>SUM(D19:D22)</f>
        <v>13222</v>
      </c>
      <c r="E23" s="300">
        <f>+D23-C23</f>
        <v>-163</v>
      </c>
      <c r="F23" s="309">
        <f>IF(C23=0,0,+E23/C23)</f>
        <v>-1.2177810982443034E-2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21</v>
      </c>
      <c r="D26" s="296">
        <v>16</v>
      </c>
      <c r="E26" s="296">
        <f>+D26-C26</f>
        <v>-5</v>
      </c>
      <c r="F26" s="316">
        <f>IF(C26=0,0,+E26/C26)</f>
        <v>-0.23809523809523808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573</v>
      </c>
      <c r="D27" s="296">
        <v>583</v>
      </c>
      <c r="E27" s="296">
        <f>+D27-C27</f>
        <v>10</v>
      </c>
      <c r="F27" s="316">
        <f>IF(C27=0,0,+E27/C27)</f>
        <v>1.7452006980802792E-2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1</v>
      </c>
      <c r="D28" s="296">
        <v>0</v>
      </c>
      <c r="E28" s="296">
        <f>+D28-C28</f>
        <v>-1</v>
      </c>
      <c r="F28" s="316">
        <f>IF(C28=0,0,+E28/C28)</f>
        <v>-1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595</v>
      </c>
      <c r="D30" s="300">
        <f>SUM(D26:D29)</f>
        <v>599</v>
      </c>
      <c r="E30" s="300">
        <f>+D30-C30</f>
        <v>4</v>
      </c>
      <c r="F30" s="309">
        <f>IF(C30=0,0,+E30/C30)</f>
        <v>6.7226890756302525E-3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302</v>
      </c>
      <c r="D43" s="296">
        <v>207</v>
      </c>
      <c r="E43" s="296">
        <f>+D43-C43</f>
        <v>-95</v>
      </c>
      <c r="F43" s="316">
        <f>IF(C43=0,0,+E43/C43)</f>
        <v>-0.31456953642384106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8136</v>
      </c>
      <c r="D44" s="296">
        <v>7349</v>
      </c>
      <c r="E44" s="296">
        <f>+D44-C44</f>
        <v>-787</v>
      </c>
      <c r="F44" s="316">
        <f>IF(C44=0,0,+E44/C44)</f>
        <v>-9.6730580137659783E-2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8438</v>
      </c>
      <c r="D45" s="300">
        <f>SUM(D43:D44)</f>
        <v>7556</v>
      </c>
      <c r="E45" s="300">
        <f>+D45-C45</f>
        <v>-882</v>
      </c>
      <c r="F45" s="309">
        <f>IF(C45=0,0,+E45/C45)</f>
        <v>-0.10452713913249585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104</v>
      </c>
      <c r="D48" s="296">
        <v>126</v>
      </c>
      <c r="E48" s="296">
        <f>+D48-C48</f>
        <v>22</v>
      </c>
      <c r="F48" s="316">
        <f>IF(C48=0,0,+E48/C48)</f>
        <v>0.21153846153846154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51</v>
      </c>
      <c r="D49" s="296">
        <v>59</v>
      </c>
      <c r="E49" s="296">
        <f>+D49-C49</f>
        <v>8</v>
      </c>
      <c r="F49" s="316">
        <f>IF(C49=0,0,+E49/C49)</f>
        <v>0.15686274509803921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155</v>
      </c>
      <c r="D50" s="300">
        <f>SUM(D48:D49)</f>
        <v>185</v>
      </c>
      <c r="E50" s="300">
        <f>+D50-C50</f>
        <v>30</v>
      </c>
      <c r="F50" s="309">
        <f>IF(C50=0,0,+E50/C50)</f>
        <v>0.19354838709677419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14</v>
      </c>
      <c r="D53" s="296">
        <v>59</v>
      </c>
      <c r="E53" s="296">
        <f>+D53-C53</f>
        <v>45</v>
      </c>
      <c r="F53" s="316">
        <f>IF(C53=0,0,+E53/C53)</f>
        <v>3.2142857142857144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14</v>
      </c>
      <c r="D55" s="300">
        <f>SUM(D53:D54)</f>
        <v>59</v>
      </c>
      <c r="E55" s="300">
        <f>+D55-C55</f>
        <v>45</v>
      </c>
      <c r="F55" s="309">
        <f>IF(C55=0,0,+E55/C55)</f>
        <v>3.2142857142857144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127</v>
      </c>
      <c r="D58" s="296">
        <v>120</v>
      </c>
      <c r="E58" s="296">
        <f>+D58-C58</f>
        <v>-7</v>
      </c>
      <c r="F58" s="316">
        <f>IF(C58=0,0,+E58/C58)</f>
        <v>-5.5118110236220472E-2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170</v>
      </c>
      <c r="D59" s="296">
        <v>200</v>
      </c>
      <c r="E59" s="296">
        <f>+D59-C59</f>
        <v>30</v>
      </c>
      <c r="F59" s="316">
        <f>IF(C59=0,0,+E59/C59)</f>
        <v>0.17647058823529413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297</v>
      </c>
      <c r="D60" s="300">
        <f>SUM(D58:D59)</f>
        <v>320</v>
      </c>
      <c r="E60" s="300">
        <f>SUM(E58:E59)</f>
        <v>23</v>
      </c>
      <c r="F60" s="309">
        <f>IF(C60=0,0,+E60/C60)</f>
        <v>7.7441077441077436E-2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3912</v>
      </c>
      <c r="D63" s="296">
        <v>3615</v>
      </c>
      <c r="E63" s="296">
        <f>+D63-C63</f>
        <v>-297</v>
      </c>
      <c r="F63" s="316">
        <f>IF(C63=0,0,+E63/C63)</f>
        <v>-7.5920245398773012E-2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9697</v>
      </c>
      <c r="D64" s="296">
        <v>9539</v>
      </c>
      <c r="E64" s="296">
        <f>+D64-C64</f>
        <v>-158</v>
      </c>
      <c r="F64" s="316">
        <f>IF(C64=0,0,+E64/C64)</f>
        <v>-1.6293699082190367E-2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13609</v>
      </c>
      <c r="D65" s="300">
        <f>SUM(D63:D64)</f>
        <v>13154</v>
      </c>
      <c r="E65" s="300">
        <f>+D65-C65</f>
        <v>-455</v>
      </c>
      <c r="F65" s="309">
        <f>IF(C65=0,0,+E65/C65)</f>
        <v>-3.3433757072525536E-2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752</v>
      </c>
      <c r="D68" s="296">
        <v>668</v>
      </c>
      <c r="E68" s="296">
        <f>+D68-C68</f>
        <v>-84</v>
      </c>
      <c r="F68" s="316">
        <f>IF(C68=0,0,+E68/C68)</f>
        <v>-0.11170212765957446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8920</v>
      </c>
      <c r="D69" s="296">
        <v>8652</v>
      </c>
      <c r="E69" s="296">
        <f>+D69-C69</f>
        <v>-268</v>
      </c>
      <c r="F69" s="318">
        <f>IF(C69=0,0,+E69/C69)</f>
        <v>-3.0044843049327353E-2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9672</v>
      </c>
      <c r="D70" s="300">
        <f>SUM(D68:D69)</f>
        <v>9320</v>
      </c>
      <c r="E70" s="300">
        <f>+D70-C70</f>
        <v>-352</v>
      </c>
      <c r="F70" s="309">
        <f>IF(C70=0,0,+E70/C70)</f>
        <v>-3.6393713813068655E-2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9239</v>
      </c>
      <c r="D73" s="319">
        <v>9008</v>
      </c>
      <c r="E73" s="296">
        <f>+D73-C73</f>
        <v>-231</v>
      </c>
      <c r="F73" s="316">
        <f>IF(C73=0,0,+E73/C73)</f>
        <v>-2.5002705920554171E-2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40491</v>
      </c>
      <c r="D74" s="319">
        <v>39491</v>
      </c>
      <c r="E74" s="296">
        <f>+D74-C74</f>
        <v>-1000</v>
      </c>
      <c r="F74" s="316">
        <f>IF(C74=0,0,+E74/C74)</f>
        <v>-2.4696846212738634E-2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49730</v>
      </c>
      <c r="D75" s="300">
        <f>SUM(D73:D74)</f>
        <v>48499</v>
      </c>
      <c r="E75" s="300">
        <f>SUM(E73:E74)</f>
        <v>-1231</v>
      </c>
      <c r="F75" s="309">
        <f>IF(C75=0,0,+E75/C75)</f>
        <v>-2.4753669817011863E-2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1738</v>
      </c>
      <c r="D80" s="319">
        <v>1634</v>
      </c>
      <c r="E80" s="296">
        <f t="shared" si="0"/>
        <v>-104</v>
      </c>
      <c r="F80" s="316">
        <f t="shared" si="1"/>
        <v>-5.9838895281933258E-2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10253</v>
      </c>
      <c r="D81" s="319">
        <v>10629</v>
      </c>
      <c r="E81" s="296">
        <f t="shared" si="0"/>
        <v>376</v>
      </c>
      <c r="F81" s="316">
        <f t="shared" si="1"/>
        <v>3.6672193504340193E-2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9199</v>
      </c>
      <c r="D83" s="319">
        <v>9080</v>
      </c>
      <c r="E83" s="296">
        <f t="shared" si="0"/>
        <v>-119</v>
      </c>
      <c r="F83" s="316">
        <f t="shared" si="1"/>
        <v>-1.2936188716164801E-2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21190</v>
      </c>
      <c r="D84" s="320">
        <f>SUM(D79:D83)</f>
        <v>21343</v>
      </c>
      <c r="E84" s="300">
        <f t="shared" si="0"/>
        <v>153</v>
      </c>
      <c r="F84" s="309">
        <f t="shared" si="1"/>
        <v>7.2203869749882018E-3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7805</v>
      </c>
      <c r="D87" s="322">
        <v>8166</v>
      </c>
      <c r="E87" s="323">
        <f t="shared" ref="E87:E92" si="2">+D87-C87</f>
        <v>361</v>
      </c>
      <c r="F87" s="318">
        <f t="shared" ref="F87:F92" si="3">IF(C87=0,0,+E87/C87)</f>
        <v>4.6252402306213969E-2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769</v>
      </c>
      <c r="D88" s="322">
        <v>818</v>
      </c>
      <c r="E88" s="296">
        <f t="shared" si="2"/>
        <v>49</v>
      </c>
      <c r="F88" s="316">
        <f t="shared" si="3"/>
        <v>6.3719115734720416E-2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261</v>
      </c>
      <c r="D89" s="322">
        <v>332</v>
      </c>
      <c r="E89" s="296">
        <f t="shared" si="2"/>
        <v>71</v>
      </c>
      <c r="F89" s="316">
        <f t="shared" si="3"/>
        <v>0.27203065134099619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8416</v>
      </c>
      <c r="D90" s="322">
        <v>9089</v>
      </c>
      <c r="E90" s="296">
        <f t="shared" si="2"/>
        <v>673</v>
      </c>
      <c r="F90" s="316">
        <f t="shared" si="3"/>
        <v>7.9966730038022807E-2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116948</v>
      </c>
      <c r="D91" s="322">
        <v>127568</v>
      </c>
      <c r="E91" s="296">
        <f t="shared" si="2"/>
        <v>10620</v>
      </c>
      <c r="F91" s="316">
        <f t="shared" si="3"/>
        <v>9.0809590587269562E-2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134199</v>
      </c>
      <c r="D92" s="320">
        <f>SUM(D87:D91)</f>
        <v>145973</v>
      </c>
      <c r="E92" s="300">
        <f t="shared" si="2"/>
        <v>11774</v>
      </c>
      <c r="F92" s="309">
        <f t="shared" si="3"/>
        <v>8.773537805795871E-2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481.2</v>
      </c>
      <c r="D96" s="325">
        <v>488.6</v>
      </c>
      <c r="E96" s="326">
        <f>+D96-C96</f>
        <v>7.4000000000000341</v>
      </c>
      <c r="F96" s="316">
        <f>IF(C96=0,0,+E96/C96)</f>
        <v>1.5378221113882033E-2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96.3</v>
      </c>
      <c r="D97" s="325">
        <v>105.8</v>
      </c>
      <c r="E97" s="326">
        <f>+D97-C97</f>
        <v>9.5</v>
      </c>
      <c r="F97" s="316">
        <f>IF(C97=0,0,+E97/C97)</f>
        <v>9.8650051921079965E-2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1117.8</v>
      </c>
      <c r="D98" s="325">
        <v>1132.2</v>
      </c>
      <c r="E98" s="326">
        <f>+D98-C98</f>
        <v>14.400000000000091</v>
      </c>
      <c r="F98" s="316">
        <f>IF(C98=0,0,+E98/C98)</f>
        <v>1.2882447665056442E-2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1695.3</v>
      </c>
      <c r="D99" s="327">
        <f>SUM(D96:D98)</f>
        <v>1726.6</v>
      </c>
      <c r="E99" s="327">
        <f>+D99-C99</f>
        <v>31.299999999999955</v>
      </c>
      <c r="F99" s="309">
        <f>IF(C99=0,0,+E99/C99)</f>
        <v>1.8462808942370054E-2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FILING&amp;RNORWALK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4"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1870</v>
      </c>
      <c r="D12" s="296">
        <v>1090</v>
      </c>
      <c r="E12" s="296">
        <f>+D12-C12</f>
        <v>-780</v>
      </c>
      <c r="F12" s="316">
        <f>IF(C12=0,0,+E12/C12)</f>
        <v>-0.41711229946524064</v>
      </c>
    </row>
    <row r="13" spans="1:16" ht="15.75" customHeight="1" x14ac:dyDescent="0.2">
      <c r="A13" s="294">
        <v>2</v>
      </c>
      <c r="B13" s="295" t="s">
        <v>584</v>
      </c>
      <c r="C13" s="296">
        <v>7827</v>
      </c>
      <c r="D13" s="296">
        <v>8449</v>
      </c>
      <c r="E13" s="296">
        <f>+D13-C13</f>
        <v>622</v>
      </c>
      <c r="F13" s="316">
        <f>IF(C13=0,0,+E13/C13)</f>
        <v>7.9468506452025037E-2</v>
      </c>
    </row>
    <row r="14" spans="1:16" ht="15.75" customHeight="1" x14ac:dyDescent="0.25">
      <c r="A14" s="294"/>
      <c r="B14" s="135" t="s">
        <v>585</v>
      </c>
      <c r="C14" s="300">
        <f>SUM(C11:C13)</f>
        <v>9697</v>
      </c>
      <c r="D14" s="300">
        <f>SUM(D11:D13)</f>
        <v>9539</v>
      </c>
      <c r="E14" s="300">
        <f>+D14-C14</f>
        <v>-158</v>
      </c>
      <c r="F14" s="309">
        <f>IF(C14=0,0,+E14/C14)</f>
        <v>-1.6293699082190367E-2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584</v>
      </c>
      <c r="C17" s="296">
        <v>8920</v>
      </c>
      <c r="D17" s="296">
        <v>8652</v>
      </c>
      <c r="E17" s="296">
        <f>+D17-C17</f>
        <v>-268</v>
      </c>
      <c r="F17" s="316">
        <f>IF(C17=0,0,+E17/C17)</f>
        <v>-3.0044843049327353E-2</v>
      </c>
    </row>
    <row r="18" spans="1:6" ht="15.75" customHeight="1" x14ac:dyDescent="0.25">
      <c r="A18" s="294"/>
      <c r="B18" s="135" t="s">
        <v>586</v>
      </c>
      <c r="C18" s="300">
        <f>SUM(C16:C17)</f>
        <v>8920</v>
      </c>
      <c r="D18" s="300">
        <f>SUM(D16:D17)</f>
        <v>8652</v>
      </c>
      <c r="E18" s="300">
        <f>+D18-C18</f>
        <v>-268</v>
      </c>
      <c r="F18" s="309">
        <f>IF(C18=0,0,+E18/C18)</f>
        <v>-3.0044843049327353E-2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587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584</v>
      </c>
      <c r="C21" s="296">
        <v>40491</v>
      </c>
      <c r="D21" s="296">
        <v>39491</v>
      </c>
      <c r="E21" s="296">
        <f>+D21-C21</f>
        <v>-1000</v>
      </c>
      <c r="F21" s="316">
        <f>IF(C21=0,0,+E21/C21)</f>
        <v>-2.4696846212738634E-2</v>
      </c>
    </row>
    <row r="22" spans="1:6" ht="15.75" customHeight="1" x14ac:dyDescent="0.25">
      <c r="A22" s="294"/>
      <c r="B22" s="135" t="s">
        <v>588</v>
      </c>
      <c r="C22" s="300">
        <f>SUM(C20:C21)</f>
        <v>40491</v>
      </c>
      <c r="D22" s="300">
        <f>SUM(D20:D21)</f>
        <v>39491</v>
      </c>
      <c r="E22" s="300">
        <f>+D22-C22</f>
        <v>-1000</v>
      </c>
      <c r="F22" s="309">
        <f>IF(C22=0,0,+E22/C22)</f>
        <v>-2.4696846212738634E-2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589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590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591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FILING&amp;RNORWALK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abSelected="1" topLeftCell="A286"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592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593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594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595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596</v>
      </c>
      <c r="D7" s="341" t="s">
        <v>596</v>
      </c>
      <c r="E7" s="341" t="s">
        <v>597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598</v>
      </c>
      <c r="D8" s="344" t="s">
        <v>599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600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601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602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603</v>
      </c>
      <c r="C15" s="361">
        <v>190091948</v>
      </c>
      <c r="D15" s="361">
        <v>218145148</v>
      </c>
      <c r="E15" s="361">
        <f t="shared" ref="E15:E24" si="0">D15-C15</f>
        <v>28053200</v>
      </c>
      <c r="F15" s="362">
        <f t="shared" ref="F15:F24" si="1">IF(C15=0,0,E15/C15)</f>
        <v>0.14757700310378219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604</v>
      </c>
      <c r="C16" s="361">
        <v>73292916</v>
      </c>
      <c r="D16" s="361">
        <v>74017104</v>
      </c>
      <c r="E16" s="361">
        <f t="shared" si="0"/>
        <v>724188</v>
      </c>
      <c r="F16" s="362">
        <f t="shared" si="1"/>
        <v>9.8807366321732922E-3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605</v>
      </c>
      <c r="C17" s="366">
        <f>IF(C15=0,0,C16/C15)</f>
        <v>0.3855656000747596</v>
      </c>
      <c r="D17" s="366">
        <f>IF(LN_IA1=0,0,LN_IA2/LN_IA1)</f>
        <v>0.33930208706727688</v>
      </c>
      <c r="E17" s="367">
        <f t="shared" si="0"/>
        <v>-4.6263513007482715E-2</v>
      </c>
      <c r="F17" s="362">
        <f t="shared" si="1"/>
        <v>-0.11998869452698169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5539</v>
      </c>
      <c r="D18" s="369">
        <v>5684</v>
      </c>
      <c r="E18" s="369">
        <f t="shared" si="0"/>
        <v>145</v>
      </c>
      <c r="F18" s="362">
        <f t="shared" si="1"/>
        <v>2.6178010471204188E-2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606</v>
      </c>
      <c r="C19" s="372">
        <v>1.4787999999999999</v>
      </c>
      <c r="D19" s="372">
        <v>1.4781299999999999</v>
      </c>
      <c r="E19" s="373">
        <f t="shared" si="0"/>
        <v>-6.6999999999994841E-4</v>
      </c>
      <c r="F19" s="362">
        <f t="shared" si="1"/>
        <v>-4.5307005680277822E-4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607</v>
      </c>
      <c r="C20" s="376">
        <f>C18*C19</f>
        <v>8191.0731999999998</v>
      </c>
      <c r="D20" s="376">
        <f>LN_IA4*LN_IA5</f>
        <v>8401.6909199999991</v>
      </c>
      <c r="E20" s="376">
        <f t="shared" si="0"/>
        <v>210.61771999999928</v>
      </c>
      <c r="F20" s="362">
        <f t="shared" si="1"/>
        <v>2.5713079941710116E-2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608</v>
      </c>
      <c r="C21" s="378">
        <f>IF(C20=0,0,C16/C20)</f>
        <v>8947.9014788928998</v>
      </c>
      <c r="D21" s="378">
        <f>IF(LN_IA6=0,0,LN_IA2/LN_IA6)</f>
        <v>8809.7865899594417</v>
      </c>
      <c r="E21" s="378">
        <f t="shared" si="0"/>
        <v>-138.11488893345813</v>
      </c>
      <c r="F21" s="362">
        <f t="shared" si="1"/>
        <v>-1.5435450340982825E-2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36539</v>
      </c>
      <c r="D22" s="369">
        <v>37668</v>
      </c>
      <c r="E22" s="369">
        <f t="shared" si="0"/>
        <v>1129</v>
      </c>
      <c r="F22" s="362">
        <f t="shared" si="1"/>
        <v>3.0898492022222831E-2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609</v>
      </c>
      <c r="C23" s="378">
        <f>IF(C22=0,0,C16/C22)</f>
        <v>2005.8818248994226</v>
      </c>
      <c r="D23" s="378">
        <f>IF(LN_IA8=0,0,LN_IA2/LN_IA8)</f>
        <v>1964.986301369863</v>
      </c>
      <c r="E23" s="378">
        <f t="shared" si="0"/>
        <v>-40.895523529559568</v>
      </c>
      <c r="F23" s="362">
        <f t="shared" si="1"/>
        <v>-2.0387803021052909E-2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610</v>
      </c>
      <c r="C24" s="379">
        <f>IF(C18=0,0,C22/C18)</f>
        <v>6.5966781007402062</v>
      </c>
      <c r="D24" s="379">
        <f>IF(LN_IA4=0,0,LN_IA8/LN_IA4)</f>
        <v>6.627023223082336</v>
      </c>
      <c r="E24" s="379">
        <f t="shared" si="0"/>
        <v>3.0345122342129827E-2</v>
      </c>
      <c r="F24" s="362">
        <f t="shared" si="1"/>
        <v>4.6000611032884619E-3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611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612</v>
      </c>
      <c r="C27" s="361">
        <v>86210144</v>
      </c>
      <c r="D27" s="361">
        <v>98994847</v>
      </c>
      <c r="E27" s="361">
        <f t="shared" ref="E27:E32" si="2">D27-C27</f>
        <v>12784703</v>
      </c>
      <c r="F27" s="362">
        <f t="shared" ref="F27:F32" si="3">IF(C27=0,0,E27/C27)</f>
        <v>0.14829696839388182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613</v>
      </c>
      <c r="C28" s="361">
        <v>24630214</v>
      </c>
      <c r="D28" s="361">
        <v>25486345</v>
      </c>
      <c r="E28" s="361">
        <f t="shared" si="2"/>
        <v>856131</v>
      </c>
      <c r="F28" s="362">
        <f t="shared" si="3"/>
        <v>3.4759381302980154E-2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614</v>
      </c>
      <c r="C29" s="366">
        <f>IF(C27=0,0,C28/C27)</f>
        <v>0.28569971997726856</v>
      </c>
      <c r="D29" s="366">
        <f>IF(LN_IA11=0,0,LN_IA12/LN_IA11)</f>
        <v>0.25745122874931053</v>
      </c>
      <c r="E29" s="367">
        <f t="shared" si="2"/>
        <v>-2.8248491227958028E-2</v>
      </c>
      <c r="F29" s="362">
        <f t="shared" si="3"/>
        <v>-9.8874759940981369E-2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615</v>
      </c>
      <c r="C30" s="366">
        <f>IF(C15=0,0,C27/C15)</f>
        <v>0.4535181258703288</v>
      </c>
      <c r="D30" s="366">
        <f>IF(LN_IA1=0,0,LN_IA11/LN_IA1)</f>
        <v>0.45380265345163673</v>
      </c>
      <c r="E30" s="367">
        <f t="shared" si="2"/>
        <v>2.845275813079251E-4</v>
      </c>
      <c r="F30" s="362">
        <f t="shared" si="3"/>
        <v>6.2737863180639013E-4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616</v>
      </c>
      <c r="C31" s="376">
        <f>C30*C18</f>
        <v>2512.0368991957512</v>
      </c>
      <c r="D31" s="376">
        <f>LN_IA14*LN_IA4</f>
        <v>2579.4142822191034</v>
      </c>
      <c r="E31" s="376">
        <f t="shared" si="2"/>
        <v>67.377383023352195</v>
      </c>
      <c r="F31" s="362">
        <f t="shared" si="3"/>
        <v>2.6821812627403525E-2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617</v>
      </c>
      <c r="C32" s="378">
        <f>IF(C31=0,0,C28/C31)</f>
        <v>9804.8774713005059</v>
      </c>
      <c r="D32" s="378">
        <f>IF(LN_IA15=0,0,LN_IA12/LN_IA15)</f>
        <v>9880.6714282723788</v>
      </c>
      <c r="E32" s="378">
        <f t="shared" si="2"/>
        <v>75.793956971872831</v>
      </c>
      <c r="F32" s="362">
        <f t="shared" si="3"/>
        <v>7.7302298976939304E-3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618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619</v>
      </c>
      <c r="C35" s="361">
        <f>C15+C27</f>
        <v>276302092</v>
      </c>
      <c r="D35" s="361">
        <f>LN_IA1+LN_IA11</f>
        <v>317139995</v>
      </c>
      <c r="E35" s="361">
        <f>D35-C35</f>
        <v>40837903</v>
      </c>
      <c r="F35" s="362">
        <f>IF(C35=0,0,E35/C35)</f>
        <v>0.14780164241391266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620</v>
      </c>
      <c r="C36" s="361">
        <f>C16+C28</f>
        <v>97923130</v>
      </c>
      <c r="D36" s="361">
        <f>LN_IA2+LN_IA12</f>
        <v>99503449</v>
      </c>
      <c r="E36" s="361">
        <f>D36-C36</f>
        <v>1580319</v>
      </c>
      <c r="F36" s="362">
        <f>IF(C36=0,0,E36/C36)</f>
        <v>1.6138362815812771E-2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621</v>
      </c>
      <c r="C37" s="361">
        <f>C35-C36</f>
        <v>178378962</v>
      </c>
      <c r="D37" s="361">
        <f>LN_IA17-LN_IA18</f>
        <v>217636546</v>
      </c>
      <c r="E37" s="361">
        <f>D37-C37</f>
        <v>39257584</v>
      </c>
      <c r="F37" s="362">
        <f>IF(C37=0,0,E37/C37)</f>
        <v>0.22007967509083273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622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623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603</v>
      </c>
      <c r="C42" s="361">
        <v>134847092</v>
      </c>
      <c r="D42" s="361">
        <v>131955415</v>
      </c>
      <c r="E42" s="361">
        <f t="shared" ref="E42:E53" si="4">D42-C42</f>
        <v>-2891677</v>
      </c>
      <c r="F42" s="362">
        <f t="shared" ref="F42:F53" si="5">IF(C42=0,0,E42/C42)</f>
        <v>-2.1444118349990077E-2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604</v>
      </c>
      <c r="C43" s="361">
        <v>73542341</v>
      </c>
      <c r="D43" s="361">
        <v>65894943</v>
      </c>
      <c r="E43" s="361">
        <f t="shared" si="4"/>
        <v>-7647398</v>
      </c>
      <c r="F43" s="362">
        <f t="shared" si="5"/>
        <v>-0.1039863280936352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605</v>
      </c>
      <c r="C44" s="366">
        <f>IF(C42=0,0,C43/C42)</f>
        <v>0.54537580239401828</v>
      </c>
      <c r="D44" s="366">
        <f>IF(LN_IB1=0,0,LN_IB2/LN_IB1)</f>
        <v>0.49937278436053573</v>
      </c>
      <c r="E44" s="367">
        <f t="shared" si="4"/>
        <v>-4.6003018033482557E-2</v>
      </c>
      <c r="F44" s="362">
        <f t="shared" si="5"/>
        <v>-8.4351043503478912E-2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7052</v>
      </c>
      <c r="D45" s="369">
        <v>6117</v>
      </c>
      <c r="E45" s="369">
        <f t="shared" si="4"/>
        <v>-935</v>
      </c>
      <c r="F45" s="362">
        <f t="shared" si="5"/>
        <v>-0.13258650028360749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606</v>
      </c>
      <c r="C46" s="372">
        <v>0.9718</v>
      </c>
      <c r="D46" s="372">
        <v>1.00613</v>
      </c>
      <c r="E46" s="373">
        <f t="shared" si="4"/>
        <v>3.4329999999999972E-2</v>
      </c>
      <c r="F46" s="362">
        <f t="shared" si="5"/>
        <v>3.5326198806338721E-2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607</v>
      </c>
      <c r="C47" s="376">
        <f>C45*C46</f>
        <v>6853.1336000000001</v>
      </c>
      <c r="D47" s="376">
        <f>LN_IB4*LN_IB5</f>
        <v>6154.4972099999995</v>
      </c>
      <c r="E47" s="376">
        <f t="shared" si="4"/>
        <v>-698.63639000000057</v>
      </c>
      <c r="F47" s="362">
        <f t="shared" si="5"/>
        <v>-0.10194407854532422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608</v>
      </c>
      <c r="C48" s="378">
        <f>IF(C47=0,0,C43/C47)</f>
        <v>10731.199082416837</v>
      </c>
      <c r="D48" s="378">
        <f>IF(LN_IB6=0,0,LN_IB2/LN_IB6)</f>
        <v>10706.7954946721</v>
      </c>
      <c r="E48" s="378">
        <f t="shared" si="4"/>
        <v>-24.403587744736797</v>
      </c>
      <c r="F48" s="362">
        <f t="shared" si="5"/>
        <v>-2.2740783725392149E-3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624</v>
      </c>
      <c r="C49" s="378">
        <f>C21-C48</f>
        <v>-1783.2976035239371</v>
      </c>
      <c r="D49" s="378">
        <f>LN_IA7-LN_IB7</f>
        <v>-1897.0089047126585</v>
      </c>
      <c r="E49" s="378">
        <f t="shared" si="4"/>
        <v>-113.71130118872134</v>
      </c>
      <c r="F49" s="362">
        <f t="shared" si="5"/>
        <v>6.3764624011168308E-2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625</v>
      </c>
      <c r="C50" s="391">
        <f>C49*C47</f>
        <v>-12221176.725509372</v>
      </c>
      <c r="D50" s="391">
        <f>LN_IB8*LN_IB6</f>
        <v>-11675136.011399211</v>
      </c>
      <c r="E50" s="391">
        <f t="shared" si="4"/>
        <v>546040.71411016025</v>
      </c>
      <c r="F50" s="362">
        <f t="shared" si="5"/>
        <v>-4.4679880372763499E-2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24285</v>
      </c>
      <c r="D51" s="369">
        <v>20790</v>
      </c>
      <c r="E51" s="369">
        <f t="shared" si="4"/>
        <v>-3495</v>
      </c>
      <c r="F51" s="362">
        <f t="shared" si="5"/>
        <v>-0.14391599752933909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609</v>
      </c>
      <c r="C52" s="378">
        <f>IF(C51=0,0,C43/C51)</f>
        <v>3028.3031089149681</v>
      </c>
      <c r="D52" s="378">
        <f>IF(LN_IB10=0,0,LN_IB2/LN_IB10)</f>
        <v>3169.5499278499278</v>
      </c>
      <c r="E52" s="378">
        <f t="shared" si="4"/>
        <v>141.24681893495972</v>
      </c>
      <c r="F52" s="362">
        <f t="shared" si="5"/>
        <v>4.6642232912268822E-2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610</v>
      </c>
      <c r="C53" s="379">
        <f>IF(C45=0,0,C51/C45)</f>
        <v>3.4437039137833239</v>
      </c>
      <c r="D53" s="379">
        <f>IF(LN_IB4=0,0,LN_IB10/LN_IB4)</f>
        <v>3.3987248651299655</v>
      </c>
      <c r="E53" s="379">
        <f t="shared" si="4"/>
        <v>-4.4979048653358333E-2</v>
      </c>
      <c r="F53" s="362">
        <f t="shared" si="5"/>
        <v>-1.306124155254202E-2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626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612</v>
      </c>
      <c r="C56" s="361">
        <v>172535305</v>
      </c>
      <c r="D56" s="361">
        <v>193359311</v>
      </c>
      <c r="E56" s="361">
        <f t="shared" ref="E56:E63" si="6">D56-C56</f>
        <v>20824006</v>
      </c>
      <c r="F56" s="362">
        <f t="shared" ref="F56:F63" si="7">IF(C56=0,0,E56/C56)</f>
        <v>0.12069417328818585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613</v>
      </c>
      <c r="C57" s="361">
        <v>101203092</v>
      </c>
      <c r="D57" s="361">
        <v>102580884</v>
      </c>
      <c r="E57" s="361">
        <f t="shared" si="6"/>
        <v>1377792</v>
      </c>
      <c r="F57" s="362">
        <f t="shared" si="7"/>
        <v>1.3614129497150147E-2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614</v>
      </c>
      <c r="C58" s="366">
        <f>IF(C56=0,0,C57/C56)</f>
        <v>0.58656454109493705</v>
      </c>
      <c r="D58" s="366">
        <f>IF(LN_IB13=0,0,LN_IB14/LN_IB13)</f>
        <v>0.53051949486932126</v>
      </c>
      <c r="E58" s="367">
        <f t="shared" si="6"/>
        <v>-5.6045046225615791E-2</v>
      </c>
      <c r="F58" s="362">
        <f t="shared" si="7"/>
        <v>-9.5547961561053094E-2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615</v>
      </c>
      <c r="C59" s="366">
        <f>IF(C42=0,0,C56/C42)</f>
        <v>1.2794885113280752</v>
      </c>
      <c r="D59" s="366">
        <f>IF(LN_IB1=0,0,LN_IB13/LN_IB1)</f>
        <v>1.4653382053324602</v>
      </c>
      <c r="E59" s="367">
        <f t="shared" si="6"/>
        <v>0.185849694004385</v>
      </c>
      <c r="F59" s="362">
        <f t="shared" si="7"/>
        <v>0.14525311666259352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616</v>
      </c>
      <c r="C60" s="376">
        <f>C59*C45</f>
        <v>9022.9529818855863</v>
      </c>
      <c r="D60" s="376">
        <f>LN_IB16*LN_IB4</f>
        <v>8963.4738020186596</v>
      </c>
      <c r="E60" s="376">
        <f t="shared" si="6"/>
        <v>-59.479179866926643</v>
      </c>
      <c r="F60" s="362">
        <f t="shared" si="7"/>
        <v>-6.591986014593737E-3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617</v>
      </c>
      <c r="C61" s="378">
        <f>IF(C60=0,0,C57/C60)</f>
        <v>11216.18301715354</v>
      </c>
      <c r="D61" s="378">
        <f>IF(LN_IB17=0,0,LN_IB14/LN_IB17)</f>
        <v>11444.322398409622</v>
      </c>
      <c r="E61" s="378">
        <f t="shared" si="6"/>
        <v>228.13938125608183</v>
      </c>
      <c r="F61" s="362">
        <f t="shared" si="7"/>
        <v>2.0340197811249641E-2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627</v>
      </c>
      <c r="C62" s="378">
        <f>C32-C61</f>
        <v>-1411.3055458530343</v>
      </c>
      <c r="D62" s="378">
        <f>LN_IA16-LN_IB18</f>
        <v>-1563.6509701372433</v>
      </c>
      <c r="E62" s="378">
        <f t="shared" si="6"/>
        <v>-152.345424284209</v>
      </c>
      <c r="F62" s="362">
        <f t="shared" si="7"/>
        <v>0.10794645052721519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628</v>
      </c>
      <c r="C63" s="361">
        <f>C62*C60</f>
        <v>-12734143.583306301</v>
      </c>
      <c r="D63" s="361">
        <f>LN_IB19*LN_IB17</f>
        <v>-14015744.506326241</v>
      </c>
      <c r="E63" s="361">
        <f t="shared" si="6"/>
        <v>-1281600.92301994</v>
      </c>
      <c r="F63" s="362">
        <f t="shared" si="7"/>
        <v>0.10064288302042095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629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619</v>
      </c>
      <c r="C66" s="361">
        <f>C42+C56</f>
        <v>307382397</v>
      </c>
      <c r="D66" s="361">
        <f>LN_IB1+LN_IB13</f>
        <v>325314726</v>
      </c>
      <c r="E66" s="361">
        <f>D66-C66</f>
        <v>17932329</v>
      </c>
      <c r="F66" s="362">
        <f>IF(C66=0,0,E66/C66)</f>
        <v>5.8338828687057184E-2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620</v>
      </c>
      <c r="C67" s="361">
        <f>C43+C57</f>
        <v>174745433</v>
      </c>
      <c r="D67" s="361">
        <f>LN_IB2+LN_IB14</f>
        <v>168475827</v>
      </c>
      <c r="E67" s="361">
        <f>D67-C67</f>
        <v>-6269606</v>
      </c>
      <c r="F67" s="362">
        <f>IF(C67=0,0,E67/C67)</f>
        <v>-3.5878511342840071E-2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621</v>
      </c>
      <c r="C68" s="361">
        <f>C66-C67</f>
        <v>132636964</v>
      </c>
      <c r="D68" s="361">
        <f>LN_IB21-LN_IB22</f>
        <v>156838899</v>
      </c>
      <c r="E68" s="361">
        <f>D68-C68</f>
        <v>24201935</v>
      </c>
      <c r="F68" s="362">
        <f>IF(C68=0,0,E68/C68)</f>
        <v>0.18246749827597078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630</v>
      </c>
      <c r="C70" s="353">
        <f>C50+C63</f>
        <v>-24955320.308815673</v>
      </c>
      <c r="D70" s="353">
        <f>LN_IB9+LN_IB20</f>
        <v>-25690880.517725453</v>
      </c>
      <c r="E70" s="361">
        <f>D70-C70</f>
        <v>-735560.20890977979</v>
      </c>
      <c r="F70" s="362">
        <f>IF(C70=0,0,E70/C70)</f>
        <v>2.9475085865755733E-2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631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632</v>
      </c>
      <c r="C73" s="400">
        <v>263283167</v>
      </c>
      <c r="D73" s="400">
        <v>278634332</v>
      </c>
      <c r="E73" s="400">
        <f>D73-C73</f>
        <v>15351165</v>
      </c>
      <c r="F73" s="401">
        <f>IF(C73=0,0,E73/C73)</f>
        <v>5.830667100718976E-2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633</v>
      </c>
      <c r="C74" s="400">
        <v>179097364</v>
      </c>
      <c r="D74" s="400">
        <v>175093299</v>
      </c>
      <c r="E74" s="400">
        <f>D74-C74</f>
        <v>-4004065</v>
      </c>
      <c r="F74" s="401">
        <f>IF(C74=0,0,E74/C74)</f>
        <v>-2.2356917547932197E-2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634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635</v>
      </c>
      <c r="C76" s="353">
        <f>C73-C74</f>
        <v>84185803</v>
      </c>
      <c r="D76" s="353">
        <f>LN_IB32-LN_IB33</f>
        <v>103541033</v>
      </c>
      <c r="E76" s="400">
        <f>D76-C76</f>
        <v>19355230</v>
      </c>
      <c r="F76" s="401">
        <f>IF(C76=0,0,E76/C76)</f>
        <v>0.22991085563441141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636</v>
      </c>
      <c r="C77" s="366">
        <f>IF(C73=0,0,C76/C73)</f>
        <v>0.31975383750986253</v>
      </c>
      <c r="D77" s="366">
        <f>IF(LN_IB1=0,0,LN_IB34/LN_IB32)</f>
        <v>0.3716018491217371</v>
      </c>
      <c r="E77" s="405">
        <f>D77-C77</f>
        <v>5.1848011611874578E-2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637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638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603</v>
      </c>
      <c r="C83" s="361">
        <v>11981423</v>
      </c>
      <c r="D83" s="361">
        <v>10004655</v>
      </c>
      <c r="E83" s="361">
        <f t="shared" ref="E83:E95" si="8">D83-C83</f>
        <v>-1976768</v>
      </c>
      <c r="F83" s="362">
        <f t="shared" ref="F83:F95" si="9">IF(C83=0,0,E83/C83)</f>
        <v>-0.1649860788655905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604</v>
      </c>
      <c r="C84" s="361">
        <v>944700</v>
      </c>
      <c r="D84" s="361">
        <v>864294</v>
      </c>
      <c r="E84" s="361">
        <f t="shared" si="8"/>
        <v>-80406</v>
      </c>
      <c r="F84" s="362">
        <f t="shared" si="9"/>
        <v>-8.5112734201333751E-2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605</v>
      </c>
      <c r="C85" s="366">
        <f>IF(C83=0,0,C84/C83)</f>
        <v>7.8847061822289385E-2</v>
      </c>
      <c r="D85" s="366">
        <f>IF(LN_IC1=0,0,LN_IC2/LN_IC1)</f>
        <v>8.638918583399427E-2</v>
      </c>
      <c r="E85" s="367">
        <f t="shared" si="8"/>
        <v>7.5421240117048843E-3</v>
      </c>
      <c r="F85" s="362">
        <f t="shared" si="9"/>
        <v>9.5655105433146162E-2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527</v>
      </c>
      <c r="D86" s="369">
        <v>426</v>
      </c>
      <c r="E86" s="369">
        <f t="shared" si="8"/>
        <v>-101</v>
      </c>
      <c r="F86" s="362">
        <f t="shared" si="9"/>
        <v>-0.19165085388994307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606</v>
      </c>
      <c r="C87" s="372">
        <v>1.0489999999999999</v>
      </c>
      <c r="D87" s="372">
        <v>1.0328200000000001</v>
      </c>
      <c r="E87" s="373">
        <f t="shared" si="8"/>
        <v>-1.6179999999999861E-2</v>
      </c>
      <c r="F87" s="362">
        <f t="shared" si="9"/>
        <v>-1.542421353670149E-2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607</v>
      </c>
      <c r="C88" s="376">
        <f>C86*C87</f>
        <v>552.82299999999998</v>
      </c>
      <c r="D88" s="376">
        <f>LN_IC4*LN_IC5</f>
        <v>439.98132000000004</v>
      </c>
      <c r="E88" s="376">
        <f t="shared" si="8"/>
        <v>-112.84167999999994</v>
      </c>
      <c r="F88" s="362">
        <f t="shared" si="9"/>
        <v>-0.2041190037317549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608</v>
      </c>
      <c r="C89" s="378">
        <f>IF(C88=0,0,C84/C88)</f>
        <v>1708.8652244931923</v>
      </c>
      <c r="D89" s="378">
        <f>IF(LN_IC6=0,0,LN_IC2/LN_IC6)</f>
        <v>1964.3879426517469</v>
      </c>
      <c r="E89" s="378">
        <f t="shared" si="8"/>
        <v>255.52271815855465</v>
      </c>
      <c r="F89" s="362">
        <f t="shared" si="9"/>
        <v>0.14952771845090151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639</v>
      </c>
      <c r="C90" s="378">
        <f>C48-C89</f>
        <v>9022.3338579236442</v>
      </c>
      <c r="D90" s="378">
        <f>LN_IB7-LN_IC7</f>
        <v>8742.4075520203533</v>
      </c>
      <c r="E90" s="378">
        <f t="shared" si="8"/>
        <v>-279.926305903291</v>
      </c>
      <c r="F90" s="362">
        <f t="shared" si="9"/>
        <v>-3.1025930796991352E-2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640</v>
      </c>
      <c r="C91" s="378">
        <f>C21-C89</f>
        <v>7239.0362543997071</v>
      </c>
      <c r="D91" s="378">
        <f>LN_IA7-LN_IC7</f>
        <v>6845.3986473076948</v>
      </c>
      <c r="E91" s="378">
        <f t="shared" si="8"/>
        <v>-393.63760709201233</v>
      </c>
      <c r="F91" s="362">
        <f t="shared" si="9"/>
        <v>-5.4377073585281349E-2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625</v>
      </c>
      <c r="C92" s="353">
        <f>C91*C88</f>
        <v>4001905.7392660091</v>
      </c>
      <c r="D92" s="353">
        <f>LN_IC9*LN_IC6</f>
        <v>3011847.5327686542</v>
      </c>
      <c r="E92" s="353">
        <f t="shared" si="8"/>
        <v>-990058.2064973549</v>
      </c>
      <c r="F92" s="362">
        <f t="shared" si="9"/>
        <v>-0.24739668323096031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2115</v>
      </c>
      <c r="D93" s="369">
        <v>1527</v>
      </c>
      <c r="E93" s="369">
        <f t="shared" si="8"/>
        <v>-588</v>
      </c>
      <c r="F93" s="362">
        <f t="shared" si="9"/>
        <v>-0.27801418439716313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609</v>
      </c>
      <c r="C94" s="411">
        <f>IF(C93=0,0,C84/C93)</f>
        <v>446.66666666666669</v>
      </c>
      <c r="D94" s="411">
        <f>IF(LN_IC11=0,0,LN_IC2/LN_IC11)</f>
        <v>566.0078585461689</v>
      </c>
      <c r="E94" s="411">
        <f t="shared" si="8"/>
        <v>119.34119187950222</v>
      </c>
      <c r="F94" s="362">
        <f t="shared" si="9"/>
        <v>0.26718177286455719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610</v>
      </c>
      <c r="C95" s="379">
        <f>IF(C86=0,0,C93/C86)</f>
        <v>4.0132827324478182</v>
      </c>
      <c r="D95" s="379">
        <f>IF(LN_IC4=0,0,LN_IC11/LN_IC4)</f>
        <v>3.584507042253521</v>
      </c>
      <c r="E95" s="379">
        <f t="shared" si="8"/>
        <v>-0.42877569019429718</v>
      </c>
      <c r="F95" s="362">
        <f t="shared" si="9"/>
        <v>-0.1068391436086972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641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612</v>
      </c>
      <c r="C98" s="361">
        <v>21280485</v>
      </c>
      <c r="D98" s="361">
        <v>23606244</v>
      </c>
      <c r="E98" s="361">
        <f t="shared" ref="E98:E106" si="10">D98-C98</f>
        <v>2325759</v>
      </c>
      <c r="F98" s="362">
        <f t="shared" ref="F98:F106" si="11">IF(C98=0,0,E98/C98)</f>
        <v>0.10929069520736957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613</v>
      </c>
      <c r="C99" s="361">
        <v>2169940</v>
      </c>
      <c r="D99" s="361">
        <v>1670341</v>
      </c>
      <c r="E99" s="361">
        <f t="shared" si="10"/>
        <v>-499599</v>
      </c>
      <c r="F99" s="362">
        <f t="shared" si="11"/>
        <v>-0.23023631989824603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614</v>
      </c>
      <c r="C100" s="366">
        <f>IF(C98=0,0,C99/C98)</f>
        <v>0.10196854066060994</v>
      </c>
      <c r="D100" s="366">
        <f>IF(LN_IC14=0,0,LN_IC15/LN_IC14)</f>
        <v>7.075844001273561E-2</v>
      </c>
      <c r="E100" s="367">
        <f t="shared" si="10"/>
        <v>-3.1210100647874328E-2</v>
      </c>
      <c r="F100" s="362">
        <f t="shared" si="11"/>
        <v>-0.3060757802914274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615</v>
      </c>
      <c r="C101" s="366">
        <f>IF(C83=0,0,C98/C83)</f>
        <v>1.7761233369358549</v>
      </c>
      <c r="D101" s="366">
        <f>IF(LN_IC1=0,0,LN_IC14/LN_IC1)</f>
        <v>2.3595260406280878</v>
      </c>
      <c r="E101" s="367">
        <f t="shared" si="10"/>
        <v>0.5834027036922329</v>
      </c>
      <c r="F101" s="362">
        <f t="shared" si="11"/>
        <v>0.32846970227794636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616</v>
      </c>
      <c r="C102" s="376">
        <f>C101*C86</f>
        <v>936.01699856519554</v>
      </c>
      <c r="D102" s="376">
        <f>LN_IC17*LN_IC4</f>
        <v>1005.1580933075654</v>
      </c>
      <c r="E102" s="376">
        <f t="shared" si="10"/>
        <v>69.141094742369887</v>
      </c>
      <c r="F102" s="362">
        <f t="shared" si="11"/>
        <v>7.3867349469459512E-2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617</v>
      </c>
      <c r="C103" s="378">
        <f>IF(C102=0,0,C99/C102)</f>
        <v>2318.2698640369395</v>
      </c>
      <c r="D103" s="378">
        <f>IF(LN_IC18=0,0,LN_IC15/LN_IC18)</f>
        <v>1661.7694381821957</v>
      </c>
      <c r="E103" s="378">
        <f t="shared" si="10"/>
        <v>-656.50042585474375</v>
      </c>
      <c r="F103" s="362">
        <f t="shared" si="11"/>
        <v>-0.28318550658789182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642</v>
      </c>
      <c r="C104" s="378">
        <f>C61-C103</f>
        <v>8897.9131531166004</v>
      </c>
      <c r="D104" s="378">
        <f>LN_IB18-LN_IC19</f>
        <v>9782.5529602274255</v>
      </c>
      <c r="E104" s="378">
        <f t="shared" si="10"/>
        <v>884.63980711082513</v>
      </c>
      <c r="F104" s="362">
        <f t="shared" si="11"/>
        <v>9.9421043101659126E-2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643</v>
      </c>
      <c r="C105" s="378">
        <f>C32-C103</f>
        <v>7486.607607263566</v>
      </c>
      <c r="D105" s="378">
        <f>LN_IA16-LN_IC19</f>
        <v>8218.901990090184</v>
      </c>
      <c r="E105" s="378">
        <f t="shared" si="10"/>
        <v>732.29438282661795</v>
      </c>
      <c r="F105" s="362">
        <f t="shared" si="11"/>
        <v>9.781391268805649E-2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628</v>
      </c>
      <c r="C106" s="361">
        <f>C105*C102</f>
        <v>7007591.9819862032</v>
      </c>
      <c r="D106" s="361">
        <f>LN_IC21*LN_IC18</f>
        <v>8261295.8534408044</v>
      </c>
      <c r="E106" s="361">
        <f t="shared" si="10"/>
        <v>1253703.8714546012</v>
      </c>
      <c r="F106" s="362">
        <f t="shared" si="11"/>
        <v>0.17890651662901991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644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619</v>
      </c>
      <c r="C109" s="361">
        <f>C83+C98</f>
        <v>33261908</v>
      </c>
      <c r="D109" s="361">
        <f>LN_IC1+LN_IC14</f>
        <v>33610899</v>
      </c>
      <c r="E109" s="361">
        <f>D109-C109</f>
        <v>348991</v>
      </c>
      <c r="F109" s="362">
        <f>IF(C109=0,0,E109/C109)</f>
        <v>1.0492212292812548E-2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620</v>
      </c>
      <c r="C110" s="361">
        <f>C84+C99</f>
        <v>3114640</v>
      </c>
      <c r="D110" s="361">
        <f>LN_IC2+LN_IC15</f>
        <v>2534635</v>
      </c>
      <c r="E110" s="361">
        <f>D110-C110</f>
        <v>-580005</v>
      </c>
      <c r="F110" s="362">
        <f>IF(C110=0,0,E110/C110)</f>
        <v>-0.18621895307322836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621</v>
      </c>
      <c r="C111" s="361">
        <f>C109-C110</f>
        <v>30147268</v>
      </c>
      <c r="D111" s="361">
        <f>LN_IC23-LN_IC24</f>
        <v>31076264</v>
      </c>
      <c r="E111" s="361">
        <f>D111-C111</f>
        <v>928996</v>
      </c>
      <c r="F111" s="362">
        <f>IF(C111=0,0,E111/C111)</f>
        <v>3.0815263260339211E-2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630</v>
      </c>
      <c r="C113" s="361">
        <f>C92+C106</f>
        <v>11009497.721252212</v>
      </c>
      <c r="D113" s="361">
        <f>LN_IC10+LN_IC22</f>
        <v>11273143.386209458</v>
      </c>
      <c r="E113" s="361">
        <f>D113-C113</f>
        <v>263645.66495724581</v>
      </c>
      <c r="F113" s="362">
        <f>IF(C113=0,0,E113/C113)</f>
        <v>2.3947111088303032E-2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645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646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603</v>
      </c>
      <c r="C118" s="361">
        <v>36307468</v>
      </c>
      <c r="D118" s="361">
        <v>52751440</v>
      </c>
      <c r="E118" s="361">
        <f t="shared" ref="E118:E130" si="12">D118-C118</f>
        <v>16443972</v>
      </c>
      <c r="F118" s="362">
        <f t="shared" ref="F118:F130" si="13">IF(C118=0,0,E118/C118)</f>
        <v>0.45290880652983018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604</v>
      </c>
      <c r="C119" s="361">
        <v>11105341</v>
      </c>
      <c r="D119" s="361">
        <v>13969936</v>
      </c>
      <c r="E119" s="361">
        <f t="shared" si="12"/>
        <v>2864595</v>
      </c>
      <c r="F119" s="362">
        <f t="shared" si="13"/>
        <v>0.25794750471867545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605</v>
      </c>
      <c r="C120" s="366">
        <f>IF(C118=0,0,C119/C118)</f>
        <v>0.30586933244697756</v>
      </c>
      <c r="D120" s="366">
        <f>IF(LN_ID1=0,0,LN_1D2/LN_ID1)</f>
        <v>0.264825680588056</v>
      </c>
      <c r="E120" s="367">
        <f t="shared" si="12"/>
        <v>-4.1043651858921559E-2</v>
      </c>
      <c r="F120" s="362">
        <f t="shared" si="13"/>
        <v>-0.13418688147180127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2254</v>
      </c>
      <c r="D121" s="369">
        <v>2458</v>
      </c>
      <c r="E121" s="369">
        <f t="shared" si="12"/>
        <v>204</v>
      </c>
      <c r="F121" s="362">
        <f t="shared" si="13"/>
        <v>9.0505767524401065E-2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606</v>
      </c>
      <c r="C122" s="372">
        <v>0.79590000000000005</v>
      </c>
      <c r="D122" s="372">
        <v>0.89512000000000003</v>
      </c>
      <c r="E122" s="373">
        <f t="shared" si="12"/>
        <v>9.9219999999999975E-2</v>
      </c>
      <c r="F122" s="362">
        <f t="shared" si="13"/>
        <v>0.12466390250031407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607</v>
      </c>
      <c r="C123" s="376">
        <f>C121*C122</f>
        <v>1793.9586000000002</v>
      </c>
      <c r="D123" s="376">
        <f>LN_ID4*LN_ID5</f>
        <v>2200.20496</v>
      </c>
      <c r="E123" s="376">
        <f t="shared" si="12"/>
        <v>406.24635999999987</v>
      </c>
      <c r="F123" s="362">
        <f t="shared" si="13"/>
        <v>0.22645247220309311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608</v>
      </c>
      <c r="C124" s="378">
        <f>IF(C123=0,0,C119/C123)</f>
        <v>6190.410971579834</v>
      </c>
      <c r="D124" s="378">
        <f>IF(LN_ID6=0,0,LN_1D2/LN_ID6)</f>
        <v>6349.3793778194195</v>
      </c>
      <c r="E124" s="378">
        <f t="shared" si="12"/>
        <v>158.96840623958542</v>
      </c>
      <c r="F124" s="362">
        <f t="shared" si="13"/>
        <v>2.5679782322919932E-2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647</v>
      </c>
      <c r="C125" s="378">
        <f>C48-C124</f>
        <v>4540.7881108370029</v>
      </c>
      <c r="D125" s="378">
        <f>LN_IB7-LN_ID7</f>
        <v>4357.4161168526807</v>
      </c>
      <c r="E125" s="378">
        <f t="shared" si="12"/>
        <v>-183.37199398432222</v>
      </c>
      <c r="F125" s="362">
        <f t="shared" si="13"/>
        <v>-4.0383296799665305E-2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648</v>
      </c>
      <c r="C126" s="378">
        <f>C21-C124</f>
        <v>2757.4905073130658</v>
      </c>
      <c r="D126" s="378">
        <f>LN_IA7-LN_ID7</f>
        <v>2460.4072121400222</v>
      </c>
      <c r="E126" s="378">
        <f t="shared" si="12"/>
        <v>-297.08329517304355</v>
      </c>
      <c r="F126" s="362">
        <f t="shared" si="13"/>
        <v>-0.10773683332187618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625</v>
      </c>
      <c r="C127" s="391">
        <f>C126*C123</f>
        <v>4946823.8100126376</v>
      </c>
      <c r="D127" s="391">
        <f>LN_ID9*LN_ID6</f>
        <v>5413400.151770249</v>
      </c>
      <c r="E127" s="391">
        <f t="shared" si="12"/>
        <v>466576.34175761137</v>
      </c>
      <c r="F127" s="362">
        <f t="shared" si="13"/>
        <v>9.4318366628145467E-2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8186</v>
      </c>
      <c r="D128" s="369">
        <v>9876</v>
      </c>
      <c r="E128" s="369">
        <f t="shared" si="12"/>
        <v>1690</v>
      </c>
      <c r="F128" s="362">
        <f t="shared" si="13"/>
        <v>0.20645003664793549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609</v>
      </c>
      <c r="C129" s="378">
        <f>IF(C128=0,0,C119/C128)</f>
        <v>1356.6260688981188</v>
      </c>
      <c r="D129" s="378">
        <f>IF(LN_ID11=0,0,LN_1D2/LN_ID11)</f>
        <v>1414.5338193600649</v>
      </c>
      <c r="E129" s="378">
        <f t="shared" si="12"/>
        <v>57.90775046194608</v>
      </c>
      <c r="F129" s="362">
        <f t="shared" si="13"/>
        <v>4.2685122886500344E-2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610</v>
      </c>
      <c r="C130" s="379">
        <f>IF(C121=0,0,C128/C121)</f>
        <v>3.6317657497781721</v>
      </c>
      <c r="D130" s="379">
        <f>IF(LN_ID4=0,0,LN_ID11/LN_ID4)</f>
        <v>4.0179007323026852</v>
      </c>
      <c r="E130" s="379">
        <f t="shared" si="12"/>
        <v>0.38613498252451306</v>
      </c>
      <c r="F130" s="362">
        <f t="shared" si="13"/>
        <v>0.10632155516861135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649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612</v>
      </c>
      <c r="C133" s="361">
        <v>24443900</v>
      </c>
      <c r="D133" s="361">
        <v>35764665</v>
      </c>
      <c r="E133" s="361">
        <f t="shared" ref="E133:E141" si="14">D133-C133</f>
        <v>11320765</v>
      </c>
      <c r="F133" s="362">
        <f t="shared" ref="F133:F141" si="15">IF(C133=0,0,E133/C133)</f>
        <v>0.4631325197697585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613</v>
      </c>
      <c r="C134" s="361">
        <v>6161426</v>
      </c>
      <c r="D134" s="361">
        <v>8956356</v>
      </c>
      <c r="E134" s="361">
        <f t="shared" si="14"/>
        <v>2794930</v>
      </c>
      <c r="F134" s="362">
        <f t="shared" si="15"/>
        <v>0.4536173931164636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614</v>
      </c>
      <c r="C135" s="366">
        <f>IF(C133=0,0,C134/C133)</f>
        <v>0.25206395051526148</v>
      </c>
      <c r="D135" s="366">
        <f>IF(LN_ID14=0,0,LN_ID15/LN_ID14)</f>
        <v>0.25042471389009235</v>
      </c>
      <c r="E135" s="367">
        <f t="shared" si="14"/>
        <v>-1.639236625169127E-3</v>
      </c>
      <c r="F135" s="362">
        <f t="shared" si="15"/>
        <v>-6.5032568989665095E-3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615</v>
      </c>
      <c r="C136" s="366">
        <f>IF(C118=0,0,C133/C118)</f>
        <v>0.67324716777275684</v>
      </c>
      <c r="D136" s="366">
        <f>IF(LN_ID1=0,0,LN_ID14/LN_ID1)</f>
        <v>0.67798461994591996</v>
      </c>
      <c r="E136" s="367">
        <f t="shared" si="14"/>
        <v>4.7374521731631258E-3</v>
      </c>
      <c r="F136" s="362">
        <f t="shared" si="15"/>
        <v>7.0367205388113451E-3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616</v>
      </c>
      <c r="C137" s="376">
        <f>C136*C121</f>
        <v>1517.4991161597939</v>
      </c>
      <c r="D137" s="376">
        <f>LN_ID17*LN_ID4</f>
        <v>1666.4861958270712</v>
      </c>
      <c r="E137" s="376">
        <f t="shared" si="14"/>
        <v>148.98707966727738</v>
      </c>
      <c r="F137" s="362">
        <f t="shared" si="15"/>
        <v>9.817935185643227E-2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617</v>
      </c>
      <c r="C138" s="378">
        <f>IF(C137=0,0,C134/C137)</f>
        <v>4060.2501407659447</v>
      </c>
      <c r="D138" s="378">
        <f>IF(LN_ID18=0,0,LN_ID15/LN_ID18)</f>
        <v>5374.3955530066614</v>
      </c>
      <c r="E138" s="378">
        <f t="shared" si="14"/>
        <v>1314.1454122407167</v>
      </c>
      <c r="F138" s="362">
        <f t="shared" si="15"/>
        <v>0.32366119492155482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650</v>
      </c>
      <c r="C139" s="378">
        <f>C61-C138</f>
        <v>7155.9328763875956</v>
      </c>
      <c r="D139" s="378">
        <f>LN_IB18-LN_ID19</f>
        <v>6069.9268454029607</v>
      </c>
      <c r="E139" s="378">
        <f t="shared" si="14"/>
        <v>-1086.0060309846349</v>
      </c>
      <c r="F139" s="362">
        <f t="shared" si="15"/>
        <v>-0.15176302653258877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651</v>
      </c>
      <c r="C140" s="378">
        <f>C32-C138</f>
        <v>5744.6273305345612</v>
      </c>
      <c r="D140" s="378">
        <f>LN_IA16-LN_ID19</f>
        <v>4506.2758752657173</v>
      </c>
      <c r="E140" s="378">
        <f t="shared" si="14"/>
        <v>-1238.3514552688439</v>
      </c>
      <c r="F140" s="362">
        <f t="shared" si="15"/>
        <v>-0.21556689129103354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628</v>
      </c>
      <c r="C141" s="353">
        <f>C140*C137</f>
        <v>8717466.8967535924</v>
      </c>
      <c r="D141" s="353">
        <f>LN_ID21*LN_ID18</f>
        <v>7509646.5407188712</v>
      </c>
      <c r="E141" s="353">
        <f t="shared" si="14"/>
        <v>-1207820.3560347212</v>
      </c>
      <c r="F141" s="362">
        <f t="shared" si="15"/>
        <v>-0.1385517571032609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652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619</v>
      </c>
      <c r="C144" s="361">
        <f>C118+C133</f>
        <v>60751368</v>
      </c>
      <c r="D144" s="361">
        <f>LN_ID1+LN_ID14</f>
        <v>88516105</v>
      </c>
      <c r="E144" s="361">
        <f>D144-C144</f>
        <v>27764737</v>
      </c>
      <c r="F144" s="362">
        <f>IF(C144=0,0,E144/C144)</f>
        <v>0.45702241635118407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620</v>
      </c>
      <c r="C145" s="361">
        <f>C119+C134</f>
        <v>17266767</v>
      </c>
      <c r="D145" s="361">
        <f>LN_1D2+LN_ID15</f>
        <v>22926292</v>
      </c>
      <c r="E145" s="361">
        <f>D145-C145</f>
        <v>5659525</v>
      </c>
      <c r="F145" s="362">
        <f>IF(C145=0,0,E145/C145)</f>
        <v>0.32776981353834217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621</v>
      </c>
      <c r="C146" s="361">
        <f>C144-C145</f>
        <v>43484601</v>
      </c>
      <c r="D146" s="361">
        <f>LN_ID23-LN_ID24</f>
        <v>65589813</v>
      </c>
      <c r="E146" s="361">
        <f>D146-C146</f>
        <v>22105212</v>
      </c>
      <c r="F146" s="362">
        <f>IF(C146=0,0,E146/C146)</f>
        <v>0.50834574749806261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630</v>
      </c>
      <c r="C148" s="361">
        <f>C127+C141</f>
        <v>13664290.706766229</v>
      </c>
      <c r="D148" s="361">
        <f>LN_ID10+LN_ID22</f>
        <v>12923046.692489121</v>
      </c>
      <c r="E148" s="361">
        <f>D148-C148</f>
        <v>-741244.01427710801</v>
      </c>
      <c r="F148" s="415">
        <f>IF(C148=0,0,E148/C148)</f>
        <v>-5.4246797743410256E-2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653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654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603</v>
      </c>
      <c r="C153" s="361">
        <v>11545194</v>
      </c>
      <c r="D153" s="361">
        <v>5755112</v>
      </c>
      <c r="E153" s="361">
        <f t="shared" ref="E153:E165" si="16">D153-C153</f>
        <v>-5790082</v>
      </c>
      <c r="F153" s="362">
        <f t="shared" ref="F153:F165" si="17">IF(C153=0,0,E153/C153)</f>
        <v>-0.50151448299612811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604</v>
      </c>
      <c r="C154" s="361">
        <v>1947817</v>
      </c>
      <c r="D154" s="361">
        <v>1738197</v>
      </c>
      <c r="E154" s="361">
        <f t="shared" si="16"/>
        <v>-209620</v>
      </c>
      <c r="F154" s="362">
        <f t="shared" si="17"/>
        <v>-0.10761791277106628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605</v>
      </c>
      <c r="C155" s="366">
        <f>IF(C153=0,0,C154/C153)</f>
        <v>0.16871236637513409</v>
      </c>
      <c r="D155" s="366">
        <f>IF(LN_IE1=0,0,LN_IE2/LN_IE1)</f>
        <v>0.30202661564188499</v>
      </c>
      <c r="E155" s="367">
        <f t="shared" si="16"/>
        <v>0.13331424926675089</v>
      </c>
      <c r="F155" s="362">
        <f t="shared" si="17"/>
        <v>0.79018658875499959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476</v>
      </c>
      <c r="D156" s="419">
        <v>215</v>
      </c>
      <c r="E156" s="419">
        <f t="shared" si="16"/>
        <v>-261</v>
      </c>
      <c r="F156" s="362">
        <f t="shared" si="17"/>
        <v>-0.54831932773109249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606</v>
      </c>
      <c r="C157" s="372">
        <v>1.0449999999999999</v>
      </c>
      <c r="D157" s="372">
        <v>0.99489000000000005</v>
      </c>
      <c r="E157" s="373">
        <f t="shared" si="16"/>
        <v>-5.0109999999999877E-2</v>
      </c>
      <c r="F157" s="362">
        <f t="shared" si="17"/>
        <v>-4.7952153110047732E-2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607</v>
      </c>
      <c r="C158" s="376">
        <f>C156*C157</f>
        <v>497.41999999999996</v>
      </c>
      <c r="D158" s="376">
        <f>LN_IE4*LN_IE5</f>
        <v>213.90135000000001</v>
      </c>
      <c r="E158" s="376">
        <f t="shared" si="16"/>
        <v>-283.51864999999998</v>
      </c>
      <c r="F158" s="362">
        <f t="shared" si="17"/>
        <v>-0.56997838848458049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608</v>
      </c>
      <c r="C159" s="378">
        <f>IF(C158=0,0,C154/C158)</f>
        <v>3915.8397330223961</v>
      </c>
      <c r="D159" s="378">
        <f>IF(LN_IE6=0,0,LN_IE2/LN_IE6)</f>
        <v>8126.1618965939206</v>
      </c>
      <c r="E159" s="378">
        <f t="shared" si="16"/>
        <v>4210.3221635715245</v>
      </c>
      <c r="F159" s="362">
        <f t="shared" si="17"/>
        <v>1.0752028812787584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655</v>
      </c>
      <c r="C160" s="378">
        <f>C48-C159</f>
        <v>6815.3593493944409</v>
      </c>
      <c r="D160" s="378">
        <f>LN_IB7-LN_IE7</f>
        <v>2580.6335980781796</v>
      </c>
      <c r="E160" s="378">
        <f t="shared" si="16"/>
        <v>-4234.7257513162613</v>
      </c>
      <c r="F160" s="362">
        <f t="shared" si="17"/>
        <v>-0.62135032567175286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656</v>
      </c>
      <c r="C161" s="378">
        <f>C21-C159</f>
        <v>5032.0617458705037</v>
      </c>
      <c r="D161" s="378">
        <f>LN_IA7-LN_IE7</f>
        <v>683.62469336552113</v>
      </c>
      <c r="E161" s="378">
        <f t="shared" si="16"/>
        <v>-4348.4370525049826</v>
      </c>
      <c r="F161" s="362">
        <f t="shared" si="17"/>
        <v>-0.8641462033079127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625</v>
      </c>
      <c r="C162" s="391">
        <f>C161*C158</f>
        <v>2503048.1536309058</v>
      </c>
      <c r="D162" s="391">
        <f>LN_IE9*LN_IE6</f>
        <v>146228.24480422103</v>
      </c>
      <c r="E162" s="391">
        <f t="shared" si="16"/>
        <v>-2356819.9088266846</v>
      </c>
      <c r="F162" s="362">
        <f t="shared" si="17"/>
        <v>-0.9415799314159804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2331</v>
      </c>
      <c r="D163" s="369">
        <v>1059</v>
      </c>
      <c r="E163" s="419">
        <f t="shared" si="16"/>
        <v>-1272</v>
      </c>
      <c r="F163" s="362">
        <f t="shared" si="17"/>
        <v>-0.54568854568854563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609</v>
      </c>
      <c r="C164" s="378">
        <f>IF(C163=0,0,C154/C163)</f>
        <v>835.61432861432866</v>
      </c>
      <c r="D164" s="378">
        <f>IF(LN_IE11=0,0,LN_IE2/LN_IE11)</f>
        <v>1641.3569405099149</v>
      </c>
      <c r="E164" s="378">
        <f t="shared" si="16"/>
        <v>805.74261189558626</v>
      </c>
      <c r="F164" s="362">
        <f t="shared" si="17"/>
        <v>0.96425178973620806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610</v>
      </c>
      <c r="C165" s="379">
        <f>IF(C156=0,0,C163/C156)</f>
        <v>4.8970588235294121</v>
      </c>
      <c r="D165" s="379">
        <f>IF(LN_IE4=0,0,LN_IE11/LN_IE4)</f>
        <v>4.9255813953488374</v>
      </c>
      <c r="E165" s="379">
        <f t="shared" si="16"/>
        <v>2.8522571819425302E-2</v>
      </c>
      <c r="F165" s="362">
        <f t="shared" si="17"/>
        <v>5.824429080243004E-3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657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612</v>
      </c>
      <c r="C168" s="424">
        <v>5610530</v>
      </c>
      <c r="D168" s="424">
        <v>3772821</v>
      </c>
      <c r="E168" s="424">
        <f t="shared" ref="E168:E176" si="18">D168-C168</f>
        <v>-1837709</v>
      </c>
      <c r="F168" s="362">
        <f t="shared" ref="F168:F176" si="19">IF(C168=0,0,E168/C168)</f>
        <v>-0.32754641718340333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613</v>
      </c>
      <c r="C169" s="424">
        <v>834072</v>
      </c>
      <c r="D169" s="424">
        <v>618732</v>
      </c>
      <c r="E169" s="424">
        <f t="shared" si="18"/>
        <v>-215340</v>
      </c>
      <c r="F169" s="362">
        <f t="shared" si="19"/>
        <v>-0.25817915000143871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614</v>
      </c>
      <c r="C170" s="366">
        <f>IF(C168=0,0,C169/C168)</f>
        <v>0.14866189112258557</v>
      </c>
      <c r="D170" s="366">
        <f>IF(LN_IE14=0,0,LN_IE15/LN_IE14)</f>
        <v>0.16399717876888409</v>
      </c>
      <c r="E170" s="367">
        <f t="shared" si="18"/>
        <v>1.5335287646298518E-2</v>
      </c>
      <c r="F170" s="362">
        <f t="shared" si="19"/>
        <v>0.10315547266685277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615</v>
      </c>
      <c r="C171" s="366">
        <f>IF(C153=0,0,C168/C153)</f>
        <v>0.48596238400151615</v>
      </c>
      <c r="D171" s="366">
        <f>IF(LN_IE1=0,0,LN_IE14/LN_IE1)</f>
        <v>0.65555996130049254</v>
      </c>
      <c r="E171" s="367">
        <f t="shared" si="18"/>
        <v>0.1695975772989764</v>
      </c>
      <c r="F171" s="362">
        <f t="shared" si="19"/>
        <v>0.34899322022102697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616</v>
      </c>
      <c r="C172" s="376">
        <f>C171*C156</f>
        <v>231.31809478472169</v>
      </c>
      <c r="D172" s="376">
        <f>LN_IE17*LN_IE4</f>
        <v>140.9453916796059</v>
      </c>
      <c r="E172" s="376">
        <f t="shared" si="18"/>
        <v>-90.372703105115789</v>
      </c>
      <c r="F172" s="362">
        <f t="shared" si="19"/>
        <v>-0.39068583540436808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617</v>
      </c>
      <c r="C173" s="378">
        <f>IF(C172=0,0,C169/C172)</f>
        <v>3605.7360786074119</v>
      </c>
      <c r="D173" s="378">
        <f>IF(LN_IE18=0,0,LN_IE15/LN_IE18)</f>
        <v>4389.8703790648833</v>
      </c>
      <c r="E173" s="378">
        <f t="shared" si="18"/>
        <v>784.13430045747145</v>
      </c>
      <c r="F173" s="362">
        <f t="shared" si="19"/>
        <v>0.21746857877638001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658</v>
      </c>
      <c r="C174" s="378">
        <f>C61-C173</f>
        <v>7610.4469385461289</v>
      </c>
      <c r="D174" s="378">
        <f>LN_IB18-LN_IE19</f>
        <v>7054.4520193447388</v>
      </c>
      <c r="E174" s="378">
        <f t="shared" si="18"/>
        <v>-555.99491920139008</v>
      </c>
      <c r="F174" s="362">
        <f t="shared" si="19"/>
        <v>-7.3056802536173415E-2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659</v>
      </c>
      <c r="C175" s="378">
        <f>C32-C173</f>
        <v>6199.1413926930945</v>
      </c>
      <c r="D175" s="378">
        <f>LN_IA16-LN_IE19</f>
        <v>5490.8010492074955</v>
      </c>
      <c r="E175" s="378">
        <f t="shared" si="18"/>
        <v>-708.34034348559908</v>
      </c>
      <c r="F175" s="362">
        <f t="shared" si="19"/>
        <v>-0.1142642663902645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628</v>
      </c>
      <c r="C176" s="353">
        <f>C175*C172</f>
        <v>1433973.5762588729</v>
      </c>
      <c r="D176" s="353">
        <f>LN_IE21*LN_IE18</f>
        <v>773903.10451534146</v>
      </c>
      <c r="E176" s="353">
        <f t="shared" si="18"/>
        <v>-660070.47174353141</v>
      </c>
      <c r="F176" s="362">
        <f t="shared" si="19"/>
        <v>-0.46030867142308485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660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619</v>
      </c>
      <c r="C179" s="361">
        <f>C153+C168</f>
        <v>17155724</v>
      </c>
      <c r="D179" s="361">
        <f>LN_IE1+LN_IE14</f>
        <v>9527933</v>
      </c>
      <c r="E179" s="361">
        <f>D179-C179</f>
        <v>-7627791</v>
      </c>
      <c r="F179" s="362">
        <f>IF(C179=0,0,E179/C179)</f>
        <v>-0.44462075748012736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620</v>
      </c>
      <c r="C180" s="361">
        <f>C154+C169</f>
        <v>2781889</v>
      </c>
      <c r="D180" s="361">
        <f>LN_IE15+LN_IE2</f>
        <v>2356929</v>
      </c>
      <c r="E180" s="361">
        <f>D180-C180</f>
        <v>-424960</v>
      </c>
      <c r="F180" s="362">
        <f>IF(C180=0,0,E180/C180)</f>
        <v>-0.15275950981509326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621</v>
      </c>
      <c r="C181" s="361">
        <f>C179-C180</f>
        <v>14373835</v>
      </c>
      <c r="D181" s="361">
        <f>LN_IE23-LN_IE24</f>
        <v>7171004</v>
      </c>
      <c r="E181" s="361">
        <f>D181-C181</f>
        <v>-7202831</v>
      </c>
      <c r="F181" s="362">
        <f>IF(C181=0,0,E181/C181)</f>
        <v>-0.50110711581147271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661</v>
      </c>
      <c r="C183" s="361">
        <f>C162+C176</f>
        <v>3937021.7298897784</v>
      </c>
      <c r="D183" s="361">
        <f>LN_IE10+LN_IE22</f>
        <v>920131.34931956255</v>
      </c>
      <c r="E183" s="353">
        <f>D183-C183</f>
        <v>-3016890.3805702161</v>
      </c>
      <c r="F183" s="362">
        <f>IF(C183=0,0,E183/C183)</f>
        <v>-0.76628745979887636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662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663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603</v>
      </c>
      <c r="C188" s="361">
        <f>C118+C153</f>
        <v>47852662</v>
      </c>
      <c r="D188" s="361">
        <f>LN_ID1+LN_IE1</f>
        <v>58506552</v>
      </c>
      <c r="E188" s="361">
        <f t="shared" ref="E188:E200" si="20">D188-C188</f>
        <v>10653890</v>
      </c>
      <c r="F188" s="362">
        <f t="shared" ref="F188:F200" si="21">IF(C188=0,0,E188/C188)</f>
        <v>0.2226394427127168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604</v>
      </c>
      <c r="C189" s="361">
        <f>C119+C154</f>
        <v>13053158</v>
      </c>
      <c r="D189" s="361">
        <f>LN_1D2+LN_IE2</f>
        <v>15708133</v>
      </c>
      <c r="E189" s="361">
        <f t="shared" si="20"/>
        <v>2654975</v>
      </c>
      <c r="F189" s="362">
        <f t="shared" si="21"/>
        <v>0.2033971396040713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605</v>
      </c>
      <c r="C190" s="366">
        <f>IF(C188=0,0,C189/C188)</f>
        <v>0.27277809539623937</v>
      </c>
      <c r="D190" s="366">
        <f>IF(LN_IF1=0,0,LN_IF2/LN_IF1)</f>
        <v>0.26848502369444022</v>
      </c>
      <c r="E190" s="367">
        <f t="shared" si="20"/>
        <v>-4.293071701799156E-3</v>
      </c>
      <c r="F190" s="362">
        <f t="shared" si="21"/>
        <v>-1.573833007215264E-2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2730</v>
      </c>
      <c r="D191" s="369">
        <f>LN_ID4+LN_IE4</f>
        <v>2673</v>
      </c>
      <c r="E191" s="369">
        <f t="shared" si="20"/>
        <v>-57</v>
      </c>
      <c r="F191" s="362">
        <f t="shared" si="21"/>
        <v>-2.0879120879120878E-2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606</v>
      </c>
      <c r="C192" s="372">
        <f>IF((C121+C156)=0,0,(C123+C158)/(C121+C156))</f>
        <v>0.83933282051282054</v>
      </c>
      <c r="D192" s="372">
        <f>IF((LN_ID4+LN_IE4)=0,0,(LN_ID6+LN_IE6)/(LN_ID4+LN_IE4))</f>
        <v>0.90314489711934165</v>
      </c>
      <c r="E192" s="373">
        <f t="shared" si="20"/>
        <v>6.3812076606521106E-2</v>
      </c>
      <c r="F192" s="362">
        <f t="shared" si="21"/>
        <v>7.6027143282128326E-2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607</v>
      </c>
      <c r="C193" s="376">
        <f>C123+C158</f>
        <v>2291.3786</v>
      </c>
      <c r="D193" s="376">
        <f>LN_IF4*LN_IF5</f>
        <v>2414.1063100000001</v>
      </c>
      <c r="E193" s="376">
        <f t="shared" si="20"/>
        <v>122.72771000000012</v>
      </c>
      <c r="F193" s="362">
        <f t="shared" si="21"/>
        <v>5.3560642488325635E-2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608</v>
      </c>
      <c r="C194" s="378">
        <f>IF(C193=0,0,C189/C193)</f>
        <v>5696.6395688604234</v>
      </c>
      <c r="D194" s="378">
        <f>IF(LN_IF6=0,0,LN_IF2/LN_IF6)</f>
        <v>6506.8107957515749</v>
      </c>
      <c r="E194" s="378">
        <f t="shared" si="20"/>
        <v>810.17122689115149</v>
      </c>
      <c r="F194" s="362">
        <f t="shared" si="21"/>
        <v>0.14221914816584072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664</v>
      </c>
      <c r="C195" s="378">
        <f>C48-C194</f>
        <v>5034.5595135564135</v>
      </c>
      <c r="D195" s="378">
        <f>LN_IB7-LN_IF7</f>
        <v>4199.9846989205253</v>
      </c>
      <c r="E195" s="378">
        <f t="shared" si="20"/>
        <v>-834.57481463588829</v>
      </c>
      <c r="F195" s="362">
        <f t="shared" si="21"/>
        <v>-0.16576918246544761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665</v>
      </c>
      <c r="C196" s="378">
        <f>C21-C194</f>
        <v>3251.2619100324764</v>
      </c>
      <c r="D196" s="378">
        <f>LN_IA7-LN_IF7</f>
        <v>2302.9757942078668</v>
      </c>
      <c r="E196" s="378">
        <f t="shared" si="20"/>
        <v>-948.28611582460962</v>
      </c>
      <c r="F196" s="362">
        <f t="shared" si="21"/>
        <v>-0.29166709482815467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625</v>
      </c>
      <c r="C197" s="391">
        <f>C127+C162</f>
        <v>7449871.9636435434</v>
      </c>
      <c r="D197" s="391">
        <f>LN_IF9*LN_IF6</f>
        <v>5559628.396574473</v>
      </c>
      <c r="E197" s="391">
        <f t="shared" si="20"/>
        <v>-1890243.5670690704</v>
      </c>
      <c r="F197" s="362">
        <f t="shared" si="21"/>
        <v>-0.25372832933152856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10517</v>
      </c>
      <c r="D198" s="369">
        <f>LN_ID11+LN_IE11</f>
        <v>10935</v>
      </c>
      <c r="E198" s="369">
        <f t="shared" si="20"/>
        <v>418</v>
      </c>
      <c r="F198" s="362">
        <f t="shared" si="21"/>
        <v>3.974517447941428E-2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609</v>
      </c>
      <c r="C199" s="432">
        <f>IF(C198=0,0,C189/C198)</f>
        <v>1241.1484263573263</v>
      </c>
      <c r="D199" s="432">
        <f>IF(LN_IF11=0,0,LN_IF2/LN_IF11)</f>
        <v>1436.5005029721078</v>
      </c>
      <c r="E199" s="432">
        <f t="shared" si="20"/>
        <v>195.35207661478148</v>
      </c>
      <c r="F199" s="362">
        <f t="shared" si="21"/>
        <v>0.15739622471111256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610</v>
      </c>
      <c r="C200" s="379">
        <f>IF(C191=0,0,C198/C191)</f>
        <v>3.8523809523809525</v>
      </c>
      <c r="D200" s="379">
        <f>IF(LN_IF4=0,0,LN_IF11/LN_IF4)</f>
        <v>4.0909090909090908</v>
      </c>
      <c r="E200" s="379">
        <f t="shared" si="20"/>
        <v>0.23852813852813837</v>
      </c>
      <c r="F200" s="362">
        <f t="shared" si="21"/>
        <v>6.1917069333632953E-2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666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612</v>
      </c>
      <c r="C203" s="361">
        <f>C133+C168</f>
        <v>30054430</v>
      </c>
      <c r="D203" s="361">
        <f>LN_ID14+LN_IE14</f>
        <v>39537486</v>
      </c>
      <c r="E203" s="361">
        <f t="shared" ref="E203:E211" si="22">D203-C203</f>
        <v>9483056</v>
      </c>
      <c r="F203" s="362">
        <f t="shared" ref="F203:F211" si="23">IF(C203=0,0,E203/C203)</f>
        <v>0.31552939117461221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613</v>
      </c>
      <c r="C204" s="361">
        <f>C134+C169</f>
        <v>6995498</v>
      </c>
      <c r="D204" s="361">
        <f>LN_ID15+LN_IE15</f>
        <v>9575088</v>
      </c>
      <c r="E204" s="361">
        <f t="shared" si="22"/>
        <v>2579590</v>
      </c>
      <c r="F204" s="362">
        <f t="shared" si="23"/>
        <v>0.36875001608177144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614</v>
      </c>
      <c r="C205" s="366">
        <f>IF(C203=0,0,C204/C203)</f>
        <v>0.23276096069697547</v>
      </c>
      <c r="D205" s="366">
        <f>IF(LN_IF14=0,0,LN_IF15/LN_IF14)</f>
        <v>0.24217746166258522</v>
      </c>
      <c r="E205" s="367">
        <f t="shared" si="22"/>
        <v>9.4165009656097531E-3</v>
      </c>
      <c r="F205" s="362">
        <f t="shared" si="23"/>
        <v>4.0455671506996457E-2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615</v>
      </c>
      <c r="C206" s="366">
        <f>IF(C188=0,0,C203/C188)</f>
        <v>0.62806182025986346</v>
      </c>
      <c r="D206" s="366">
        <f>IF(LN_IF1=0,0,LN_IF14/LN_IF1)</f>
        <v>0.67577877431573818</v>
      </c>
      <c r="E206" s="367">
        <f t="shared" si="22"/>
        <v>4.7716954055874727E-2</v>
      </c>
      <c r="F206" s="362">
        <f t="shared" si="23"/>
        <v>7.5974931951971886E-2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616</v>
      </c>
      <c r="C207" s="376">
        <f>C137+C172</f>
        <v>1748.8172109445156</v>
      </c>
      <c r="D207" s="376">
        <f>LN_ID18+LN_IE18</f>
        <v>1807.4315875066773</v>
      </c>
      <c r="E207" s="376">
        <f t="shared" si="22"/>
        <v>58.614376562161624</v>
      </c>
      <c r="F207" s="362">
        <f t="shared" si="23"/>
        <v>3.3516582633873263E-2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617</v>
      </c>
      <c r="C208" s="378">
        <f>IF(C207=0,0,C204/C207)</f>
        <v>4000.1310349763849</v>
      </c>
      <c r="D208" s="378">
        <f>IF(LN_IF18=0,0,LN_IF15/LN_IF18)</f>
        <v>5297.6212578030018</v>
      </c>
      <c r="E208" s="378">
        <f t="shared" si="22"/>
        <v>1297.4902228266169</v>
      </c>
      <c r="F208" s="362">
        <f t="shared" si="23"/>
        <v>0.32436193001719421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667</v>
      </c>
      <c r="C209" s="378">
        <f>C61-C208</f>
        <v>7216.0519821771559</v>
      </c>
      <c r="D209" s="378">
        <f>LN_IB18-LN_IF19</f>
        <v>6146.7011406066204</v>
      </c>
      <c r="E209" s="378">
        <f t="shared" si="22"/>
        <v>-1069.3508415705355</v>
      </c>
      <c r="F209" s="362">
        <f t="shared" si="23"/>
        <v>-0.14819056794653265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668</v>
      </c>
      <c r="C210" s="378">
        <f>C32-C208</f>
        <v>5804.7464363241215</v>
      </c>
      <c r="D210" s="378">
        <f>LN_IA16-LN_IF19</f>
        <v>4583.050170469377</v>
      </c>
      <c r="E210" s="378">
        <f t="shared" si="22"/>
        <v>-1221.6962658547445</v>
      </c>
      <c r="F210" s="362">
        <f t="shared" si="23"/>
        <v>-0.21046505291080181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628</v>
      </c>
      <c r="C211" s="391">
        <f>C141+C176</f>
        <v>10151440.473012466</v>
      </c>
      <c r="D211" s="353">
        <f>LN_IF21*LN_IF18</f>
        <v>8283549.6452342141</v>
      </c>
      <c r="E211" s="353">
        <f t="shared" si="22"/>
        <v>-1867890.8277782518</v>
      </c>
      <c r="F211" s="362">
        <f t="shared" si="23"/>
        <v>-0.18400253961435586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669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619</v>
      </c>
      <c r="C214" s="361">
        <f>C188+C203</f>
        <v>77907092</v>
      </c>
      <c r="D214" s="361">
        <f>LN_IF1+LN_IF14</f>
        <v>98044038</v>
      </c>
      <c r="E214" s="361">
        <f>D214-C214</f>
        <v>20136946</v>
      </c>
      <c r="F214" s="362">
        <f>IF(C214=0,0,E214/C214)</f>
        <v>0.25847384985182092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620</v>
      </c>
      <c r="C215" s="361">
        <f>C189+C204</f>
        <v>20048656</v>
      </c>
      <c r="D215" s="361">
        <f>LN_IF2+LN_IF15</f>
        <v>25283221</v>
      </c>
      <c r="E215" s="361">
        <f>D215-C215</f>
        <v>5234565</v>
      </c>
      <c r="F215" s="362">
        <f>IF(C215=0,0,E215/C215)</f>
        <v>0.26109306279682787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621</v>
      </c>
      <c r="C216" s="361">
        <f>C214-C215</f>
        <v>57858436</v>
      </c>
      <c r="D216" s="361">
        <f>LN_IF23-LN_IF24</f>
        <v>72760817</v>
      </c>
      <c r="E216" s="361">
        <f>D216-C216</f>
        <v>14902381</v>
      </c>
      <c r="F216" s="362">
        <f>IF(C216=0,0,E216/C216)</f>
        <v>0.25756626051903647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670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671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603</v>
      </c>
      <c r="C221" s="361">
        <v>151186</v>
      </c>
      <c r="D221" s="361">
        <v>175423</v>
      </c>
      <c r="E221" s="361">
        <f t="shared" ref="E221:E230" si="24">D221-C221</f>
        <v>24237</v>
      </c>
      <c r="F221" s="362">
        <f t="shared" ref="F221:F230" si="25">IF(C221=0,0,E221/C221)</f>
        <v>0.16031246279417408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604</v>
      </c>
      <c r="C222" s="361">
        <v>54125</v>
      </c>
      <c r="D222" s="361">
        <v>74645</v>
      </c>
      <c r="E222" s="361">
        <f t="shared" si="24"/>
        <v>20520</v>
      </c>
      <c r="F222" s="362">
        <f t="shared" si="25"/>
        <v>0.37912240184757506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605</v>
      </c>
      <c r="C223" s="366">
        <f>IF(C221=0,0,C222/C221)</f>
        <v>0.35800272512005082</v>
      </c>
      <c r="D223" s="366">
        <f>IF(LN_IG1=0,0,LN_IG2/LN_IG1)</f>
        <v>0.4255143282237791</v>
      </c>
      <c r="E223" s="367">
        <f t="shared" si="24"/>
        <v>6.7511603103728279E-2</v>
      </c>
      <c r="F223" s="362">
        <f t="shared" si="25"/>
        <v>0.1885784614658709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11</v>
      </c>
      <c r="D224" s="369">
        <v>9</v>
      </c>
      <c r="E224" s="369">
        <f t="shared" si="24"/>
        <v>-2</v>
      </c>
      <c r="F224" s="362">
        <f t="shared" si="25"/>
        <v>-0.18181818181818182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606</v>
      </c>
      <c r="C225" s="372">
        <v>0.89129999999999998</v>
      </c>
      <c r="D225" s="372">
        <v>0.96191000000000004</v>
      </c>
      <c r="E225" s="373">
        <f t="shared" si="24"/>
        <v>7.0610000000000062E-2</v>
      </c>
      <c r="F225" s="362">
        <f t="shared" si="25"/>
        <v>7.9221362055424738E-2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607</v>
      </c>
      <c r="C226" s="376">
        <f>C224*C225</f>
        <v>9.8042999999999996</v>
      </c>
      <c r="D226" s="376">
        <f>LN_IG3*LN_IG4</f>
        <v>8.6571899999999999</v>
      </c>
      <c r="E226" s="376">
        <f t="shared" si="24"/>
        <v>-1.1471099999999996</v>
      </c>
      <c r="F226" s="362">
        <f t="shared" si="25"/>
        <v>-0.11700070377283434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608</v>
      </c>
      <c r="C227" s="378">
        <f>IF(C226=0,0,C222/C226)</f>
        <v>5520.5369072753792</v>
      </c>
      <c r="D227" s="378">
        <f>IF(LN_IG5=0,0,LN_IG2/LN_IG5)</f>
        <v>8622.3127827851768</v>
      </c>
      <c r="E227" s="378">
        <f t="shared" si="24"/>
        <v>3101.7758755097975</v>
      </c>
      <c r="F227" s="362">
        <f t="shared" si="25"/>
        <v>0.56186126958449345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22</v>
      </c>
      <c r="D228" s="369">
        <v>24</v>
      </c>
      <c r="E228" s="369">
        <f t="shared" si="24"/>
        <v>2</v>
      </c>
      <c r="F228" s="362">
        <f t="shared" si="25"/>
        <v>9.0909090909090912E-2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609</v>
      </c>
      <c r="C229" s="378">
        <f>IF(C228=0,0,C222/C228)</f>
        <v>2460.2272727272725</v>
      </c>
      <c r="D229" s="378">
        <f>IF(LN_IG6=0,0,LN_IG2/LN_IG6)</f>
        <v>3110.2083333333335</v>
      </c>
      <c r="E229" s="378">
        <f t="shared" si="24"/>
        <v>649.98106060606096</v>
      </c>
      <c r="F229" s="362">
        <f t="shared" si="25"/>
        <v>0.26419553502694398</v>
      </c>
      <c r="Q229" s="330"/>
      <c r="U229" s="375"/>
    </row>
    <row r="230" spans="1:21" ht="11.25" customHeight="1" x14ac:dyDescent="0.2">
      <c r="A230" s="364">
        <v>10</v>
      </c>
      <c r="B230" s="360" t="s">
        <v>610</v>
      </c>
      <c r="C230" s="379">
        <f>IF(C224=0,0,C228/C224)</f>
        <v>2</v>
      </c>
      <c r="D230" s="379">
        <f>IF(LN_IG3=0,0,LN_IG6/LN_IG3)</f>
        <v>2.6666666666666665</v>
      </c>
      <c r="E230" s="379">
        <f t="shared" si="24"/>
        <v>0.66666666666666652</v>
      </c>
      <c r="F230" s="362">
        <f t="shared" si="25"/>
        <v>0.33333333333333326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672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612</v>
      </c>
      <c r="C233" s="361">
        <v>338598</v>
      </c>
      <c r="D233" s="361">
        <v>358334</v>
      </c>
      <c r="E233" s="361">
        <f>D233-C233</f>
        <v>19736</v>
      </c>
      <c r="F233" s="362">
        <f>IF(C233=0,0,E233/C233)</f>
        <v>5.8287408667505418E-2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613</v>
      </c>
      <c r="C234" s="361">
        <v>180183</v>
      </c>
      <c r="D234" s="361">
        <v>40234</v>
      </c>
      <c r="E234" s="361">
        <f>D234-C234</f>
        <v>-139949</v>
      </c>
      <c r="F234" s="362">
        <f>IF(C234=0,0,E234/C234)</f>
        <v>-0.776704794569965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673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619</v>
      </c>
      <c r="C237" s="361">
        <f>C221+C233</f>
        <v>489784</v>
      </c>
      <c r="D237" s="361">
        <f>LN_IG1+LN_IG9</f>
        <v>533757</v>
      </c>
      <c r="E237" s="361">
        <f>D237-C237</f>
        <v>43973</v>
      </c>
      <c r="F237" s="362">
        <f>IF(C237=0,0,E237/C237)</f>
        <v>8.9780392989562752E-2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620</v>
      </c>
      <c r="C238" s="361">
        <f>C222+C234</f>
        <v>234308</v>
      </c>
      <c r="D238" s="361">
        <f>LN_IG2+LN_IG10</f>
        <v>114879</v>
      </c>
      <c r="E238" s="361">
        <f>D238-C238</f>
        <v>-119429</v>
      </c>
      <c r="F238" s="362">
        <f>IF(C238=0,0,E238/C238)</f>
        <v>-0.50970944227256432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621</v>
      </c>
      <c r="C239" s="361">
        <f>C237-C238</f>
        <v>255476</v>
      </c>
      <c r="D239" s="361">
        <f>LN_IG13-LN_IG14</f>
        <v>418878</v>
      </c>
      <c r="E239" s="361">
        <f>D239-C239</f>
        <v>163402</v>
      </c>
      <c r="F239" s="362">
        <f>IF(C239=0,0,E239/C239)</f>
        <v>0.63959824014780253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674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675</v>
      </c>
      <c r="C243" s="361">
        <v>12251535</v>
      </c>
      <c r="D243" s="361">
        <v>13756910</v>
      </c>
      <c r="E243" s="353">
        <f>D243-C243</f>
        <v>1505375</v>
      </c>
      <c r="F243" s="415">
        <f>IF(C243=0,0,E243/C243)</f>
        <v>0.12287235844324813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676</v>
      </c>
      <c r="C244" s="361">
        <v>321077894</v>
      </c>
      <c r="D244" s="361">
        <v>337444501</v>
      </c>
      <c r="E244" s="353">
        <f>D244-C244</f>
        <v>16366607</v>
      </c>
      <c r="F244" s="415">
        <f>IF(C244=0,0,E244/C244)</f>
        <v>5.0973945281950803E-2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677</v>
      </c>
      <c r="C245" s="400">
        <v>2174504</v>
      </c>
      <c r="D245" s="400">
        <v>2414316</v>
      </c>
      <c r="E245" s="400">
        <f>D245-C245</f>
        <v>239812</v>
      </c>
      <c r="F245" s="401">
        <f>IF(C245=0,0,E245/C245)</f>
        <v>0.1102835405223444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678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679</v>
      </c>
      <c r="C248" s="353">
        <v>17554000</v>
      </c>
      <c r="D248" s="353">
        <v>18026000</v>
      </c>
      <c r="E248" s="353">
        <f>D248-C248</f>
        <v>472000</v>
      </c>
      <c r="F248" s="362">
        <f>IF(C248=0,0,E248/C248)</f>
        <v>2.6888458471003761E-2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680</v>
      </c>
      <c r="C249" s="353">
        <v>21000769</v>
      </c>
      <c r="D249" s="353">
        <v>23255695</v>
      </c>
      <c r="E249" s="353">
        <f>D249-C249</f>
        <v>2254926</v>
      </c>
      <c r="F249" s="362">
        <f>IF(C249=0,0,E249/C249)</f>
        <v>0.10737349665624149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681</v>
      </c>
      <c r="C250" s="353">
        <f>C248+C249</f>
        <v>38554769</v>
      </c>
      <c r="D250" s="353">
        <f>LN_IH4+LN_IH5</f>
        <v>41281695</v>
      </c>
      <c r="E250" s="353">
        <f>D250-C250</f>
        <v>2726926</v>
      </c>
      <c r="F250" s="362">
        <f>IF(C250=0,0,E250/C250)</f>
        <v>7.0728630224707087E-2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682</v>
      </c>
      <c r="C251" s="353">
        <f>C250*C313</f>
        <v>17376609.976842329</v>
      </c>
      <c r="D251" s="353">
        <f>LN_IH6*LN_III10</f>
        <v>16727813.021221217</v>
      </c>
      <c r="E251" s="353">
        <f>D251-C251</f>
        <v>-648796.95562111214</v>
      </c>
      <c r="F251" s="362">
        <f>IF(C251=0,0,E251/C251)</f>
        <v>-3.7337372277202442E-2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683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619</v>
      </c>
      <c r="C254" s="353">
        <f>C188+C203</f>
        <v>77907092</v>
      </c>
      <c r="D254" s="353">
        <f>LN_IF23</f>
        <v>98044038</v>
      </c>
      <c r="E254" s="353">
        <f>D254-C254</f>
        <v>20136946</v>
      </c>
      <c r="F254" s="362">
        <f>IF(C254=0,0,E254/C254)</f>
        <v>0.25847384985182092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620</v>
      </c>
      <c r="C255" s="353">
        <f>C189+C204</f>
        <v>20048656</v>
      </c>
      <c r="D255" s="353">
        <f>LN_IF24</f>
        <v>25283221</v>
      </c>
      <c r="E255" s="353">
        <f>D255-C255</f>
        <v>5234565</v>
      </c>
      <c r="F255" s="362">
        <f>IF(C255=0,0,E255/C255)</f>
        <v>0.26109306279682787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684</v>
      </c>
      <c r="C256" s="353">
        <f>C254*C313</f>
        <v>35112677.036502883</v>
      </c>
      <c r="D256" s="353">
        <f>LN_IH8*LN_III10</f>
        <v>39728560.939891346</v>
      </c>
      <c r="E256" s="353">
        <f>D256-C256</f>
        <v>4615883.903388463</v>
      </c>
      <c r="F256" s="362">
        <f>IF(C256=0,0,E256/C256)</f>
        <v>0.13145918491460573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685</v>
      </c>
      <c r="C257" s="353">
        <f>C256-C255</f>
        <v>15064021.036502883</v>
      </c>
      <c r="D257" s="353">
        <f>LN_IH10-LN_IH9</f>
        <v>14445339.939891346</v>
      </c>
      <c r="E257" s="353">
        <f>D257-C257</f>
        <v>-618681.09661153704</v>
      </c>
      <c r="F257" s="362">
        <f>IF(C257=0,0,E257/C257)</f>
        <v>-4.1070116346250407E-2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686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687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688</v>
      </c>
      <c r="C261" s="361">
        <f>C15+C42+C188+C221</f>
        <v>372942888</v>
      </c>
      <c r="D261" s="361">
        <f>LN_IA1+LN_IB1+LN_IF1+LN_IG1</f>
        <v>408782538</v>
      </c>
      <c r="E261" s="361">
        <f t="shared" ref="E261:E274" si="26">D261-C261</f>
        <v>35839650</v>
      </c>
      <c r="F261" s="415">
        <f t="shared" ref="F261:F274" si="27">IF(C261=0,0,E261/C261)</f>
        <v>9.609956685914868E-2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689</v>
      </c>
      <c r="C262" s="361">
        <f>C16+C43+C189+C222</f>
        <v>159942540</v>
      </c>
      <c r="D262" s="361">
        <f>+LN_IA2+LN_IB2+LN_IF2+LN_IG2</f>
        <v>155694825</v>
      </c>
      <c r="E262" s="361">
        <f t="shared" si="26"/>
        <v>-4247715</v>
      </c>
      <c r="F262" s="415">
        <f t="shared" si="27"/>
        <v>-2.6557756304232759E-2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690</v>
      </c>
      <c r="C263" s="366">
        <f>IF(C261=0,0,C262/C261)</f>
        <v>0.42886604127975758</v>
      </c>
      <c r="D263" s="366">
        <f>IF(LN_IIA1=0,0,LN_IIA2/LN_IIA1)</f>
        <v>0.38087445163814704</v>
      </c>
      <c r="E263" s="367">
        <f t="shared" si="26"/>
        <v>-4.7991589641610544E-2</v>
      </c>
      <c r="F263" s="371">
        <f t="shared" si="27"/>
        <v>-0.11190345008059219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691</v>
      </c>
      <c r="C264" s="369">
        <f>C18+C45+C191+C224</f>
        <v>15332</v>
      </c>
      <c r="D264" s="369">
        <f>LN_IA4+LN_IB4+LN_IF4+LN_IG3</f>
        <v>14483</v>
      </c>
      <c r="E264" s="369">
        <f t="shared" si="26"/>
        <v>-849</v>
      </c>
      <c r="F264" s="415">
        <f t="shared" si="27"/>
        <v>-5.5374380380902685E-2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692</v>
      </c>
      <c r="C265" s="439">
        <f>IF(C264=0,0,C266/C264)</f>
        <v>1.1313194429950431</v>
      </c>
      <c r="D265" s="439">
        <f>IF(LN_IIA4=0,0,LN_IIA6/LN_IIA4)</f>
        <v>1.1723366450321067</v>
      </c>
      <c r="E265" s="439">
        <f t="shared" si="26"/>
        <v>4.1017202037063605E-2</v>
      </c>
      <c r="F265" s="415">
        <f t="shared" si="27"/>
        <v>3.625607452522437E-2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693</v>
      </c>
      <c r="C266" s="376">
        <f>C20+C47+C193+C226</f>
        <v>17345.3897</v>
      </c>
      <c r="D266" s="376">
        <f>LN_IA6+LN_IB6+LN_IF6+LN_IG5</f>
        <v>16978.95163</v>
      </c>
      <c r="E266" s="376">
        <f t="shared" si="26"/>
        <v>-366.43807000000015</v>
      </c>
      <c r="F266" s="415">
        <f t="shared" si="27"/>
        <v>-2.1125963517556492E-2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694</v>
      </c>
      <c r="C267" s="361">
        <f>C27+C56+C203+C233</f>
        <v>289138477</v>
      </c>
      <c r="D267" s="361">
        <f>LN_IA11+LN_IB13+LN_IF14+LN_IG9</f>
        <v>332249978</v>
      </c>
      <c r="E267" s="361">
        <f t="shared" si="26"/>
        <v>43111501</v>
      </c>
      <c r="F267" s="415">
        <f t="shared" si="27"/>
        <v>0.14910329973136022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615</v>
      </c>
      <c r="C268" s="366">
        <f>IF(C261=0,0,C267/C261)</f>
        <v>0.77528888820102659</v>
      </c>
      <c r="D268" s="366">
        <f>IF(LN_IIA1=0,0,LN_IIA7/LN_IIA1)</f>
        <v>0.8127792826610416</v>
      </c>
      <c r="E268" s="367">
        <f t="shared" si="26"/>
        <v>3.7490394460015009E-2</v>
      </c>
      <c r="F268" s="371">
        <f t="shared" si="27"/>
        <v>4.8356677143931964E-2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695</v>
      </c>
      <c r="C269" s="361">
        <f>C28+C57+C204+C234</f>
        <v>133008987</v>
      </c>
      <c r="D269" s="361">
        <f>LN_IA12+LN_IB14+LN_IF15+LN_IG10</f>
        <v>137682551</v>
      </c>
      <c r="E269" s="361">
        <f t="shared" si="26"/>
        <v>4673564</v>
      </c>
      <c r="F269" s="415">
        <f t="shared" si="27"/>
        <v>3.5137204676252441E-2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614</v>
      </c>
      <c r="C270" s="366">
        <f>IF(C267=0,0,C269/C267)</f>
        <v>0.46001828736201028</v>
      </c>
      <c r="D270" s="366">
        <f>IF(LN_IIA7=0,0,LN_IIA9/LN_IIA7)</f>
        <v>0.41439446235268074</v>
      </c>
      <c r="E270" s="367">
        <f t="shared" si="26"/>
        <v>-4.5623825009329544E-2</v>
      </c>
      <c r="F270" s="371">
        <f t="shared" si="27"/>
        <v>-9.9178285435043992E-2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696</v>
      </c>
      <c r="C271" s="353">
        <f>C261+C267</f>
        <v>662081365</v>
      </c>
      <c r="D271" s="353">
        <f>LN_IIA1+LN_IIA7</f>
        <v>741032516</v>
      </c>
      <c r="E271" s="353">
        <f t="shared" si="26"/>
        <v>78951151</v>
      </c>
      <c r="F271" s="415">
        <f t="shared" si="27"/>
        <v>0.1192469010209946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697</v>
      </c>
      <c r="C272" s="353">
        <f>C262+C269</f>
        <v>292951527</v>
      </c>
      <c r="D272" s="353">
        <f>LN_IIA2+LN_IIA9</f>
        <v>293377376</v>
      </c>
      <c r="E272" s="353">
        <f t="shared" si="26"/>
        <v>425849</v>
      </c>
      <c r="F272" s="415">
        <f t="shared" si="27"/>
        <v>1.4536500436128465E-3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698</v>
      </c>
      <c r="C273" s="366">
        <f>IF(C271=0,0,C272/C271)</f>
        <v>0.44247058214665203</v>
      </c>
      <c r="D273" s="366">
        <f>IF(LN_IIA11=0,0,LN_IIA12/LN_IIA11)</f>
        <v>0.39590351255247752</v>
      </c>
      <c r="E273" s="367">
        <f t="shared" si="26"/>
        <v>-4.6567069594174504E-2</v>
      </c>
      <c r="F273" s="371">
        <f t="shared" si="27"/>
        <v>-0.10524331215027614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71363</v>
      </c>
      <c r="D274" s="421">
        <f>LN_IA8+LN_IB10+LN_IF11+LN_IG6</f>
        <v>69417</v>
      </c>
      <c r="E274" s="442">
        <f t="shared" si="26"/>
        <v>-1946</v>
      </c>
      <c r="F274" s="371">
        <f t="shared" si="27"/>
        <v>-2.7269032972268542E-2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699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700</v>
      </c>
      <c r="C277" s="361">
        <f>C15+C188+C221</f>
        <v>238095796</v>
      </c>
      <c r="D277" s="361">
        <f>LN_IA1+LN_IF1+LN_IG1</f>
        <v>276827123</v>
      </c>
      <c r="E277" s="361">
        <f t="shared" ref="E277:E291" si="28">D277-C277</f>
        <v>38731327</v>
      </c>
      <c r="F277" s="415">
        <f t="shared" ref="F277:F291" si="29">IF(C277=0,0,E277/C277)</f>
        <v>0.16267119222886237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701</v>
      </c>
      <c r="C278" s="361">
        <f>C16+C189+C222</f>
        <v>86400199</v>
      </c>
      <c r="D278" s="361">
        <f>LN_IA2+LN_IF2+LN_IG2</f>
        <v>89799882</v>
      </c>
      <c r="E278" s="361">
        <f t="shared" si="28"/>
        <v>3399683</v>
      </c>
      <c r="F278" s="415">
        <f t="shared" si="29"/>
        <v>3.9348092242241249E-2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702</v>
      </c>
      <c r="C279" s="366">
        <f>IF(C277=0,0,C278/C277)</f>
        <v>0.36287998549961797</v>
      </c>
      <c r="D279" s="366">
        <f>IF(D277=0,0,LN_IIB2/D277)</f>
        <v>0.32438975280612226</v>
      </c>
      <c r="E279" s="367">
        <f t="shared" si="28"/>
        <v>-3.8490232693495718E-2</v>
      </c>
      <c r="F279" s="371">
        <f t="shared" si="29"/>
        <v>-0.10606876717243542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703</v>
      </c>
      <c r="C280" s="369">
        <f>C18+C191+C224</f>
        <v>8280</v>
      </c>
      <c r="D280" s="369">
        <f>LN_IA4+LN_IF4+LN_IG3</f>
        <v>8366</v>
      </c>
      <c r="E280" s="369">
        <f t="shared" si="28"/>
        <v>86</v>
      </c>
      <c r="F280" s="415">
        <f t="shared" si="29"/>
        <v>1.0386473429951691E-2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704</v>
      </c>
      <c r="C281" s="439">
        <f>IF(C280=0,0,C282/C280)</f>
        <v>1.267180688405797</v>
      </c>
      <c r="D281" s="439">
        <f>IF(LN_IIB4=0,0,LN_IIB6/LN_IIB4)</f>
        <v>1.2938625890509203</v>
      </c>
      <c r="E281" s="439">
        <f t="shared" si="28"/>
        <v>2.6681900645123324E-2</v>
      </c>
      <c r="F281" s="415">
        <f t="shared" si="29"/>
        <v>2.1056113693376313E-2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705</v>
      </c>
      <c r="C282" s="376">
        <f>C20+C193+C226</f>
        <v>10492.256099999999</v>
      </c>
      <c r="D282" s="376">
        <f>LN_IA6+LN_IF6+LN_IG5</f>
        <v>10824.45442</v>
      </c>
      <c r="E282" s="376">
        <f t="shared" si="28"/>
        <v>332.19832000000133</v>
      </c>
      <c r="F282" s="415">
        <f t="shared" si="29"/>
        <v>3.1661285888742403E-2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706</v>
      </c>
      <c r="C283" s="361">
        <f>C27+C203+C233</f>
        <v>116603172</v>
      </c>
      <c r="D283" s="361">
        <f>LN_IA11+LN_IF14+LN_IG9</f>
        <v>138890667</v>
      </c>
      <c r="E283" s="361">
        <f t="shared" si="28"/>
        <v>22287495</v>
      </c>
      <c r="F283" s="415">
        <f t="shared" si="29"/>
        <v>0.19113969729742858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707</v>
      </c>
      <c r="C284" s="366">
        <f>IF(C277=0,0,C283/C277)</f>
        <v>0.48973217485956788</v>
      </c>
      <c r="D284" s="366">
        <f>IF(D277=0,0,LN_IIB7/D277)</f>
        <v>0.50172347815788265</v>
      </c>
      <c r="E284" s="367">
        <f t="shared" si="28"/>
        <v>1.199130329831477E-2</v>
      </c>
      <c r="F284" s="371">
        <f t="shared" si="29"/>
        <v>2.4485430841364082E-2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708</v>
      </c>
      <c r="C285" s="361">
        <f>C28+C204+C234</f>
        <v>31805895</v>
      </c>
      <c r="D285" s="361">
        <f>LN_IA12+LN_IF15+LN_IG10</f>
        <v>35101667</v>
      </c>
      <c r="E285" s="361">
        <f t="shared" si="28"/>
        <v>3295772</v>
      </c>
      <c r="F285" s="415">
        <f t="shared" si="29"/>
        <v>0.10362141986571986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709</v>
      </c>
      <c r="C286" s="366">
        <f>IF(C283=0,0,C285/C283)</f>
        <v>0.27277040971063804</v>
      </c>
      <c r="D286" s="366">
        <f>IF(LN_IIB7=0,0,LN_IIB9/LN_IIB7)</f>
        <v>0.2527287668652351</v>
      </c>
      <c r="E286" s="367">
        <f t="shared" si="28"/>
        <v>-2.004164284540294E-2</v>
      </c>
      <c r="F286" s="371">
        <f t="shared" si="29"/>
        <v>-7.3474402398206018E-2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710</v>
      </c>
      <c r="C287" s="353">
        <f>C277+C283</f>
        <v>354698968</v>
      </c>
      <c r="D287" s="353">
        <f>D277+LN_IIB7</f>
        <v>415717790</v>
      </c>
      <c r="E287" s="353">
        <f t="shared" si="28"/>
        <v>61018822</v>
      </c>
      <c r="F287" s="415">
        <f t="shared" si="29"/>
        <v>0.17202988309794012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711</v>
      </c>
      <c r="C288" s="353">
        <f>C278+C285</f>
        <v>118206094</v>
      </c>
      <c r="D288" s="353">
        <f>LN_IIB2+LN_IIB9</f>
        <v>124901549</v>
      </c>
      <c r="E288" s="353">
        <f t="shared" si="28"/>
        <v>6695455</v>
      </c>
      <c r="F288" s="415">
        <f t="shared" si="29"/>
        <v>5.6642215079029681E-2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712</v>
      </c>
      <c r="C289" s="366">
        <f>IF(C287=0,0,C288/C287)</f>
        <v>0.33325750753241551</v>
      </c>
      <c r="D289" s="366">
        <f>IF(LN_IIB11=0,0,LN_IIB12/LN_IIB11)</f>
        <v>0.30044792887020783</v>
      </c>
      <c r="E289" s="367">
        <f t="shared" si="28"/>
        <v>-3.2809578662207683E-2</v>
      </c>
      <c r="F289" s="371">
        <f t="shared" si="29"/>
        <v>-9.8451131394290764E-2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47078</v>
      </c>
      <c r="D290" s="421">
        <f>LN_IA8+LN_IF11+LN_IG6</f>
        <v>48627</v>
      </c>
      <c r="E290" s="442">
        <f t="shared" si="28"/>
        <v>1549</v>
      </c>
      <c r="F290" s="371">
        <f t="shared" si="29"/>
        <v>3.2902842091847573E-2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713</v>
      </c>
      <c r="C291" s="361">
        <f>C287-C288</f>
        <v>236492874</v>
      </c>
      <c r="D291" s="429">
        <f>LN_IIB11-LN_IIB12</f>
        <v>290816241</v>
      </c>
      <c r="E291" s="353">
        <f t="shared" si="28"/>
        <v>54323367</v>
      </c>
      <c r="F291" s="415">
        <f t="shared" si="29"/>
        <v>0.22970403328093514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610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601</v>
      </c>
      <c r="C294" s="379">
        <f>IF(C18=0,0,C22/C18)</f>
        <v>6.5966781007402062</v>
      </c>
      <c r="D294" s="379">
        <f>IF(LN_IA4=0,0,LN_IA8/LN_IA4)</f>
        <v>6.627023223082336</v>
      </c>
      <c r="E294" s="379">
        <f t="shared" ref="E294:E300" si="30">D294-C294</f>
        <v>3.0345122342129827E-2</v>
      </c>
      <c r="F294" s="415">
        <f t="shared" ref="F294:F300" si="31">IF(C294=0,0,E294/C294)</f>
        <v>4.6000611032884619E-3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622</v>
      </c>
      <c r="C295" s="379">
        <f>IF(C45=0,0,C51/C45)</f>
        <v>3.4437039137833239</v>
      </c>
      <c r="D295" s="379">
        <f>IF(LN_IB4=0,0,(LN_IB10)/(LN_IB4))</f>
        <v>3.3987248651299655</v>
      </c>
      <c r="E295" s="379">
        <f t="shared" si="30"/>
        <v>-4.4979048653358333E-2</v>
      </c>
      <c r="F295" s="415">
        <f t="shared" si="31"/>
        <v>-1.306124155254202E-2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637</v>
      </c>
      <c r="C296" s="379">
        <f>IF(C86=0,0,C93/C86)</f>
        <v>4.0132827324478182</v>
      </c>
      <c r="D296" s="379">
        <f>IF(LN_IC4=0,0,LN_IC11/LN_IC4)</f>
        <v>3.584507042253521</v>
      </c>
      <c r="E296" s="379">
        <f t="shared" si="30"/>
        <v>-0.42877569019429718</v>
      </c>
      <c r="F296" s="415">
        <f t="shared" si="31"/>
        <v>-0.1068391436086972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3.6317657497781721</v>
      </c>
      <c r="D297" s="379">
        <f>IF(LN_ID4=0,0,LN_ID11/LN_ID4)</f>
        <v>4.0179007323026852</v>
      </c>
      <c r="E297" s="379">
        <f t="shared" si="30"/>
        <v>0.38613498252451306</v>
      </c>
      <c r="F297" s="415">
        <f t="shared" si="31"/>
        <v>0.10632155516861135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714</v>
      </c>
      <c r="C298" s="379">
        <f>IF(C156=0,0,C163/C156)</f>
        <v>4.8970588235294121</v>
      </c>
      <c r="D298" s="379">
        <f>IF(LN_IE4=0,0,LN_IE11/LN_IE4)</f>
        <v>4.9255813953488374</v>
      </c>
      <c r="E298" s="379">
        <f t="shared" si="30"/>
        <v>2.8522571819425302E-2</v>
      </c>
      <c r="F298" s="415">
        <f t="shared" si="31"/>
        <v>5.824429080243004E-3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</v>
      </c>
      <c r="D299" s="379">
        <f>IF(LN_IG3=0,0,LN_IG6/LN_IG3)</f>
        <v>2.6666666666666665</v>
      </c>
      <c r="E299" s="379">
        <f t="shared" si="30"/>
        <v>0.66666666666666652</v>
      </c>
      <c r="F299" s="415">
        <f t="shared" si="31"/>
        <v>0.33333333333333326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715</v>
      </c>
      <c r="C300" s="379">
        <f>IF(C264=0,0,C274/C264)</f>
        <v>4.6545134359509523</v>
      </c>
      <c r="D300" s="379">
        <f>IF(LN_IIA4=0,0,LN_IIA14/LN_IIA4)</f>
        <v>4.7929986881171027</v>
      </c>
      <c r="E300" s="379">
        <f t="shared" si="30"/>
        <v>0.13848525216615037</v>
      </c>
      <c r="F300" s="415">
        <f t="shared" si="31"/>
        <v>2.9752895565088595E-2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716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710</v>
      </c>
      <c r="C304" s="353">
        <f>C35+C66+C214+C221+C233</f>
        <v>662081365</v>
      </c>
      <c r="D304" s="353">
        <f>LN_IIA11</f>
        <v>741032516</v>
      </c>
      <c r="E304" s="353">
        <f t="shared" ref="E304:E316" si="32">D304-C304</f>
        <v>78951151</v>
      </c>
      <c r="F304" s="362">
        <f>IF(C304=0,0,E304/C304)</f>
        <v>0.1192469010209946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713</v>
      </c>
      <c r="C305" s="353">
        <f>C291</f>
        <v>236492874</v>
      </c>
      <c r="D305" s="353">
        <f>LN_IIB14</f>
        <v>290816241</v>
      </c>
      <c r="E305" s="353">
        <f t="shared" si="32"/>
        <v>54323367</v>
      </c>
      <c r="F305" s="362">
        <f>IF(C305=0,0,E305/C305)</f>
        <v>0.22970403328093514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717</v>
      </c>
      <c r="C306" s="353">
        <f>C250</f>
        <v>38554769</v>
      </c>
      <c r="D306" s="353">
        <f>LN_IH6</f>
        <v>41281695</v>
      </c>
      <c r="E306" s="353">
        <f t="shared" si="32"/>
        <v>2726926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718</v>
      </c>
      <c r="C307" s="353">
        <f>C73-C74</f>
        <v>84185803</v>
      </c>
      <c r="D307" s="353">
        <f>LN_IB32-LN_IB33</f>
        <v>103541033</v>
      </c>
      <c r="E307" s="353">
        <f t="shared" si="32"/>
        <v>19355230</v>
      </c>
      <c r="F307" s="362">
        <f t="shared" ref="F307:F316" si="33">IF(C307=0,0,E307/C307)</f>
        <v>0.22991085563441141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719</v>
      </c>
      <c r="C308" s="353">
        <v>6622771</v>
      </c>
      <c r="D308" s="353">
        <v>7533047</v>
      </c>
      <c r="E308" s="353">
        <f t="shared" si="32"/>
        <v>910276</v>
      </c>
      <c r="F308" s="362">
        <f t="shared" si="33"/>
        <v>0.13744639517205109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720</v>
      </c>
      <c r="C309" s="353">
        <f>C305+C307+C308+C306</f>
        <v>365856217</v>
      </c>
      <c r="D309" s="353">
        <f>LN_III2+LN_III3+LN_III4+LN_III5</f>
        <v>443172016</v>
      </c>
      <c r="E309" s="353">
        <f t="shared" si="32"/>
        <v>77315799</v>
      </c>
      <c r="F309" s="362">
        <f t="shared" si="33"/>
        <v>0.21132837275251223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721</v>
      </c>
      <c r="C310" s="353">
        <f>C304-C309</f>
        <v>296225148</v>
      </c>
      <c r="D310" s="353">
        <f>LN_III1-LN_III6</f>
        <v>297860500</v>
      </c>
      <c r="E310" s="353">
        <f t="shared" si="32"/>
        <v>1635352</v>
      </c>
      <c r="F310" s="362">
        <f t="shared" si="33"/>
        <v>5.5206386461152173E-3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722</v>
      </c>
      <c r="C311" s="353">
        <f>C245</f>
        <v>2174504</v>
      </c>
      <c r="D311" s="353">
        <f>LN_IH3</f>
        <v>2414316</v>
      </c>
      <c r="E311" s="353">
        <f t="shared" si="32"/>
        <v>239812</v>
      </c>
      <c r="F311" s="362">
        <f t="shared" si="33"/>
        <v>0.1102835405223444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723</v>
      </c>
      <c r="C312" s="353">
        <f>C310+C311</f>
        <v>298399652</v>
      </c>
      <c r="D312" s="353">
        <f>LN_III7+LN_III8</f>
        <v>300274816</v>
      </c>
      <c r="E312" s="353">
        <f t="shared" si="32"/>
        <v>1875164</v>
      </c>
      <c r="F312" s="362">
        <f t="shared" si="33"/>
        <v>6.2840689908043191E-3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724</v>
      </c>
      <c r="C313" s="448">
        <f>IF(C304=0,0,C312/C304)</f>
        <v>0.45069936683688416</v>
      </c>
      <c r="D313" s="448">
        <f>IF(LN_III1=0,0,LN_III9/LN_III1)</f>
        <v>0.40521139021111457</v>
      </c>
      <c r="E313" s="448">
        <f t="shared" si="32"/>
        <v>-4.5487976625769588E-2</v>
      </c>
      <c r="F313" s="362">
        <f t="shared" si="33"/>
        <v>-0.10092753612017491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682</v>
      </c>
      <c r="C314" s="353">
        <f>C306*C313</f>
        <v>17376609.976842329</v>
      </c>
      <c r="D314" s="353">
        <f>D313*LN_III5</f>
        <v>16727813.021221217</v>
      </c>
      <c r="E314" s="353">
        <f t="shared" si="32"/>
        <v>-648796.95562111214</v>
      </c>
      <c r="F314" s="362">
        <f t="shared" si="33"/>
        <v>-3.7337372277202442E-2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685</v>
      </c>
      <c r="C315" s="353">
        <f>(C214*C313)-C215</f>
        <v>15064021.036502883</v>
      </c>
      <c r="D315" s="353">
        <f>D313*LN_IH8-LN_IH9</f>
        <v>14445339.939891346</v>
      </c>
      <c r="E315" s="353">
        <f t="shared" si="32"/>
        <v>-618681.09661153704</v>
      </c>
      <c r="F315" s="362">
        <f t="shared" si="33"/>
        <v>-4.1070116346250407E-2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725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726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727</v>
      </c>
      <c r="C318" s="353">
        <f>C314+C315+C316</f>
        <v>32440631.013345212</v>
      </c>
      <c r="D318" s="353">
        <f>D314+D315+D316</f>
        <v>31173152.961112563</v>
      </c>
      <c r="E318" s="353">
        <f>D318-C318</f>
        <v>-1267478.0522326492</v>
      </c>
      <c r="F318" s="362">
        <f>IF(C318=0,0,E318/C318)</f>
        <v>-3.907069661225894E-2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728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8717466.8967535924</v>
      </c>
      <c r="D322" s="353">
        <f>LN_ID22</f>
        <v>7509646.5407188712</v>
      </c>
      <c r="E322" s="353">
        <f>LN_IV2-C322</f>
        <v>-1207820.3560347212</v>
      </c>
      <c r="F322" s="362">
        <f>IF(C322=0,0,E322/C322)</f>
        <v>-0.1385517571032609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714</v>
      </c>
      <c r="C323" s="353">
        <f>C162+C176</f>
        <v>3937021.7298897784</v>
      </c>
      <c r="D323" s="353">
        <f>LN_IE10+LN_IE22</f>
        <v>920131.34931956255</v>
      </c>
      <c r="E323" s="353">
        <f>LN_IV3-C323</f>
        <v>-3016890.3805702161</v>
      </c>
      <c r="F323" s="362">
        <f>IF(C323=0,0,E323/C323)</f>
        <v>-0.76628745979887636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729</v>
      </c>
      <c r="C324" s="353">
        <f>C92+C106</f>
        <v>11009497.721252212</v>
      </c>
      <c r="D324" s="353">
        <f>LN_IC10+LN_IC22</f>
        <v>11273143.386209458</v>
      </c>
      <c r="E324" s="353">
        <f>LN_IV1-C324</f>
        <v>263645.66495724581</v>
      </c>
      <c r="F324" s="362">
        <f>IF(C324=0,0,E324/C324)</f>
        <v>2.3947111088303032E-2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730</v>
      </c>
      <c r="C325" s="429">
        <f>C324+C322+C323</f>
        <v>23663986.347895585</v>
      </c>
      <c r="D325" s="429">
        <f>LN_IV1+LN_IV2+LN_IV3</f>
        <v>19702921.276247893</v>
      </c>
      <c r="E325" s="353">
        <f>LN_IV4-C325</f>
        <v>-3961065.0716476925</v>
      </c>
      <c r="F325" s="362">
        <f>IF(C325=0,0,E325/C325)</f>
        <v>-0.16738790385584998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731</v>
      </c>
      <c r="B327" s="446" t="s">
        <v>732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733</v>
      </c>
      <c r="C329" s="431">
        <v>11893862</v>
      </c>
      <c r="D329" s="431">
        <v>13809607</v>
      </c>
      <c r="E329" s="431">
        <f t="shared" ref="E329:E335" si="34">D329-C329</f>
        <v>1915745</v>
      </c>
      <c r="F329" s="462">
        <f t="shared" ref="F329:F335" si="35">IF(C329=0,0,E329/C329)</f>
        <v>0.161070054453297</v>
      </c>
    </row>
    <row r="330" spans="1:22" s="333" customFormat="1" ht="11.25" customHeight="1" x14ac:dyDescent="0.2">
      <c r="A330" s="364">
        <v>2</v>
      </c>
      <c r="B330" s="360" t="s">
        <v>734</v>
      </c>
      <c r="C330" s="429">
        <v>27623541</v>
      </c>
      <c r="D330" s="429">
        <v>30788570</v>
      </c>
      <c r="E330" s="431">
        <f t="shared" si="34"/>
        <v>3165029</v>
      </c>
      <c r="F330" s="463">
        <f t="shared" si="35"/>
        <v>0.11457723685750498</v>
      </c>
    </row>
    <row r="331" spans="1:22" s="333" customFormat="1" ht="11.25" customHeight="1" x14ac:dyDescent="0.2">
      <c r="A331" s="339">
        <v>3</v>
      </c>
      <c r="B331" s="360" t="s">
        <v>735</v>
      </c>
      <c r="C331" s="429">
        <v>322749572</v>
      </c>
      <c r="D331" s="429">
        <v>326580432</v>
      </c>
      <c r="E331" s="431">
        <f t="shared" si="34"/>
        <v>3830860</v>
      </c>
      <c r="F331" s="462">
        <f t="shared" si="35"/>
        <v>1.1869450286985973E-2</v>
      </c>
    </row>
    <row r="332" spans="1:22" s="333" customFormat="1" ht="11.25" customHeight="1" x14ac:dyDescent="0.2">
      <c r="A332" s="364">
        <v>4</v>
      </c>
      <c r="B332" s="360" t="s">
        <v>736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737</v>
      </c>
      <c r="C333" s="429">
        <v>662081365</v>
      </c>
      <c r="D333" s="429">
        <v>741032516</v>
      </c>
      <c r="E333" s="431">
        <f t="shared" si="34"/>
        <v>78951151</v>
      </c>
      <c r="F333" s="462">
        <f t="shared" si="35"/>
        <v>0.1192469010209946</v>
      </c>
    </row>
    <row r="334" spans="1:22" s="333" customFormat="1" ht="11.25" customHeight="1" x14ac:dyDescent="0.2">
      <c r="A334" s="339">
        <v>6</v>
      </c>
      <c r="B334" s="360" t="s">
        <v>738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739</v>
      </c>
      <c r="C335" s="429">
        <v>38554769</v>
      </c>
      <c r="D335" s="429">
        <v>41281695</v>
      </c>
      <c r="E335" s="429">
        <f t="shared" si="34"/>
        <v>2726926</v>
      </c>
      <c r="F335" s="462">
        <f t="shared" si="35"/>
        <v>7.0728630224707087E-2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FILING&amp;RNORWALK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tabSelected="1"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592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740</v>
      </c>
      <c r="B5" s="710"/>
      <c r="C5" s="710"/>
      <c r="D5" s="710"/>
      <c r="E5" s="710"/>
    </row>
    <row r="6" spans="1:5" s="338" customFormat="1" ht="15.75" customHeight="1" x14ac:dyDescent="0.25">
      <c r="A6" s="710" t="s">
        <v>741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742</v>
      </c>
      <c r="D9" s="494" t="s">
        <v>743</v>
      </c>
      <c r="E9" s="495" t="s">
        <v>744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745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746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622</v>
      </c>
      <c r="C14" s="513">
        <v>134847092</v>
      </c>
      <c r="D14" s="513">
        <v>131955415</v>
      </c>
      <c r="E14" s="514">
        <f t="shared" ref="E14:E22" si="0">D14-C14</f>
        <v>-2891677</v>
      </c>
    </row>
    <row r="15" spans="1:5" s="506" customFormat="1" x14ac:dyDescent="0.2">
      <c r="A15" s="512">
        <v>2</v>
      </c>
      <c r="B15" s="511" t="s">
        <v>601</v>
      </c>
      <c r="C15" s="513">
        <v>190091948</v>
      </c>
      <c r="D15" s="515">
        <v>218145148</v>
      </c>
      <c r="E15" s="514">
        <f t="shared" si="0"/>
        <v>28053200</v>
      </c>
    </row>
    <row r="16" spans="1:5" s="506" customFormat="1" x14ac:dyDescent="0.2">
      <c r="A16" s="512">
        <v>3</v>
      </c>
      <c r="B16" s="511" t="s">
        <v>747</v>
      </c>
      <c r="C16" s="513">
        <v>47852662</v>
      </c>
      <c r="D16" s="515">
        <v>58506552</v>
      </c>
      <c r="E16" s="514">
        <f t="shared" si="0"/>
        <v>10653890</v>
      </c>
    </row>
    <row r="17" spans="1:5" s="506" customFormat="1" x14ac:dyDescent="0.2">
      <c r="A17" s="512">
        <v>4</v>
      </c>
      <c r="B17" s="511" t="s">
        <v>114</v>
      </c>
      <c r="C17" s="513">
        <v>36307468</v>
      </c>
      <c r="D17" s="515">
        <v>52751440</v>
      </c>
      <c r="E17" s="514">
        <f t="shared" si="0"/>
        <v>16443972</v>
      </c>
    </row>
    <row r="18" spans="1:5" s="506" customFormat="1" x14ac:dyDescent="0.2">
      <c r="A18" s="512">
        <v>5</v>
      </c>
      <c r="B18" s="511" t="s">
        <v>714</v>
      </c>
      <c r="C18" s="513">
        <v>11545194</v>
      </c>
      <c r="D18" s="515">
        <v>5755112</v>
      </c>
      <c r="E18" s="514">
        <f t="shared" si="0"/>
        <v>-5790082</v>
      </c>
    </row>
    <row r="19" spans="1:5" s="506" customFormat="1" x14ac:dyDescent="0.2">
      <c r="A19" s="512">
        <v>6</v>
      </c>
      <c r="B19" s="511" t="s">
        <v>418</v>
      </c>
      <c r="C19" s="513">
        <v>151186</v>
      </c>
      <c r="D19" s="515">
        <v>175423</v>
      </c>
      <c r="E19" s="514">
        <f t="shared" si="0"/>
        <v>24237</v>
      </c>
    </row>
    <row r="20" spans="1:5" s="506" customFormat="1" x14ac:dyDescent="0.2">
      <c r="A20" s="512">
        <v>7</v>
      </c>
      <c r="B20" s="511" t="s">
        <v>729</v>
      </c>
      <c r="C20" s="513">
        <v>11981423</v>
      </c>
      <c r="D20" s="515">
        <v>10004655</v>
      </c>
      <c r="E20" s="514">
        <f t="shared" si="0"/>
        <v>-1976768</v>
      </c>
    </row>
    <row r="21" spans="1:5" s="506" customFormat="1" x14ac:dyDescent="0.2">
      <c r="A21" s="512"/>
      <c r="B21" s="516" t="s">
        <v>748</v>
      </c>
      <c r="C21" s="517">
        <f>SUM(C15+C16+C19)</f>
        <v>238095796</v>
      </c>
      <c r="D21" s="517">
        <f>SUM(D15+D16+D19)</f>
        <v>276827123</v>
      </c>
      <c r="E21" s="517">
        <f t="shared" si="0"/>
        <v>38731327</v>
      </c>
    </row>
    <row r="22" spans="1:5" s="506" customFormat="1" x14ac:dyDescent="0.2">
      <c r="A22" s="512"/>
      <c r="B22" s="516" t="s">
        <v>688</v>
      </c>
      <c r="C22" s="517">
        <f>SUM(C14+C21)</f>
        <v>372942888</v>
      </c>
      <c r="D22" s="517">
        <f>SUM(D14+D21)</f>
        <v>408782538</v>
      </c>
      <c r="E22" s="517">
        <f t="shared" si="0"/>
        <v>35839650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749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622</v>
      </c>
      <c r="C25" s="513">
        <v>172535305</v>
      </c>
      <c r="D25" s="513">
        <v>193359311</v>
      </c>
      <c r="E25" s="514">
        <f t="shared" ref="E25:E33" si="1">D25-C25</f>
        <v>20824006</v>
      </c>
    </row>
    <row r="26" spans="1:5" s="506" customFormat="1" x14ac:dyDescent="0.2">
      <c r="A26" s="512">
        <v>2</v>
      </c>
      <c r="B26" s="511" t="s">
        <v>601</v>
      </c>
      <c r="C26" s="513">
        <v>86210144</v>
      </c>
      <c r="D26" s="515">
        <v>98994847</v>
      </c>
      <c r="E26" s="514">
        <f t="shared" si="1"/>
        <v>12784703</v>
      </c>
    </row>
    <row r="27" spans="1:5" s="506" customFormat="1" x14ac:dyDescent="0.2">
      <c r="A27" s="512">
        <v>3</v>
      </c>
      <c r="B27" s="511" t="s">
        <v>747</v>
      </c>
      <c r="C27" s="513">
        <v>30054430</v>
      </c>
      <c r="D27" s="515">
        <v>39537486</v>
      </c>
      <c r="E27" s="514">
        <f t="shared" si="1"/>
        <v>9483056</v>
      </c>
    </row>
    <row r="28" spans="1:5" s="506" customFormat="1" x14ac:dyDescent="0.2">
      <c r="A28" s="512">
        <v>4</v>
      </c>
      <c r="B28" s="511" t="s">
        <v>114</v>
      </c>
      <c r="C28" s="513">
        <v>24443900</v>
      </c>
      <c r="D28" s="515">
        <v>35764665</v>
      </c>
      <c r="E28" s="514">
        <f t="shared" si="1"/>
        <v>11320765</v>
      </c>
    </row>
    <row r="29" spans="1:5" s="506" customFormat="1" x14ac:dyDescent="0.2">
      <c r="A29" s="512">
        <v>5</v>
      </c>
      <c r="B29" s="511" t="s">
        <v>714</v>
      </c>
      <c r="C29" s="513">
        <v>5610530</v>
      </c>
      <c r="D29" s="515">
        <v>3772821</v>
      </c>
      <c r="E29" s="514">
        <f t="shared" si="1"/>
        <v>-1837709</v>
      </c>
    </row>
    <row r="30" spans="1:5" s="506" customFormat="1" x14ac:dyDescent="0.2">
      <c r="A30" s="512">
        <v>6</v>
      </c>
      <c r="B30" s="511" t="s">
        <v>418</v>
      </c>
      <c r="C30" s="513">
        <v>338598</v>
      </c>
      <c r="D30" s="515">
        <v>358334</v>
      </c>
      <c r="E30" s="514">
        <f t="shared" si="1"/>
        <v>19736</v>
      </c>
    </row>
    <row r="31" spans="1:5" s="506" customFormat="1" x14ac:dyDescent="0.2">
      <c r="A31" s="512">
        <v>7</v>
      </c>
      <c r="B31" s="511" t="s">
        <v>729</v>
      </c>
      <c r="C31" s="514">
        <v>21280485</v>
      </c>
      <c r="D31" s="518">
        <v>23606244</v>
      </c>
      <c r="E31" s="514">
        <f t="shared" si="1"/>
        <v>2325759</v>
      </c>
    </row>
    <row r="32" spans="1:5" s="506" customFormat="1" x14ac:dyDescent="0.2">
      <c r="A32" s="512"/>
      <c r="B32" s="516" t="s">
        <v>750</v>
      </c>
      <c r="C32" s="517">
        <f>SUM(C26+C27+C30)</f>
        <v>116603172</v>
      </c>
      <c r="D32" s="517">
        <f>SUM(D26+D27+D30)</f>
        <v>138890667</v>
      </c>
      <c r="E32" s="517">
        <f t="shared" si="1"/>
        <v>22287495</v>
      </c>
    </row>
    <row r="33" spans="1:5" s="506" customFormat="1" x14ac:dyDescent="0.2">
      <c r="A33" s="512"/>
      <c r="B33" s="516" t="s">
        <v>694</v>
      </c>
      <c r="C33" s="517">
        <f>SUM(C25+C32)</f>
        <v>289138477</v>
      </c>
      <c r="D33" s="517">
        <f>SUM(D25+D32)</f>
        <v>332249978</v>
      </c>
      <c r="E33" s="517">
        <f t="shared" si="1"/>
        <v>43111501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619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751</v>
      </c>
      <c r="C36" s="514">
        <f t="shared" ref="C36:D42" si="2">C14+C25</f>
        <v>307382397</v>
      </c>
      <c r="D36" s="514">
        <f t="shared" si="2"/>
        <v>325314726</v>
      </c>
      <c r="E36" s="514">
        <f t="shared" ref="E36:E44" si="3">D36-C36</f>
        <v>17932329</v>
      </c>
    </row>
    <row r="37" spans="1:5" s="506" customFormat="1" x14ac:dyDescent="0.2">
      <c r="A37" s="512">
        <v>2</v>
      </c>
      <c r="B37" s="511" t="s">
        <v>752</v>
      </c>
      <c r="C37" s="514">
        <f t="shared" si="2"/>
        <v>276302092</v>
      </c>
      <c r="D37" s="514">
        <f t="shared" si="2"/>
        <v>317139995</v>
      </c>
      <c r="E37" s="514">
        <f t="shared" si="3"/>
        <v>40837903</v>
      </c>
    </row>
    <row r="38" spans="1:5" s="506" customFormat="1" x14ac:dyDescent="0.2">
      <c r="A38" s="512">
        <v>3</v>
      </c>
      <c r="B38" s="511" t="s">
        <v>753</v>
      </c>
      <c r="C38" s="514">
        <f t="shared" si="2"/>
        <v>77907092</v>
      </c>
      <c r="D38" s="514">
        <f t="shared" si="2"/>
        <v>98044038</v>
      </c>
      <c r="E38" s="514">
        <f t="shared" si="3"/>
        <v>20136946</v>
      </c>
    </row>
    <row r="39" spans="1:5" s="506" customFormat="1" x14ac:dyDescent="0.2">
      <c r="A39" s="512">
        <v>4</v>
      </c>
      <c r="B39" s="511" t="s">
        <v>754</v>
      </c>
      <c r="C39" s="514">
        <f t="shared" si="2"/>
        <v>60751368</v>
      </c>
      <c r="D39" s="514">
        <f t="shared" si="2"/>
        <v>88516105</v>
      </c>
      <c r="E39" s="514">
        <f t="shared" si="3"/>
        <v>27764737</v>
      </c>
    </row>
    <row r="40" spans="1:5" s="506" customFormat="1" x14ac:dyDescent="0.2">
      <c r="A40" s="512">
        <v>5</v>
      </c>
      <c r="B40" s="511" t="s">
        <v>755</v>
      </c>
      <c r="C40" s="514">
        <f t="shared" si="2"/>
        <v>17155724</v>
      </c>
      <c r="D40" s="514">
        <f t="shared" si="2"/>
        <v>9527933</v>
      </c>
      <c r="E40" s="514">
        <f t="shared" si="3"/>
        <v>-7627791</v>
      </c>
    </row>
    <row r="41" spans="1:5" s="506" customFormat="1" x14ac:dyDescent="0.2">
      <c r="A41" s="512">
        <v>6</v>
      </c>
      <c r="B41" s="511" t="s">
        <v>756</v>
      </c>
      <c r="C41" s="514">
        <f t="shared" si="2"/>
        <v>489784</v>
      </c>
      <c r="D41" s="514">
        <f t="shared" si="2"/>
        <v>533757</v>
      </c>
      <c r="E41" s="514">
        <f t="shared" si="3"/>
        <v>43973</v>
      </c>
    </row>
    <row r="42" spans="1:5" s="506" customFormat="1" x14ac:dyDescent="0.2">
      <c r="A42" s="512">
        <v>7</v>
      </c>
      <c r="B42" s="511" t="s">
        <v>757</v>
      </c>
      <c r="C42" s="514">
        <f t="shared" si="2"/>
        <v>33261908</v>
      </c>
      <c r="D42" s="514">
        <f t="shared" si="2"/>
        <v>33610899</v>
      </c>
      <c r="E42" s="514">
        <f t="shared" si="3"/>
        <v>348991</v>
      </c>
    </row>
    <row r="43" spans="1:5" s="506" customFormat="1" x14ac:dyDescent="0.2">
      <c r="A43" s="512"/>
      <c r="B43" s="516" t="s">
        <v>758</v>
      </c>
      <c r="C43" s="517">
        <f>SUM(C37+C38+C41)</f>
        <v>354698968</v>
      </c>
      <c r="D43" s="517">
        <f>SUM(D37+D38+D41)</f>
        <v>415717790</v>
      </c>
      <c r="E43" s="517">
        <f t="shared" si="3"/>
        <v>61018822</v>
      </c>
    </row>
    <row r="44" spans="1:5" s="506" customFormat="1" x14ac:dyDescent="0.2">
      <c r="A44" s="512"/>
      <c r="B44" s="516" t="s">
        <v>696</v>
      </c>
      <c r="C44" s="517">
        <f>SUM(C36+C43)</f>
        <v>662081365</v>
      </c>
      <c r="D44" s="517">
        <f>SUM(D36+D43)</f>
        <v>741032516</v>
      </c>
      <c r="E44" s="517">
        <f t="shared" si="3"/>
        <v>78951151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759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622</v>
      </c>
      <c r="C47" s="513">
        <v>73542341</v>
      </c>
      <c r="D47" s="513">
        <v>65894943</v>
      </c>
      <c r="E47" s="514">
        <f t="shared" ref="E47:E55" si="4">D47-C47</f>
        <v>-7647398</v>
      </c>
    </row>
    <row r="48" spans="1:5" s="506" customFormat="1" x14ac:dyDescent="0.2">
      <c r="A48" s="512">
        <v>2</v>
      </c>
      <c r="B48" s="511" t="s">
        <v>601</v>
      </c>
      <c r="C48" s="513">
        <v>73292916</v>
      </c>
      <c r="D48" s="515">
        <v>74017104</v>
      </c>
      <c r="E48" s="514">
        <f t="shared" si="4"/>
        <v>724188</v>
      </c>
    </row>
    <row r="49" spans="1:5" s="506" customFormat="1" x14ac:dyDescent="0.2">
      <c r="A49" s="512">
        <v>3</v>
      </c>
      <c r="B49" s="511" t="s">
        <v>747</v>
      </c>
      <c r="C49" s="513">
        <v>13053158</v>
      </c>
      <c r="D49" s="515">
        <v>15708133</v>
      </c>
      <c r="E49" s="514">
        <f t="shared" si="4"/>
        <v>2654975</v>
      </c>
    </row>
    <row r="50" spans="1:5" s="506" customFormat="1" x14ac:dyDescent="0.2">
      <c r="A50" s="512">
        <v>4</v>
      </c>
      <c r="B50" s="511" t="s">
        <v>114</v>
      </c>
      <c r="C50" s="513">
        <v>11105341</v>
      </c>
      <c r="D50" s="515">
        <v>13969936</v>
      </c>
      <c r="E50" s="514">
        <f t="shared" si="4"/>
        <v>2864595</v>
      </c>
    </row>
    <row r="51" spans="1:5" s="506" customFormat="1" x14ac:dyDescent="0.2">
      <c r="A51" s="512">
        <v>5</v>
      </c>
      <c r="B51" s="511" t="s">
        <v>714</v>
      </c>
      <c r="C51" s="513">
        <v>1947817</v>
      </c>
      <c r="D51" s="515">
        <v>1738197</v>
      </c>
      <c r="E51" s="514">
        <f t="shared" si="4"/>
        <v>-209620</v>
      </c>
    </row>
    <row r="52" spans="1:5" s="506" customFormat="1" x14ac:dyDescent="0.2">
      <c r="A52" s="512">
        <v>6</v>
      </c>
      <c r="B52" s="511" t="s">
        <v>418</v>
      </c>
      <c r="C52" s="513">
        <v>54125</v>
      </c>
      <c r="D52" s="515">
        <v>74645</v>
      </c>
      <c r="E52" s="514">
        <f t="shared" si="4"/>
        <v>20520</v>
      </c>
    </row>
    <row r="53" spans="1:5" s="506" customFormat="1" x14ac:dyDescent="0.2">
      <c r="A53" s="512">
        <v>7</v>
      </c>
      <c r="B53" s="511" t="s">
        <v>729</v>
      </c>
      <c r="C53" s="513">
        <v>944700</v>
      </c>
      <c r="D53" s="515">
        <v>864294</v>
      </c>
      <c r="E53" s="514">
        <f t="shared" si="4"/>
        <v>-80406</v>
      </c>
    </row>
    <row r="54" spans="1:5" s="506" customFormat="1" x14ac:dyDescent="0.2">
      <c r="A54" s="512"/>
      <c r="B54" s="516" t="s">
        <v>760</v>
      </c>
      <c r="C54" s="517">
        <f>SUM(C48+C49+C52)</f>
        <v>86400199</v>
      </c>
      <c r="D54" s="517">
        <f>SUM(D48+D49+D52)</f>
        <v>89799882</v>
      </c>
      <c r="E54" s="517">
        <f t="shared" si="4"/>
        <v>3399683</v>
      </c>
    </row>
    <row r="55" spans="1:5" s="506" customFormat="1" x14ac:dyDescent="0.2">
      <c r="A55" s="512"/>
      <c r="B55" s="516" t="s">
        <v>689</v>
      </c>
      <c r="C55" s="517">
        <f>SUM(C47+C54)</f>
        <v>159942540</v>
      </c>
      <c r="D55" s="517">
        <f>SUM(D47+D54)</f>
        <v>155694825</v>
      </c>
      <c r="E55" s="517">
        <f t="shared" si="4"/>
        <v>-4247715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761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622</v>
      </c>
      <c r="C58" s="513">
        <v>101203092</v>
      </c>
      <c r="D58" s="513">
        <v>102580884</v>
      </c>
      <c r="E58" s="514">
        <f t="shared" ref="E58:E66" si="5">D58-C58</f>
        <v>1377792</v>
      </c>
    </row>
    <row r="59" spans="1:5" s="506" customFormat="1" x14ac:dyDescent="0.2">
      <c r="A59" s="512">
        <v>2</v>
      </c>
      <c r="B59" s="511" t="s">
        <v>601</v>
      </c>
      <c r="C59" s="513">
        <v>24630214</v>
      </c>
      <c r="D59" s="515">
        <v>25486345</v>
      </c>
      <c r="E59" s="514">
        <f t="shared" si="5"/>
        <v>856131</v>
      </c>
    </row>
    <row r="60" spans="1:5" s="506" customFormat="1" x14ac:dyDescent="0.2">
      <c r="A60" s="512">
        <v>3</v>
      </c>
      <c r="B60" s="511" t="s">
        <v>747</v>
      </c>
      <c r="C60" s="513">
        <f>C61+C62</f>
        <v>6995498</v>
      </c>
      <c r="D60" s="515">
        <f>D61+D62</f>
        <v>9575088</v>
      </c>
      <c r="E60" s="514">
        <f t="shared" si="5"/>
        <v>2579590</v>
      </c>
    </row>
    <row r="61" spans="1:5" s="506" customFormat="1" x14ac:dyDescent="0.2">
      <c r="A61" s="512">
        <v>4</v>
      </c>
      <c r="B61" s="511" t="s">
        <v>114</v>
      </c>
      <c r="C61" s="513">
        <v>6161426</v>
      </c>
      <c r="D61" s="515">
        <v>8956356</v>
      </c>
      <c r="E61" s="514">
        <f t="shared" si="5"/>
        <v>2794930</v>
      </c>
    </row>
    <row r="62" spans="1:5" s="506" customFormat="1" x14ac:dyDescent="0.2">
      <c r="A62" s="512">
        <v>5</v>
      </c>
      <c r="B62" s="511" t="s">
        <v>714</v>
      </c>
      <c r="C62" s="513">
        <v>834072</v>
      </c>
      <c r="D62" s="515">
        <v>618732</v>
      </c>
      <c r="E62" s="514">
        <f t="shared" si="5"/>
        <v>-215340</v>
      </c>
    </row>
    <row r="63" spans="1:5" s="506" customFormat="1" x14ac:dyDescent="0.2">
      <c r="A63" s="512">
        <v>6</v>
      </c>
      <c r="B63" s="511" t="s">
        <v>418</v>
      </c>
      <c r="C63" s="513">
        <v>180183</v>
      </c>
      <c r="D63" s="515">
        <v>40234</v>
      </c>
      <c r="E63" s="514">
        <f t="shared" si="5"/>
        <v>-139949</v>
      </c>
    </row>
    <row r="64" spans="1:5" s="506" customFormat="1" x14ac:dyDescent="0.2">
      <c r="A64" s="512">
        <v>7</v>
      </c>
      <c r="B64" s="511" t="s">
        <v>729</v>
      </c>
      <c r="C64" s="513">
        <v>2169940</v>
      </c>
      <c r="D64" s="515">
        <v>1670341</v>
      </c>
      <c r="E64" s="514">
        <f t="shared" si="5"/>
        <v>-499599</v>
      </c>
    </row>
    <row r="65" spans="1:5" s="506" customFormat="1" x14ac:dyDescent="0.2">
      <c r="A65" s="512"/>
      <c r="B65" s="516" t="s">
        <v>762</v>
      </c>
      <c r="C65" s="517">
        <f>SUM(C59+C60+C63)</f>
        <v>31805895</v>
      </c>
      <c r="D65" s="517">
        <f>SUM(D59+D60+D63)</f>
        <v>35101667</v>
      </c>
      <c r="E65" s="517">
        <f t="shared" si="5"/>
        <v>3295772</v>
      </c>
    </row>
    <row r="66" spans="1:5" s="506" customFormat="1" x14ac:dyDescent="0.2">
      <c r="A66" s="512"/>
      <c r="B66" s="516" t="s">
        <v>695</v>
      </c>
      <c r="C66" s="517">
        <f>SUM(C58+C65)</f>
        <v>133008987</v>
      </c>
      <c r="D66" s="517">
        <f>SUM(D58+D65)</f>
        <v>137682551</v>
      </c>
      <c r="E66" s="517">
        <f t="shared" si="5"/>
        <v>4673564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620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751</v>
      </c>
      <c r="C69" s="514">
        <f t="shared" ref="C69:D75" si="6">C47+C58</f>
        <v>174745433</v>
      </c>
      <c r="D69" s="514">
        <f t="shared" si="6"/>
        <v>168475827</v>
      </c>
      <c r="E69" s="514">
        <f t="shared" ref="E69:E77" si="7">D69-C69</f>
        <v>-6269606</v>
      </c>
    </row>
    <row r="70" spans="1:5" s="506" customFormat="1" x14ac:dyDescent="0.2">
      <c r="A70" s="512">
        <v>2</v>
      </c>
      <c r="B70" s="511" t="s">
        <v>752</v>
      </c>
      <c r="C70" s="514">
        <f t="shared" si="6"/>
        <v>97923130</v>
      </c>
      <c r="D70" s="514">
        <f t="shared" si="6"/>
        <v>99503449</v>
      </c>
      <c r="E70" s="514">
        <f t="shared" si="7"/>
        <v>1580319</v>
      </c>
    </row>
    <row r="71" spans="1:5" s="506" customFormat="1" x14ac:dyDescent="0.2">
      <c r="A71" s="512">
        <v>3</v>
      </c>
      <c r="B71" s="511" t="s">
        <v>753</v>
      </c>
      <c r="C71" s="514">
        <f t="shared" si="6"/>
        <v>20048656</v>
      </c>
      <c r="D71" s="514">
        <f t="shared" si="6"/>
        <v>25283221</v>
      </c>
      <c r="E71" s="514">
        <f t="shared" si="7"/>
        <v>5234565</v>
      </c>
    </row>
    <row r="72" spans="1:5" s="506" customFormat="1" x14ac:dyDescent="0.2">
      <c r="A72" s="512">
        <v>4</v>
      </c>
      <c r="B72" s="511" t="s">
        <v>754</v>
      </c>
      <c r="C72" s="514">
        <f t="shared" si="6"/>
        <v>17266767</v>
      </c>
      <c r="D72" s="514">
        <f t="shared" si="6"/>
        <v>22926292</v>
      </c>
      <c r="E72" s="514">
        <f t="shared" si="7"/>
        <v>5659525</v>
      </c>
    </row>
    <row r="73" spans="1:5" s="506" customFormat="1" x14ac:dyDescent="0.2">
      <c r="A73" s="512">
        <v>5</v>
      </c>
      <c r="B73" s="511" t="s">
        <v>755</v>
      </c>
      <c r="C73" s="514">
        <f t="shared" si="6"/>
        <v>2781889</v>
      </c>
      <c r="D73" s="514">
        <f t="shared" si="6"/>
        <v>2356929</v>
      </c>
      <c r="E73" s="514">
        <f t="shared" si="7"/>
        <v>-424960</v>
      </c>
    </row>
    <row r="74" spans="1:5" s="506" customFormat="1" x14ac:dyDescent="0.2">
      <c r="A74" s="512">
        <v>6</v>
      </c>
      <c r="B74" s="511" t="s">
        <v>756</v>
      </c>
      <c r="C74" s="514">
        <f t="shared" si="6"/>
        <v>234308</v>
      </c>
      <c r="D74" s="514">
        <f t="shared" si="6"/>
        <v>114879</v>
      </c>
      <c r="E74" s="514">
        <f t="shared" si="7"/>
        <v>-119429</v>
      </c>
    </row>
    <row r="75" spans="1:5" s="506" customFormat="1" x14ac:dyDescent="0.2">
      <c r="A75" s="512">
        <v>7</v>
      </c>
      <c r="B75" s="511" t="s">
        <v>757</v>
      </c>
      <c r="C75" s="514">
        <f t="shared" si="6"/>
        <v>3114640</v>
      </c>
      <c r="D75" s="514">
        <f t="shared" si="6"/>
        <v>2534635</v>
      </c>
      <c r="E75" s="514">
        <f t="shared" si="7"/>
        <v>-580005</v>
      </c>
    </row>
    <row r="76" spans="1:5" s="506" customFormat="1" x14ac:dyDescent="0.2">
      <c r="A76" s="512"/>
      <c r="B76" s="516" t="s">
        <v>763</v>
      </c>
      <c r="C76" s="517">
        <f>SUM(C70+C71+C74)</f>
        <v>118206094</v>
      </c>
      <c r="D76" s="517">
        <f>SUM(D70+D71+D74)</f>
        <v>124901549</v>
      </c>
      <c r="E76" s="517">
        <f t="shared" si="7"/>
        <v>6695455</v>
      </c>
    </row>
    <row r="77" spans="1:5" s="506" customFormat="1" x14ac:dyDescent="0.2">
      <c r="A77" s="512"/>
      <c r="B77" s="516" t="s">
        <v>697</v>
      </c>
      <c r="C77" s="517">
        <f>SUM(C69+C76)</f>
        <v>292951527</v>
      </c>
      <c r="D77" s="517">
        <f>SUM(D69+D76)</f>
        <v>293377376</v>
      </c>
      <c r="E77" s="517">
        <f t="shared" si="7"/>
        <v>425849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764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765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622</v>
      </c>
      <c r="C83" s="523">
        <f t="shared" ref="C83:D89" si="8">IF(C$44=0,0,C14/C$44)</f>
        <v>0.20367148077034308</v>
      </c>
      <c r="D83" s="523">
        <f t="shared" si="8"/>
        <v>0.17806966921273398</v>
      </c>
      <c r="E83" s="523">
        <f t="shared" ref="E83:E91" si="9">D83-C83</f>
        <v>-2.56018115576091E-2</v>
      </c>
    </row>
    <row r="84" spans="1:5" s="506" customFormat="1" x14ac:dyDescent="0.2">
      <c r="A84" s="512">
        <v>2</v>
      </c>
      <c r="B84" s="511" t="s">
        <v>601</v>
      </c>
      <c r="C84" s="523">
        <f t="shared" si="8"/>
        <v>0.28711266930160462</v>
      </c>
      <c r="D84" s="523">
        <f t="shared" si="8"/>
        <v>0.29437999452105013</v>
      </c>
      <c r="E84" s="523">
        <f t="shared" si="9"/>
        <v>7.2673252194455085E-3</v>
      </c>
    </row>
    <row r="85" spans="1:5" s="506" customFormat="1" x14ac:dyDescent="0.2">
      <c r="A85" s="512">
        <v>3</v>
      </c>
      <c r="B85" s="511" t="s">
        <v>747</v>
      </c>
      <c r="C85" s="523">
        <f t="shared" si="8"/>
        <v>7.2276104614423034E-2</v>
      </c>
      <c r="D85" s="523">
        <f t="shared" si="8"/>
        <v>7.8952745981797107E-2</v>
      </c>
      <c r="E85" s="523">
        <f t="shared" si="9"/>
        <v>6.6766413673740727E-3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5.4838377757392399E-2</v>
      </c>
      <c r="D86" s="523">
        <f t="shared" si="8"/>
        <v>7.1186403917530658E-2</v>
      </c>
      <c r="E86" s="523">
        <f t="shared" si="9"/>
        <v>1.6348026160138258E-2</v>
      </c>
    </row>
    <row r="87" spans="1:5" s="506" customFormat="1" x14ac:dyDescent="0.2">
      <c r="A87" s="512">
        <v>5</v>
      </c>
      <c r="B87" s="511" t="s">
        <v>714</v>
      </c>
      <c r="C87" s="523">
        <f t="shared" si="8"/>
        <v>1.7437726857030631E-2</v>
      </c>
      <c r="D87" s="523">
        <f t="shared" si="8"/>
        <v>7.7663420642664488E-3</v>
      </c>
      <c r="E87" s="523">
        <f t="shared" si="9"/>
        <v>-9.6713847927641823E-3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2.2834957754776862E-4</v>
      </c>
      <c r="D88" s="523">
        <f t="shared" si="8"/>
        <v>2.3672780372298804E-4</v>
      </c>
      <c r="E88" s="523">
        <f t="shared" si="9"/>
        <v>8.3782261752194157E-6</v>
      </c>
    </row>
    <row r="89" spans="1:5" s="506" customFormat="1" x14ac:dyDescent="0.2">
      <c r="A89" s="512">
        <v>7</v>
      </c>
      <c r="B89" s="511" t="s">
        <v>729</v>
      </c>
      <c r="C89" s="523">
        <f t="shared" si="8"/>
        <v>1.8096602069445043E-2</v>
      </c>
      <c r="D89" s="523">
        <f t="shared" si="8"/>
        <v>1.3500966265291387E-2</v>
      </c>
      <c r="E89" s="523">
        <f t="shared" si="9"/>
        <v>-4.5956358041536558E-3</v>
      </c>
    </row>
    <row r="90" spans="1:5" s="506" customFormat="1" x14ac:dyDescent="0.2">
      <c r="A90" s="512"/>
      <c r="B90" s="516" t="s">
        <v>766</v>
      </c>
      <c r="C90" s="524">
        <f>SUM(C84+C85+C88)</f>
        <v>0.35961712349357539</v>
      </c>
      <c r="D90" s="524">
        <f>SUM(D84+D85+D88)</f>
        <v>0.37356946830657023</v>
      </c>
      <c r="E90" s="525">
        <f t="shared" si="9"/>
        <v>1.3952344812994844E-2</v>
      </c>
    </row>
    <row r="91" spans="1:5" s="506" customFormat="1" x14ac:dyDescent="0.2">
      <c r="A91" s="512"/>
      <c r="B91" s="516" t="s">
        <v>767</v>
      </c>
      <c r="C91" s="524">
        <f>SUM(C83+C90)</f>
        <v>0.56328860426391847</v>
      </c>
      <c r="D91" s="524">
        <f>SUM(D83+D90)</f>
        <v>0.55163913751930416</v>
      </c>
      <c r="E91" s="525">
        <f t="shared" si="9"/>
        <v>-1.1649466744614312E-2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768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622</v>
      </c>
      <c r="C95" s="523">
        <f t="shared" ref="C95:D101" si="10">IF(C$44=0,0,C25/C$44)</f>
        <v>0.26059531973083094</v>
      </c>
      <c r="D95" s="523">
        <f t="shared" si="10"/>
        <v>0.26093228950833247</v>
      </c>
      <c r="E95" s="523">
        <f t="shared" ref="E95:E103" si="11">D95-C95</f>
        <v>3.369697775015279E-4</v>
      </c>
    </row>
    <row r="96" spans="1:5" s="506" customFormat="1" x14ac:dyDescent="0.2">
      <c r="A96" s="512">
        <v>2</v>
      </c>
      <c r="B96" s="511" t="s">
        <v>601</v>
      </c>
      <c r="C96" s="523">
        <f t="shared" si="10"/>
        <v>0.13021079969529123</v>
      </c>
      <c r="D96" s="523">
        <f t="shared" si="10"/>
        <v>0.13359042263673082</v>
      </c>
      <c r="E96" s="523">
        <f t="shared" si="11"/>
        <v>3.3796229414395917E-3</v>
      </c>
    </row>
    <row r="97" spans="1:5" s="506" customFormat="1" x14ac:dyDescent="0.2">
      <c r="A97" s="512">
        <v>3</v>
      </c>
      <c r="B97" s="511" t="s">
        <v>747</v>
      </c>
      <c r="C97" s="523">
        <f t="shared" si="10"/>
        <v>4.5393861825426852E-2</v>
      </c>
      <c r="D97" s="523">
        <f t="shared" si="10"/>
        <v>5.3354589908440671E-2</v>
      </c>
      <c r="E97" s="523">
        <f t="shared" si="11"/>
        <v>7.9607280830138183E-3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3.6919782510416978E-2</v>
      </c>
      <c r="D98" s="523">
        <f t="shared" si="10"/>
        <v>4.8263287005343769E-2</v>
      </c>
      <c r="E98" s="523">
        <f t="shared" si="11"/>
        <v>1.1343504494926791E-2</v>
      </c>
    </row>
    <row r="99" spans="1:5" s="506" customFormat="1" x14ac:dyDescent="0.2">
      <c r="A99" s="512">
        <v>5</v>
      </c>
      <c r="B99" s="511" t="s">
        <v>714</v>
      </c>
      <c r="C99" s="523">
        <f t="shared" si="10"/>
        <v>8.4740793150098696E-3</v>
      </c>
      <c r="D99" s="523">
        <f t="shared" si="10"/>
        <v>5.0913029030969E-3</v>
      </c>
      <c r="E99" s="523">
        <f t="shared" si="11"/>
        <v>-3.3827764119129695E-3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5.1141448453242597E-4</v>
      </c>
      <c r="D100" s="523">
        <f t="shared" si="10"/>
        <v>4.835604271918346E-4</v>
      </c>
      <c r="E100" s="523">
        <f t="shared" si="11"/>
        <v>-2.7854057340591376E-5</v>
      </c>
    </row>
    <row r="101" spans="1:5" s="506" customFormat="1" x14ac:dyDescent="0.2">
      <c r="A101" s="512">
        <v>7</v>
      </c>
      <c r="B101" s="511" t="s">
        <v>729</v>
      </c>
      <c r="C101" s="523">
        <f t="shared" si="10"/>
        <v>3.2141797254783028E-2</v>
      </c>
      <c r="D101" s="523">
        <f t="shared" si="10"/>
        <v>3.1855881476596369E-2</v>
      </c>
      <c r="E101" s="523">
        <f t="shared" si="11"/>
        <v>-2.8591577818665864E-4</v>
      </c>
    </row>
    <row r="102" spans="1:5" s="506" customFormat="1" x14ac:dyDescent="0.2">
      <c r="A102" s="512"/>
      <c r="B102" s="516" t="s">
        <v>769</v>
      </c>
      <c r="C102" s="524">
        <f>SUM(C96+C97+C100)</f>
        <v>0.1761160760052505</v>
      </c>
      <c r="D102" s="524">
        <f>SUM(D96+D97+D100)</f>
        <v>0.18742857297236332</v>
      </c>
      <c r="E102" s="525">
        <f t="shared" si="11"/>
        <v>1.1312496967112812E-2</v>
      </c>
    </row>
    <row r="103" spans="1:5" s="506" customFormat="1" x14ac:dyDescent="0.2">
      <c r="A103" s="512"/>
      <c r="B103" s="516" t="s">
        <v>770</v>
      </c>
      <c r="C103" s="524">
        <f>SUM(C95+C102)</f>
        <v>0.43671139573608142</v>
      </c>
      <c r="D103" s="524">
        <f>SUM(D95+D102)</f>
        <v>0.44836086248069579</v>
      </c>
      <c r="E103" s="525">
        <f t="shared" si="11"/>
        <v>1.1649466744614367E-2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771</v>
      </c>
      <c r="C105" s="525">
        <f>C91+C103</f>
        <v>0.99999999999999989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772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622</v>
      </c>
      <c r="C109" s="523">
        <f t="shared" ref="C109:D115" si="12">IF(C$77=0,0,C47/C$77)</f>
        <v>0.25103928200381082</v>
      </c>
      <c r="D109" s="523">
        <f t="shared" si="12"/>
        <v>0.22460812724700352</v>
      </c>
      <c r="E109" s="523">
        <f t="shared" ref="E109:E117" si="13">D109-C109</f>
        <v>-2.6431154756807296E-2</v>
      </c>
    </row>
    <row r="110" spans="1:5" s="506" customFormat="1" x14ac:dyDescent="0.2">
      <c r="A110" s="512">
        <v>2</v>
      </c>
      <c r="B110" s="511" t="s">
        <v>601</v>
      </c>
      <c r="C110" s="523">
        <f t="shared" si="12"/>
        <v>0.25018786128395909</v>
      </c>
      <c r="D110" s="523">
        <f t="shared" si="12"/>
        <v>0.25229315569309613</v>
      </c>
      <c r="E110" s="523">
        <f t="shared" si="13"/>
        <v>2.1052944091370374E-3</v>
      </c>
    </row>
    <row r="111" spans="1:5" s="506" customFormat="1" x14ac:dyDescent="0.2">
      <c r="A111" s="512">
        <v>3</v>
      </c>
      <c r="B111" s="511" t="s">
        <v>747</v>
      </c>
      <c r="C111" s="523">
        <f t="shared" si="12"/>
        <v>4.4557398739894602E-2</v>
      </c>
      <c r="D111" s="523">
        <f t="shared" si="12"/>
        <v>5.3542414258964534E-2</v>
      </c>
      <c r="E111" s="523">
        <f t="shared" si="13"/>
        <v>8.9850155190699318E-3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3.7908459169765651E-2</v>
      </c>
      <c r="D112" s="523">
        <f t="shared" si="12"/>
        <v>4.7617632247143694E-2</v>
      </c>
      <c r="E112" s="523">
        <f t="shared" si="13"/>
        <v>9.709173077378043E-3</v>
      </c>
    </row>
    <row r="113" spans="1:5" s="506" customFormat="1" x14ac:dyDescent="0.2">
      <c r="A113" s="512">
        <v>5</v>
      </c>
      <c r="B113" s="511" t="s">
        <v>714</v>
      </c>
      <c r="C113" s="523">
        <f t="shared" si="12"/>
        <v>6.6489395701289514E-3</v>
      </c>
      <c r="D113" s="523">
        <f t="shared" si="12"/>
        <v>5.9247820118208437E-3</v>
      </c>
      <c r="E113" s="523">
        <f t="shared" si="13"/>
        <v>-7.2415755830810766E-4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1.8475752816267109E-4</v>
      </c>
      <c r="D114" s="523">
        <f t="shared" si="12"/>
        <v>2.5443338889226413E-4</v>
      </c>
      <c r="E114" s="523">
        <f t="shared" si="13"/>
        <v>6.9675860729593041E-5</v>
      </c>
    </row>
    <row r="115" spans="1:5" s="506" customFormat="1" x14ac:dyDescent="0.2">
      <c r="A115" s="512">
        <v>7</v>
      </c>
      <c r="B115" s="511" t="s">
        <v>729</v>
      </c>
      <c r="C115" s="523">
        <f t="shared" si="12"/>
        <v>3.2247655770027786E-3</v>
      </c>
      <c r="D115" s="523">
        <f t="shared" si="12"/>
        <v>2.9460144874974953E-3</v>
      </c>
      <c r="E115" s="523">
        <f t="shared" si="13"/>
        <v>-2.7875108950528322E-4</v>
      </c>
    </row>
    <row r="116" spans="1:5" s="506" customFormat="1" x14ac:dyDescent="0.2">
      <c r="A116" s="512"/>
      <c r="B116" s="516" t="s">
        <v>766</v>
      </c>
      <c r="C116" s="524">
        <f>SUM(C110+C111+C114)</f>
        <v>0.29493001755201637</v>
      </c>
      <c r="D116" s="524">
        <f>SUM(D110+D111+D114)</f>
        <v>0.30609000334095293</v>
      </c>
      <c r="E116" s="525">
        <f t="shared" si="13"/>
        <v>1.1159985788936566E-2</v>
      </c>
    </row>
    <row r="117" spans="1:5" s="506" customFormat="1" x14ac:dyDescent="0.2">
      <c r="A117" s="512"/>
      <c r="B117" s="516" t="s">
        <v>767</v>
      </c>
      <c r="C117" s="524">
        <f>SUM(C109+C116)</f>
        <v>0.54596929955582718</v>
      </c>
      <c r="D117" s="524">
        <f>SUM(D109+D116)</f>
        <v>0.53069813058795645</v>
      </c>
      <c r="E117" s="525">
        <f t="shared" si="13"/>
        <v>-1.527116896787073E-2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773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622</v>
      </c>
      <c r="C121" s="523">
        <f t="shared" ref="C121:D127" si="14">IF(C$77=0,0,C58/C$77)</f>
        <v>0.34546019621874169</v>
      </c>
      <c r="D121" s="523">
        <f t="shared" si="14"/>
        <v>0.34965505997299534</v>
      </c>
      <c r="E121" s="523">
        <f t="shared" ref="E121:E129" si="15">D121-C121</f>
        <v>4.1948637542536527E-3</v>
      </c>
    </row>
    <row r="122" spans="1:5" s="506" customFormat="1" x14ac:dyDescent="0.2">
      <c r="A122" s="512">
        <v>2</v>
      </c>
      <c r="B122" s="511" t="s">
        <v>601</v>
      </c>
      <c r="C122" s="523">
        <f t="shared" si="14"/>
        <v>8.4076073104066798E-2</v>
      </c>
      <c r="D122" s="523">
        <f t="shared" si="14"/>
        <v>8.6872223575958363E-2</v>
      </c>
      <c r="E122" s="523">
        <f t="shared" si="15"/>
        <v>2.7961504718915647E-3</v>
      </c>
    </row>
    <row r="123" spans="1:5" s="506" customFormat="1" x14ac:dyDescent="0.2">
      <c r="A123" s="512">
        <v>3</v>
      </c>
      <c r="B123" s="511" t="s">
        <v>747</v>
      </c>
      <c r="C123" s="523">
        <f t="shared" si="14"/>
        <v>2.387937032326853E-2</v>
      </c>
      <c r="D123" s="523">
        <f t="shared" si="14"/>
        <v>3.2637445090517136E-2</v>
      </c>
      <c r="E123" s="523">
        <f t="shared" si="15"/>
        <v>8.758074767248606E-3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2.1032237186461227E-2</v>
      </c>
      <c r="D124" s="523">
        <f t="shared" si="14"/>
        <v>3.0528448110463704E-2</v>
      </c>
      <c r="E124" s="523">
        <f t="shared" si="15"/>
        <v>9.4962109240024767E-3</v>
      </c>
    </row>
    <row r="125" spans="1:5" s="506" customFormat="1" x14ac:dyDescent="0.2">
      <c r="A125" s="512">
        <v>5</v>
      </c>
      <c r="B125" s="511" t="s">
        <v>714</v>
      </c>
      <c r="C125" s="523">
        <f t="shared" si="14"/>
        <v>2.8471331368073055E-3</v>
      </c>
      <c r="D125" s="523">
        <f t="shared" si="14"/>
        <v>2.1089969800534313E-3</v>
      </c>
      <c r="E125" s="523">
        <f t="shared" si="15"/>
        <v>-7.3813615675387412E-4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6.1506079809578874E-4</v>
      </c>
      <c r="D126" s="523">
        <f t="shared" si="14"/>
        <v>1.3714077257272899E-4</v>
      </c>
      <c r="E126" s="523">
        <f t="shared" si="15"/>
        <v>-4.7792002552305974E-4</v>
      </c>
    </row>
    <row r="127" spans="1:5" s="506" customFormat="1" x14ac:dyDescent="0.2">
      <c r="A127" s="512">
        <v>7</v>
      </c>
      <c r="B127" s="511" t="s">
        <v>729</v>
      </c>
      <c r="C127" s="523">
        <f t="shared" si="14"/>
        <v>7.4071639845045079E-3</v>
      </c>
      <c r="D127" s="523">
        <f t="shared" si="14"/>
        <v>5.6934894666179027E-3</v>
      </c>
      <c r="E127" s="523">
        <f t="shared" si="15"/>
        <v>-1.7136745178866052E-3</v>
      </c>
    </row>
    <row r="128" spans="1:5" s="506" customFormat="1" x14ac:dyDescent="0.2">
      <c r="A128" s="512"/>
      <c r="B128" s="516" t="s">
        <v>769</v>
      </c>
      <c r="C128" s="524">
        <f>SUM(C122+C123+C126)</f>
        <v>0.10857050422543112</v>
      </c>
      <c r="D128" s="524">
        <f>SUM(D122+D123+D126)</f>
        <v>0.11964680943904824</v>
      </c>
      <c r="E128" s="525">
        <f t="shared" si="15"/>
        <v>1.1076305213617119E-2</v>
      </c>
    </row>
    <row r="129" spans="1:5" s="506" customFormat="1" x14ac:dyDescent="0.2">
      <c r="A129" s="512"/>
      <c r="B129" s="516" t="s">
        <v>770</v>
      </c>
      <c r="C129" s="524">
        <f>SUM(C121+C128)</f>
        <v>0.45403070044417282</v>
      </c>
      <c r="D129" s="524">
        <f>SUM(D121+D128)</f>
        <v>0.46930186941204355</v>
      </c>
      <c r="E129" s="525">
        <f t="shared" si="15"/>
        <v>1.527116896787073E-2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774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775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776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622</v>
      </c>
      <c r="C137" s="530">
        <v>7052</v>
      </c>
      <c r="D137" s="530">
        <v>6117</v>
      </c>
      <c r="E137" s="531">
        <f t="shared" ref="E137:E145" si="16">D137-C137</f>
        <v>-935</v>
      </c>
    </row>
    <row r="138" spans="1:5" s="506" customFormat="1" x14ac:dyDescent="0.2">
      <c r="A138" s="512">
        <v>2</v>
      </c>
      <c r="B138" s="511" t="s">
        <v>601</v>
      </c>
      <c r="C138" s="530">
        <v>5539</v>
      </c>
      <c r="D138" s="530">
        <v>5684</v>
      </c>
      <c r="E138" s="531">
        <f t="shared" si="16"/>
        <v>145</v>
      </c>
    </row>
    <row r="139" spans="1:5" s="506" customFormat="1" x14ac:dyDescent="0.2">
      <c r="A139" s="512">
        <v>3</v>
      </c>
      <c r="B139" s="511" t="s">
        <v>747</v>
      </c>
      <c r="C139" s="530">
        <f>C140+C141</f>
        <v>2730</v>
      </c>
      <c r="D139" s="530">
        <f>D140+D141</f>
        <v>2673</v>
      </c>
      <c r="E139" s="531">
        <f t="shared" si="16"/>
        <v>-57</v>
      </c>
    </row>
    <row r="140" spans="1:5" s="506" customFormat="1" x14ac:dyDescent="0.2">
      <c r="A140" s="512">
        <v>4</v>
      </c>
      <c r="B140" s="511" t="s">
        <v>114</v>
      </c>
      <c r="C140" s="530">
        <v>2254</v>
      </c>
      <c r="D140" s="530">
        <v>2458</v>
      </c>
      <c r="E140" s="531">
        <f t="shared" si="16"/>
        <v>204</v>
      </c>
    </row>
    <row r="141" spans="1:5" s="506" customFormat="1" x14ac:dyDescent="0.2">
      <c r="A141" s="512">
        <v>5</v>
      </c>
      <c r="B141" s="511" t="s">
        <v>714</v>
      </c>
      <c r="C141" s="530">
        <v>476</v>
      </c>
      <c r="D141" s="530">
        <v>215</v>
      </c>
      <c r="E141" s="531">
        <f t="shared" si="16"/>
        <v>-261</v>
      </c>
    </row>
    <row r="142" spans="1:5" s="506" customFormat="1" x14ac:dyDescent="0.2">
      <c r="A142" s="512">
        <v>6</v>
      </c>
      <c r="B142" s="511" t="s">
        <v>418</v>
      </c>
      <c r="C142" s="530">
        <v>11</v>
      </c>
      <c r="D142" s="530">
        <v>9</v>
      </c>
      <c r="E142" s="531">
        <f t="shared" si="16"/>
        <v>-2</v>
      </c>
    </row>
    <row r="143" spans="1:5" s="506" customFormat="1" x14ac:dyDescent="0.2">
      <c r="A143" s="512">
        <v>7</v>
      </c>
      <c r="B143" s="511" t="s">
        <v>729</v>
      </c>
      <c r="C143" s="530">
        <v>527</v>
      </c>
      <c r="D143" s="530">
        <v>426</v>
      </c>
      <c r="E143" s="531">
        <f t="shared" si="16"/>
        <v>-101</v>
      </c>
    </row>
    <row r="144" spans="1:5" s="506" customFormat="1" x14ac:dyDescent="0.2">
      <c r="A144" s="512"/>
      <c r="B144" s="516" t="s">
        <v>777</v>
      </c>
      <c r="C144" s="532">
        <f>SUM(C138+C139+C142)</f>
        <v>8280</v>
      </c>
      <c r="D144" s="532">
        <f>SUM(D138+D139+D142)</f>
        <v>8366</v>
      </c>
      <c r="E144" s="533">
        <f t="shared" si="16"/>
        <v>86</v>
      </c>
    </row>
    <row r="145" spans="1:5" s="506" customFormat="1" x14ac:dyDescent="0.2">
      <c r="A145" s="512"/>
      <c r="B145" s="516" t="s">
        <v>691</v>
      </c>
      <c r="C145" s="532">
        <f>SUM(C137+C144)</f>
        <v>15332</v>
      </c>
      <c r="D145" s="532">
        <f>SUM(D137+D144)</f>
        <v>14483</v>
      </c>
      <c r="E145" s="533">
        <f t="shared" si="16"/>
        <v>-849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622</v>
      </c>
      <c r="C149" s="534">
        <v>24285</v>
      </c>
      <c r="D149" s="534">
        <v>20790</v>
      </c>
      <c r="E149" s="531">
        <f t="shared" ref="E149:E157" si="17">D149-C149</f>
        <v>-3495</v>
      </c>
    </row>
    <row r="150" spans="1:5" s="506" customFormat="1" x14ac:dyDescent="0.2">
      <c r="A150" s="512">
        <v>2</v>
      </c>
      <c r="B150" s="511" t="s">
        <v>601</v>
      </c>
      <c r="C150" s="534">
        <v>36539</v>
      </c>
      <c r="D150" s="534">
        <v>37668</v>
      </c>
      <c r="E150" s="531">
        <f t="shared" si="17"/>
        <v>1129</v>
      </c>
    </row>
    <row r="151" spans="1:5" s="506" customFormat="1" x14ac:dyDescent="0.2">
      <c r="A151" s="512">
        <v>3</v>
      </c>
      <c r="B151" s="511" t="s">
        <v>747</v>
      </c>
      <c r="C151" s="534">
        <f>C152+C153</f>
        <v>10517</v>
      </c>
      <c r="D151" s="534">
        <f>D152+D153</f>
        <v>10935</v>
      </c>
      <c r="E151" s="531">
        <f t="shared" si="17"/>
        <v>418</v>
      </c>
    </row>
    <row r="152" spans="1:5" s="506" customFormat="1" x14ac:dyDescent="0.2">
      <c r="A152" s="512">
        <v>4</v>
      </c>
      <c r="B152" s="511" t="s">
        <v>114</v>
      </c>
      <c r="C152" s="534">
        <v>8186</v>
      </c>
      <c r="D152" s="534">
        <v>9876</v>
      </c>
      <c r="E152" s="531">
        <f t="shared" si="17"/>
        <v>1690</v>
      </c>
    </row>
    <row r="153" spans="1:5" s="506" customFormat="1" x14ac:dyDescent="0.2">
      <c r="A153" s="512">
        <v>5</v>
      </c>
      <c r="B153" s="511" t="s">
        <v>714</v>
      </c>
      <c r="C153" s="535">
        <v>2331</v>
      </c>
      <c r="D153" s="534">
        <v>1059</v>
      </c>
      <c r="E153" s="531">
        <f t="shared" si="17"/>
        <v>-1272</v>
      </c>
    </row>
    <row r="154" spans="1:5" s="506" customFormat="1" x14ac:dyDescent="0.2">
      <c r="A154" s="512">
        <v>6</v>
      </c>
      <c r="B154" s="511" t="s">
        <v>418</v>
      </c>
      <c r="C154" s="534">
        <v>22</v>
      </c>
      <c r="D154" s="534">
        <v>24</v>
      </c>
      <c r="E154" s="531">
        <f t="shared" si="17"/>
        <v>2</v>
      </c>
    </row>
    <row r="155" spans="1:5" s="506" customFormat="1" x14ac:dyDescent="0.2">
      <c r="A155" s="512">
        <v>7</v>
      </c>
      <c r="B155" s="511" t="s">
        <v>729</v>
      </c>
      <c r="C155" s="534">
        <v>2115</v>
      </c>
      <c r="D155" s="534">
        <v>1527</v>
      </c>
      <c r="E155" s="531">
        <f t="shared" si="17"/>
        <v>-588</v>
      </c>
    </row>
    <row r="156" spans="1:5" s="506" customFormat="1" x14ac:dyDescent="0.2">
      <c r="A156" s="512"/>
      <c r="B156" s="516" t="s">
        <v>778</v>
      </c>
      <c r="C156" s="532">
        <f>SUM(C150+C151+C154)</f>
        <v>47078</v>
      </c>
      <c r="D156" s="532">
        <f>SUM(D150+D151+D154)</f>
        <v>48627</v>
      </c>
      <c r="E156" s="533">
        <f t="shared" si="17"/>
        <v>1549</v>
      </c>
    </row>
    <row r="157" spans="1:5" s="506" customFormat="1" x14ac:dyDescent="0.2">
      <c r="A157" s="512"/>
      <c r="B157" s="516" t="s">
        <v>779</v>
      </c>
      <c r="C157" s="532">
        <f>SUM(C149+C156)</f>
        <v>71363</v>
      </c>
      <c r="D157" s="532">
        <f>SUM(D149+D156)</f>
        <v>69417</v>
      </c>
      <c r="E157" s="533">
        <f t="shared" si="17"/>
        <v>-1946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780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622</v>
      </c>
      <c r="C161" s="536">
        <f t="shared" ref="C161:D169" si="18">IF(C137=0,0,C149/C137)</f>
        <v>3.4437039137833239</v>
      </c>
      <c r="D161" s="536">
        <f t="shared" si="18"/>
        <v>3.3987248651299655</v>
      </c>
      <c r="E161" s="537">
        <f t="shared" ref="E161:E169" si="19">D161-C161</f>
        <v>-4.4979048653358333E-2</v>
      </c>
    </row>
    <row r="162" spans="1:5" s="506" customFormat="1" x14ac:dyDescent="0.2">
      <c r="A162" s="512">
        <v>2</v>
      </c>
      <c r="B162" s="511" t="s">
        <v>601</v>
      </c>
      <c r="C162" s="536">
        <f t="shared" si="18"/>
        <v>6.5966781007402062</v>
      </c>
      <c r="D162" s="536">
        <f t="shared" si="18"/>
        <v>6.627023223082336</v>
      </c>
      <c r="E162" s="537">
        <f t="shared" si="19"/>
        <v>3.0345122342129827E-2</v>
      </c>
    </row>
    <row r="163" spans="1:5" s="506" customFormat="1" x14ac:dyDescent="0.2">
      <c r="A163" s="512">
        <v>3</v>
      </c>
      <c r="B163" s="511" t="s">
        <v>747</v>
      </c>
      <c r="C163" s="536">
        <f t="shared" si="18"/>
        <v>3.8523809523809525</v>
      </c>
      <c r="D163" s="536">
        <f t="shared" si="18"/>
        <v>4.0909090909090908</v>
      </c>
      <c r="E163" s="537">
        <f t="shared" si="19"/>
        <v>0.23852813852813837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3.6317657497781721</v>
      </c>
      <c r="D164" s="536">
        <f t="shared" si="18"/>
        <v>4.0179007323026852</v>
      </c>
      <c r="E164" s="537">
        <f t="shared" si="19"/>
        <v>0.38613498252451306</v>
      </c>
    </row>
    <row r="165" spans="1:5" s="506" customFormat="1" x14ac:dyDescent="0.2">
      <c r="A165" s="512">
        <v>5</v>
      </c>
      <c r="B165" s="511" t="s">
        <v>714</v>
      </c>
      <c r="C165" s="536">
        <f t="shared" si="18"/>
        <v>4.8970588235294121</v>
      </c>
      <c r="D165" s="536">
        <f t="shared" si="18"/>
        <v>4.9255813953488374</v>
      </c>
      <c r="E165" s="537">
        <f t="shared" si="19"/>
        <v>2.8522571819425302E-2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</v>
      </c>
      <c r="D166" s="536">
        <f t="shared" si="18"/>
        <v>2.6666666666666665</v>
      </c>
      <c r="E166" s="537">
        <f t="shared" si="19"/>
        <v>0.66666666666666652</v>
      </c>
    </row>
    <row r="167" spans="1:5" s="506" customFormat="1" x14ac:dyDescent="0.2">
      <c r="A167" s="512">
        <v>7</v>
      </c>
      <c r="B167" s="511" t="s">
        <v>729</v>
      </c>
      <c r="C167" s="536">
        <f t="shared" si="18"/>
        <v>4.0132827324478182</v>
      </c>
      <c r="D167" s="536">
        <f t="shared" si="18"/>
        <v>3.584507042253521</v>
      </c>
      <c r="E167" s="537">
        <f t="shared" si="19"/>
        <v>-0.42877569019429718</v>
      </c>
    </row>
    <row r="168" spans="1:5" s="506" customFormat="1" x14ac:dyDescent="0.2">
      <c r="A168" s="512"/>
      <c r="B168" s="516" t="s">
        <v>781</v>
      </c>
      <c r="C168" s="538">
        <f t="shared" si="18"/>
        <v>5.6857487922705312</v>
      </c>
      <c r="D168" s="538">
        <f t="shared" si="18"/>
        <v>5.8124551757112117</v>
      </c>
      <c r="E168" s="539">
        <f t="shared" si="19"/>
        <v>0.12670638344068053</v>
      </c>
    </row>
    <row r="169" spans="1:5" s="506" customFormat="1" x14ac:dyDescent="0.2">
      <c r="A169" s="512"/>
      <c r="B169" s="516" t="s">
        <v>715</v>
      </c>
      <c r="C169" s="538">
        <f t="shared" si="18"/>
        <v>4.6545134359509523</v>
      </c>
      <c r="D169" s="538">
        <f t="shared" si="18"/>
        <v>4.7929986881171027</v>
      </c>
      <c r="E169" s="539">
        <f t="shared" si="19"/>
        <v>0.13848525216615037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782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622</v>
      </c>
      <c r="C173" s="541">
        <f t="shared" ref="C173:D181" si="20">IF(C137=0,0,C203/C137)</f>
        <v>0.9718</v>
      </c>
      <c r="D173" s="541">
        <f t="shared" si="20"/>
        <v>1.00613</v>
      </c>
      <c r="E173" s="542">
        <f t="shared" ref="E173:E181" si="21">D173-C173</f>
        <v>3.4329999999999972E-2</v>
      </c>
    </row>
    <row r="174" spans="1:5" s="506" customFormat="1" x14ac:dyDescent="0.2">
      <c r="A174" s="512">
        <v>2</v>
      </c>
      <c r="B174" s="511" t="s">
        <v>601</v>
      </c>
      <c r="C174" s="541">
        <f t="shared" si="20"/>
        <v>1.4787999999999999</v>
      </c>
      <c r="D174" s="541">
        <f t="shared" si="20"/>
        <v>1.4781299999999999</v>
      </c>
      <c r="E174" s="542">
        <f t="shared" si="21"/>
        <v>-6.6999999999994841E-4</v>
      </c>
    </row>
    <row r="175" spans="1:5" s="506" customFormat="1" x14ac:dyDescent="0.2">
      <c r="A175" s="512">
        <v>0</v>
      </c>
      <c r="B175" s="511" t="s">
        <v>747</v>
      </c>
      <c r="C175" s="541">
        <f t="shared" si="20"/>
        <v>0.83933282051282054</v>
      </c>
      <c r="D175" s="541">
        <f t="shared" si="20"/>
        <v>0.90314489711934165</v>
      </c>
      <c r="E175" s="542">
        <f t="shared" si="21"/>
        <v>6.3812076606521106E-2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0.79590000000000005</v>
      </c>
      <c r="D176" s="541">
        <f t="shared" si="20"/>
        <v>0.89512000000000003</v>
      </c>
      <c r="E176" s="542">
        <f t="shared" si="21"/>
        <v>9.9219999999999975E-2</v>
      </c>
    </row>
    <row r="177" spans="1:5" s="506" customFormat="1" x14ac:dyDescent="0.2">
      <c r="A177" s="512">
        <v>5</v>
      </c>
      <c r="B177" s="511" t="s">
        <v>714</v>
      </c>
      <c r="C177" s="541">
        <f t="shared" si="20"/>
        <v>1.0449999999999999</v>
      </c>
      <c r="D177" s="541">
        <f t="shared" si="20"/>
        <v>0.99489000000000005</v>
      </c>
      <c r="E177" s="542">
        <f t="shared" si="21"/>
        <v>-5.0109999999999877E-2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0.89129999999999998</v>
      </c>
      <c r="D178" s="541">
        <f t="shared" si="20"/>
        <v>0.96191000000000004</v>
      </c>
      <c r="E178" s="542">
        <f t="shared" si="21"/>
        <v>7.0610000000000062E-2</v>
      </c>
    </row>
    <row r="179" spans="1:5" s="506" customFormat="1" x14ac:dyDescent="0.2">
      <c r="A179" s="512">
        <v>7</v>
      </c>
      <c r="B179" s="511" t="s">
        <v>729</v>
      </c>
      <c r="C179" s="541">
        <f t="shared" si="20"/>
        <v>1.0489999999999999</v>
      </c>
      <c r="D179" s="541">
        <f t="shared" si="20"/>
        <v>1.0328200000000001</v>
      </c>
      <c r="E179" s="542">
        <f t="shared" si="21"/>
        <v>-1.6179999999999861E-2</v>
      </c>
    </row>
    <row r="180" spans="1:5" s="506" customFormat="1" x14ac:dyDescent="0.2">
      <c r="A180" s="512"/>
      <c r="B180" s="516" t="s">
        <v>783</v>
      </c>
      <c r="C180" s="543">
        <f t="shared" si="20"/>
        <v>1.267180688405797</v>
      </c>
      <c r="D180" s="543">
        <f t="shared" si="20"/>
        <v>1.2938625890509203</v>
      </c>
      <c r="E180" s="544">
        <f t="shared" si="21"/>
        <v>2.6681900645123324E-2</v>
      </c>
    </row>
    <row r="181" spans="1:5" s="506" customFormat="1" x14ac:dyDescent="0.2">
      <c r="A181" s="512"/>
      <c r="B181" s="516" t="s">
        <v>692</v>
      </c>
      <c r="C181" s="543">
        <f t="shared" si="20"/>
        <v>1.1313194429950431</v>
      </c>
      <c r="D181" s="543">
        <f t="shared" si="20"/>
        <v>1.1723366450321067</v>
      </c>
      <c r="E181" s="544">
        <f t="shared" si="21"/>
        <v>4.1017202037063605E-2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784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785</v>
      </c>
      <c r="C185" s="513">
        <v>263283167</v>
      </c>
      <c r="D185" s="513">
        <v>278634332</v>
      </c>
      <c r="E185" s="514">
        <f>D185-C185</f>
        <v>15351165</v>
      </c>
    </row>
    <row r="186" spans="1:5" s="506" customFormat="1" ht="25.5" x14ac:dyDescent="0.2">
      <c r="A186" s="512">
        <v>2</v>
      </c>
      <c r="B186" s="511" t="s">
        <v>786</v>
      </c>
      <c r="C186" s="513">
        <v>179097364</v>
      </c>
      <c r="D186" s="513">
        <v>175093299</v>
      </c>
      <c r="E186" s="514">
        <f>D186-C186</f>
        <v>-4004065</v>
      </c>
    </row>
    <row r="187" spans="1:5" s="506" customFormat="1" x14ac:dyDescent="0.2">
      <c r="A187" s="512"/>
      <c r="B187" s="511" t="s">
        <v>634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718</v>
      </c>
      <c r="C188" s="546">
        <f>+C185-C186</f>
        <v>84185803</v>
      </c>
      <c r="D188" s="546">
        <f>+D185-D186</f>
        <v>103541033</v>
      </c>
      <c r="E188" s="514">
        <f t="shared" ref="E188:E197" si="22">D188-C188</f>
        <v>19355230</v>
      </c>
    </row>
    <row r="189" spans="1:5" s="506" customFormat="1" x14ac:dyDescent="0.2">
      <c r="A189" s="512">
        <v>4</v>
      </c>
      <c r="B189" s="511" t="s">
        <v>636</v>
      </c>
      <c r="C189" s="547">
        <f>IF(C185=0,0,+C188/C185)</f>
        <v>0.31975383750986253</v>
      </c>
      <c r="D189" s="547">
        <f>IF(D185=0,0,+D188/D185)</f>
        <v>0.3716018491217371</v>
      </c>
      <c r="E189" s="523">
        <f t="shared" si="22"/>
        <v>5.1848011611874578E-2</v>
      </c>
    </row>
    <row r="190" spans="1:5" s="506" customFormat="1" x14ac:dyDescent="0.2">
      <c r="A190" s="512">
        <v>5</v>
      </c>
      <c r="B190" s="511" t="s">
        <v>733</v>
      </c>
      <c r="C190" s="513">
        <v>11893862</v>
      </c>
      <c r="D190" s="513">
        <v>13809607</v>
      </c>
      <c r="E190" s="546">
        <f t="shared" si="22"/>
        <v>1915745</v>
      </c>
    </row>
    <row r="191" spans="1:5" s="506" customFormat="1" x14ac:dyDescent="0.2">
      <c r="A191" s="512">
        <v>6</v>
      </c>
      <c r="B191" s="511" t="s">
        <v>719</v>
      </c>
      <c r="C191" s="513">
        <v>6622771</v>
      </c>
      <c r="D191" s="513">
        <v>7533047</v>
      </c>
      <c r="E191" s="546">
        <f t="shared" si="22"/>
        <v>910276</v>
      </c>
    </row>
    <row r="192" spans="1:5" ht="29.25" x14ac:dyDescent="0.2">
      <c r="A192" s="512">
        <v>7</v>
      </c>
      <c r="B192" s="548" t="s">
        <v>787</v>
      </c>
      <c r="C192" s="513">
        <v>2174504</v>
      </c>
      <c r="D192" s="513">
        <v>2414316</v>
      </c>
      <c r="E192" s="546">
        <f t="shared" si="22"/>
        <v>239812</v>
      </c>
    </row>
    <row r="193" spans="1:5" s="506" customFormat="1" x14ac:dyDescent="0.2">
      <c r="A193" s="512">
        <v>8</v>
      </c>
      <c r="B193" s="511" t="s">
        <v>788</v>
      </c>
      <c r="C193" s="513">
        <v>17554000</v>
      </c>
      <c r="D193" s="513">
        <v>18026000</v>
      </c>
      <c r="E193" s="546">
        <f t="shared" si="22"/>
        <v>472000</v>
      </c>
    </row>
    <row r="194" spans="1:5" s="506" customFormat="1" x14ac:dyDescent="0.2">
      <c r="A194" s="512">
        <v>9</v>
      </c>
      <c r="B194" s="511" t="s">
        <v>789</v>
      </c>
      <c r="C194" s="513">
        <v>21000769</v>
      </c>
      <c r="D194" s="513">
        <v>23255695</v>
      </c>
      <c r="E194" s="546">
        <f t="shared" si="22"/>
        <v>2254926</v>
      </c>
    </row>
    <row r="195" spans="1:5" s="506" customFormat="1" x14ac:dyDescent="0.2">
      <c r="A195" s="512">
        <v>10</v>
      </c>
      <c r="B195" s="511" t="s">
        <v>790</v>
      </c>
      <c r="C195" s="513">
        <f>+C193+C194</f>
        <v>38554769</v>
      </c>
      <c r="D195" s="513">
        <f>+D193+D194</f>
        <v>41281695</v>
      </c>
      <c r="E195" s="549">
        <f t="shared" si="22"/>
        <v>2726926</v>
      </c>
    </row>
    <row r="196" spans="1:5" s="506" customFormat="1" x14ac:dyDescent="0.2">
      <c r="A196" s="512">
        <v>11</v>
      </c>
      <c r="B196" s="511" t="s">
        <v>791</v>
      </c>
      <c r="C196" s="513">
        <v>263283167</v>
      </c>
      <c r="D196" s="513">
        <v>278634332</v>
      </c>
      <c r="E196" s="546">
        <f t="shared" si="22"/>
        <v>15351165</v>
      </c>
    </row>
    <row r="197" spans="1:5" s="506" customFormat="1" x14ac:dyDescent="0.2">
      <c r="A197" s="512">
        <v>12</v>
      </c>
      <c r="B197" s="511" t="s">
        <v>676</v>
      </c>
      <c r="C197" s="513">
        <v>321077894</v>
      </c>
      <c r="D197" s="513">
        <v>337444501</v>
      </c>
      <c r="E197" s="546">
        <f t="shared" si="22"/>
        <v>16366607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792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793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622</v>
      </c>
      <c r="C203" s="553">
        <v>6853.1336000000001</v>
      </c>
      <c r="D203" s="553">
        <v>6154.4972099999995</v>
      </c>
      <c r="E203" s="554">
        <f t="shared" ref="E203:E211" si="23">D203-C203</f>
        <v>-698.63639000000057</v>
      </c>
    </row>
    <row r="204" spans="1:5" s="506" customFormat="1" x14ac:dyDescent="0.2">
      <c r="A204" s="512">
        <v>2</v>
      </c>
      <c r="B204" s="511" t="s">
        <v>601</v>
      </c>
      <c r="C204" s="553">
        <v>8191.0731999999998</v>
      </c>
      <c r="D204" s="553">
        <v>8401.6909199999991</v>
      </c>
      <c r="E204" s="554">
        <f t="shared" si="23"/>
        <v>210.61771999999928</v>
      </c>
    </row>
    <row r="205" spans="1:5" s="506" customFormat="1" x14ac:dyDescent="0.2">
      <c r="A205" s="512">
        <v>3</v>
      </c>
      <c r="B205" s="511" t="s">
        <v>747</v>
      </c>
      <c r="C205" s="553">
        <f>C206+C207</f>
        <v>2291.3786</v>
      </c>
      <c r="D205" s="553">
        <f>D206+D207</f>
        <v>2414.1063100000001</v>
      </c>
      <c r="E205" s="554">
        <f t="shared" si="23"/>
        <v>122.72771000000012</v>
      </c>
    </row>
    <row r="206" spans="1:5" s="506" customFormat="1" x14ac:dyDescent="0.2">
      <c r="A206" s="512">
        <v>4</v>
      </c>
      <c r="B206" s="511" t="s">
        <v>114</v>
      </c>
      <c r="C206" s="553">
        <v>1793.9586000000002</v>
      </c>
      <c r="D206" s="553">
        <v>2200.20496</v>
      </c>
      <c r="E206" s="554">
        <f t="shared" si="23"/>
        <v>406.24635999999987</v>
      </c>
    </row>
    <row r="207" spans="1:5" s="506" customFormat="1" x14ac:dyDescent="0.2">
      <c r="A207" s="512">
        <v>5</v>
      </c>
      <c r="B207" s="511" t="s">
        <v>714</v>
      </c>
      <c r="C207" s="553">
        <v>497.41999999999996</v>
      </c>
      <c r="D207" s="553">
        <v>213.90135000000001</v>
      </c>
      <c r="E207" s="554">
        <f t="shared" si="23"/>
        <v>-283.51864999999998</v>
      </c>
    </row>
    <row r="208" spans="1:5" s="506" customFormat="1" x14ac:dyDescent="0.2">
      <c r="A208" s="512">
        <v>6</v>
      </c>
      <c r="B208" s="511" t="s">
        <v>418</v>
      </c>
      <c r="C208" s="553">
        <v>9.8042999999999996</v>
      </c>
      <c r="D208" s="553">
        <v>8.6571899999999999</v>
      </c>
      <c r="E208" s="554">
        <f t="shared" si="23"/>
        <v>-1.1471099999999996</v>
      </c>
    </row>
    <row r="209" spans="1:5" s="506" customFormat="1" x14ac:dyDescent="0.2">
      <c r="A209" s="512">
        <v>7</v>
      </c>
      <c r="B209" s="511" t="s">
        <v>729</v>
      </c>
      <c r="C209" s="553">
        <v>552.82299999999998</v>
      </c>
      <c r="D209" s="553">
        <v>439.98132000000004</v>
      </c>
      <c r="E209" s="554">
        <f t="shared" si="23"/>
        <v>-112.84167999999994</v>
      </c>
    </row>
    <row r="210" spans="1:5" s="506" customFormat="1" x14ac:dyDescent="0.2">
      <c r="A210" s="512"/>
      <c r="B210" s="516" t="s">
        <v>794</v>
      </c>
      <c r="C210" s="555">
        <f>C204+C205+C208</f>
        <v>10492.256099999999</v>
      </c>
      <c r="D210" s="555">
        <f>D204+D205+D208</f>
        <v>10824.45442</v>
      </c>
      <c r="E210" s="556">
        <f t="shared" si="23"/>
        <v>332.19832000000133</v>
      </c>
    </row>
    <row r="211" spans="1:5" s="506" customFormat="1" x14ac:dyDescent="0.2">
      <c r="A211" s="512"/>
      <c r="B211" s="516" t="s">
        <v>693</v>
      </c>
      <c r="C211" s="555">
        <f>C210+C203</f>
        <v>17345.3897</v>
      </c>
      <c r="D211" s="555">
        <f>D210+D203</f>
        <v>16978.95163</v>
      </c>
      <c r="E211" s="556">
        <f t="shared" si="23"/>
        <v>-366.43807000000015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795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622</v>
      </c>
      <c r="C215" s="557">
        <f>IF(C14*C137=0,0,C25/C14*C137)</f>
        <v>9022.9529818855863</v>
      </c>
      <c r="D215" s="557">
        <f>IF(D14*D137=0,0,D25/D14*D137)</f>
        <v>8963.4738020186596</v>
      </c>
      <c r="E215" s="557">
        <f t="shared" ref="E215:E223" si="24">D215-C215</f>
        <v>-59.479179866926643</v>
      </c>
    </row>
    <row r="216" spans="1:5" s="506" customFormat="1" x14ac:dyDescent="0.2">
      <c r="A216" s="512">
        <v>2</v>
      </c>
      <c r="B216" s="511" t="s">
        <v>601</v>
      </c>
      <c r="C216" s="557">
        <f>IF(C15*C138=0,0,C26/C15*C138)</f>
        <v>2512.0368991957512</v>
      </c>
      <c r="D216" s="557">
        <f>IF(D15*D138=0,0,D26/D15*D138)</f>
        <v>2579.4142822191034</v>
      </c>
      <c r="E216" s="557">
        <f t="shared" si="24"/>
        <v>67.377383023352195</v>
      </c>
    </row>
    <row r="217" spans="1:5" s="506" customFormat="1" x14ac:dyDescent="0.2">
      <c r="A217" s="512">
        <v>3</v>
      </c>
      <c r="B217" s="511" t="s">
        <v>747</v>
      </c>
      <c r="C217" s="557">
        <f>C218+C219</f>
        <v>1748.8172109445156</v>
      </c>
      <c r="D217" s="557">
        <f>D218+D219</f>
        <v>1807.4315875066773</v>
      </c>
      <c r="E217" s="557">
        <f t="shared" si="24"/>
        <v>58.614376562161624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1517.4991161597939</v>
      </c>
      <c r="D218" s="557">
        <f t="shared" si="25"/>
        <v>1666.4861958270712</v>
      </c>
      <c r="E218" s="557">
        <f t="shared" si="24"/>
        <v>148.98707966727738</v>
      </c>
    </row>
    <row r="219" spans="1:5" s="506" customFormat="1" x14ac:dyDescent="0.2">
      <c r="A219" s="512">
        <v>5</v>
      </c>
      <c r="B219" s="511" t="s">
        <v>714</v>
      </c>
      <c r="C219" s="557">
        <f t="shared" si="25"/>
        <v>231.31809478472169</v>
      </c>
      <c r="D219" s="557">
        <f t="shared" si="25"/>
        <v>140.9453916796059</v>
      </c>
      <c r="E219" s="557">
        <f t="shared" si="24"/>
        <v>-90.372703105115789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24.635733467384544</v>
      </c>
      <c r="D220" s="557">
        <f t="shared" si="25"/>
        <v>18.384168552584324</v>
      </c>
      <c r="E220" s="557">
        <f t="shared" si="24"/>
        <v>-6.2515649148002197</v>
      </c>
    </row>
    <row r="221" spans="1:5" s="506" customFormat="1" x14ac:dyDescent="0.2">
      <c r="A221" s="512">
        <v>7</v>
      </c>
      <c r="B221" s="511" t="s">
        <v>729</v>
      </c>
      <c r="C221" s="557">
        <f t="shared" si="25"/>
        <v>936.01699856519554</v>
      </c>
      <c r="D221" s="557">
        <f t="shared" si="25"/>
        <v>1005.1580933075654</v>
      </c>
      <c r="E221" s="557">
        <f t="shared" si="24"/>
        <v>69.141094742369887</v>
      </c>
    </row>
    <row r="222" spans="1:5" s="506" customFormat="1" x14ac:dyDescent="0.2">
      <c r="A222" s="512"/>
      <c r="B222" s="516" t="s">
        <v>796</v>
      </c>
      <c r="C222" s="558">
        <f>C216+C218+C219+C220</f>
        <v>4285.489843607651</v>
      </c>
      <c r="D222" s="558">
        <f>D216+D218+D219+D220</f>
        <v>4405.2300382783642</v>
      </c>
      <c r="E222" s="558">
        <f t="shared" si="24"/>
        <v>119.74019467071321</v>
      </c>
    </row>
    <row r="223" spans="1:5" s="506" customFormat="1" x14ac:dyDescent="0.2">
      <c r="A223" s="512"/>
      <c r="B223" s="516" t="s">
        <v>797</v>
      </c>
      <c r="C223" s="558">
        <f>C215+C222</f>
        <v>13308.442825493237</v>
      </c>
      <c r="D223" s="558">
        <f>D215+D222</f>
        <v>13368.703840297025</v>
      </c>
      <c r="E223" s="558">
        <f t="shared" si="24"/>
        <v>60.261014803787475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798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622</v>
      </c>
      <c r="C227" s="560">
        <f t="shared" ref="C227:D235" si="26">IF(C203=0,0,C47/C203)</f>
        <v>10731.199082416837</v>
      </c>
      <c r="D227" s="560">
        <f t="shared" si="26"/>
        <v>10706.7954946721</v>
      </c>
      <c r="E227" s="560">
        <f t="shared" ref="E227:E235" si="27">D227-C227</f>
        <v>-24.403587744736797</v>
      </c>
    </row>
    <row r="228" spans="1:5" s="506" customFormat="1" x14ac:dyDescent="0.2">
      <c r="A228" s="512">
        <v>2</v>
      </c>
      <c r="B228" s="511" t="s">
        <v>601</v>
      </c>
      <c r="C228" s="560">
        <f t="shared" si="26"/>
        <v>8947.9014788928998</v>
      </c>
      <c r="D228" s="560">
        <f t="shared" si="26"/>
        <v>8809.7865899594417</v>
      </c>
      <c r="E228" s="560">
        <f t="shared" si="27"/>
        <v>-138.11488893345813</v>
      </c>
    </row>
    <row r="229" spans="1:5" s="506" customFormat="1" x14ac:dyDescent="0.2">
      <c r="A229" s="512">
        <v>3</v>
      </c>
      <c r="B229" s="511" t="s">
        <v>747</v>
      </c>
      <c r="C229" s="560">
        <f t="shared" si="26"/>
        <v>5696.6395688604234</v>
      </c>
      <c r="D229" s="560">
        <f t="shared" si="26"/>
        <v>6506.8107957515749</v>
      </c>
      <c r="E229" s="560">
        <f t="shared" si="27"/>
        <v>810.17122689115149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6190.410971579834</v>
      </c>
      <c r="D230" s="560">
        <f t="shared" si="26"/>
        <v>6349.3793778194195</v>
      </c>
      <c r="E230" s="560">
        <f t="shared" si="27"/>
        <v>158.96840623958542</v>
      </c>
    </row>
    <row r="231" spans="1:5" s="506" customFormat="1" x14ac:dyDescent="0.2">
      <c r="A231" s="512">
        <v>5</v>
      </c>
      <c r="B231" s="511" t="s">
        <v>714</v>
      </c>
      <c r="C231" s="560">
        <f t="shared" si="26"/>
        <v>3915.8397330223961</v>
      </c>
      <c r="D231" s="560">
        <f t="shared" si="26"/>
        <v>8126.1618965939206</v>
      </c>
      <c r="E231" s="560">
        <f t="shared" si="27"/>
        <v>4210.3221635715245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5520.5369072753792</v>
      </c>
      <c r="D232" s="560">
        <f t="shared" si="26"/>
        <v>8622.3127827851768</v>
      </c>
      <c r="E232" s="560">
        <f t="shared" si="27"/>
        <v>3101.7758755097975</v>
      </c>
    </row>
    <row r="233" spans="1:5" s="506" customFormat="1" x14ac:dyDescent="0.2">
      <c r="A233" s="512">
        <v>7</v>
      </c>
      <c r="B233" s="511" t="s">
        <v>729</v>
      </c>
      <c r="C233" s="560">
        <f t="shared" si="26"/>
        <v>1708.8652244931923</v>
      </c>
      <c r="D233" s="560">
        <f t="shared" si="26"/>
        <v>1964.3879426517469</v>
      </c>
      <c r="E233" s="560">
        <f t="shared" si="27"/>
        <v>255.52271815855465</v>
      </c>
    </row>
    <row r="234" spans="1:5" x14ac:dyDescent="0.2">
      <c r="A234" s="512"/>
      <c r="B234" s="516" t="s">
        <v>799</v>
      </c>
      <c r="C234" s="561">
        <f t="shared" si="26"/>
        <v>8234.6635629681223</v>
      </c>
      <c r="D234" s="561">
        <f t="shared" si="26"/>
        <v>8296.0192279141211</v>
      </c>
      <c r="E234" s="561">
        <f t="shared" si="27"/>
        <v>61.355664945998797</v>
      </c>
    </row>
    <row r="235" spans="1:5" s="506" customFormat="1" x14ac:dyDescent="0.2">
      <c r="A235" s="512"/>
      <c r="B235" s="516" t="s">
        <v>800</v>
      </c>
      <c r="C235" s="561">
        <f t="shared" si="26"/>
        <v>9221.0404474221759</v>
      </c>
      <c r="D235" s="561">
        <f t="shared" si="26"/>
        <v>9169.8726984358582</v>
      </c>
      <c r="E235" s="561">
        <f t="shared" si="27"/>
        <v>-51.167748986317747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801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622</v>
      </c>
      <c r="C239" s="560">
        <f t="shared" ref="C239:D247" si="28">IF(C215=0,0,C58/C215)</f>
        <v>11216.18301715354</v>
      </c>
      <c r="D239" s="560">
        <f t="shared" si="28"/>
        <v>11444.322398409622</v>
      </c>
      <c r="E239" s="562">
        <f t="shared" ref="E239:E247" si="29">D239-C239</f>
        <v>228.13938125608183</v>
      </c>
    </row>
    <row r="240" spans="1:5" s="506" customFormat="1" x14ac:dyDescent="0.2">
      <c r="A240" s="512">
        <v>2</v>
      </c>
      <c r="B240" s="511" t="s">
        <v>601</v>
      </c>
      <c r="C240" s="560">
        <f t="shared" si="28"/>
        <v>9804.8774713005059</v>
      </c>
      <c r="D240" s="560">
        <f t="shared" si="28"/>
        <v>9880.6714282723788</v>
      </c>
      <c r="E240" s="562">
        <f t="shared" si="29"/>
        <v>75.793956971872831</v>
      </c>
    </row>
    <row r="241" spans="1:5" x14ac:dyDescent="0.2">
      <c r="A241" s="512">
        <v>3</v>
      </c>
      <c r="B241" s="511" t="s">
        <v>747</v>
      </c>
      <c r="C241" s="560">
        <f t="shared" si="28"/>
        <v>4000.1310349763849</v>
      </c>
      <c r="D241" s="560">
        <f t="shared" si="28"/>
        <v>5297.6212578030018</v>
      </c>
      <c r="E241" s="562">
        <f t="shared" si="29"/>
        <v>1297.4902228266169</v>
      </c>
    </row>
    <row r="242" spans="1:5" x14ac:dyDescent="0.2">
      <c r="A242" s="512">
        <v>4</v>
      </c>
      <c r="B242" s="511" t="s">
        <v>114</v>
      </c>
      <c r="C242" s="560">
        <f t="shared" si="28"/>
        <v>4060.2501407659447</v>
      </c>
      <c r="D242" s="560">
        <f t="shared" si="28"/>
        <v>5374.3955530066614</v>
      </c>
      <c r="E242" s="562">
        <f t="shared" si="29"/>
        <v>1314.1454122407167</v>
      </c>
    </row>
    <row r="243" spans="1:5" x14ac:dyDescent="0.2">
      <c r="A243" s="512">
        <v>5</v>
      </c>
      <c r="B243" s="511" t="s">
        <v>714</v>
      </c>
      <c r="C243" s="560">
        <f t="shared" si="28"/>
        <v>3605.7360786074119</v>
      </c>
      <c r="D243" s="560">
        <f t="shared" si="28"/>
        <v>4389.8703790648833</v>
      </c>
      <c r="E243" s="562">
        <f t="shared" si="29"/>
        <v>784.13430045747145</v>
      </c>
    </row>
    <row r="244" spans="1:5" x14ac:dyDescent="0.2">
      <c r="A244" s="512">
        <v>6</v>
      </c>
      <c r="B244" s="511" t="s">
        <v>418</v>
      </c>
      <c r="C244" s="560">
        <f t="shared" si="28"/>
        <v>7313.8881876013884</v>
      </c>
      <c r="D244" s="560">
        <f t="shared" si="28"/>
        <v>2188.5134421455341</v>
      </c>
      <c r="E244" s="562">
        <f t="shared" si="29"/>
        <v>-5125.3747454558543</v>
      </c>
    </row>
    <row r="245" spans="1:5" x14ac:dyDescent="0.2">
      <c r="A245" s="512">
        <v>7</v>
      </c>
      <c r="B245" s="511" t="s">
        <v>729</v>
      </c>
      <c r="C245" s="560">
        <f t="shared" si="28"/>
        <v>2318.2698640369395</v>
      </c>
      <c r="D245" s="560">
        <f t="shared" si="28"/>
        <v>1661.7694381821957</v>
      </c>
      <c r="E245" s="562">
        <f t="shared" si="29"/>
        <v>-656.50042585474375</v>
      </c>
    </row>
    <row r="246" spans="1:5" ht="25.5" x14ac:dyDescent="0.2">
      <c r="A246" s="512"/>
      <c r="B246" s="516" t="s">
        <v>802</v>
      </c>
      <c r="C246" s="561">
        <f t="shared" si="28"/>
        <v>7421.7641764902337</v>
      </c>
      <c r="D246" s="561">
        <f t="shared" si="28"/>
        <v>7968.180252788412</v>
      </c>
      <c r="E246" s="563">
        <f t="shared" si="29"/>
        <v>546.41607629817827</v>
      </c>
    </row>
    <row r="247" spans="1:5" x14ac:dyDescent="0.2">
      <c r="A247" s="512"/>
      <c r="B247" s="516" t="s">
        <v>803</v>
      </c>
      <c r="C247" s="561">
        <f t="shared" si="28"/>
        <v>9994.3313236626109</v>
      </c>
      <c r="D247" s="561">
        <f t="shared" si="28"/>
        <v>10298.870604417622</v>
      </c>
      <c r="E247" s="563">
        <f t="shared" si="29"/>
        <v>304.53928075501062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731</v>
      </c>
      <c r="B249" s="550" t="s">
        <v>728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8717466.8967535924</v>
      </c>
      <c r="D251" s="546">
        <f>((IF((IF(D15=0,0,D26/D15)*D138)=0,0,D59/(IF(D15=0,0,D26/D15)*D138)))-(IF((IF(D17=0,0,D28/D17)*D140)=0,0,D61/(IF(D17=0,0,D28/D17)*D140))))*(IF(D17=0,0,D28/D17)*D140)</f>
        <v>7509646.5407188712</v>
      </c>
      <c r="E251" s="546">
        <f>D251-C251</f>
        <v>-1207820.3560347212</v>
      </c>
    </row>
    <row r="252" spans="1:5" x14ac:dyDescent="0.2">
      <c r="A252" s="512">
        <v>2</v>
      </c>
      <c r="B252" s="511" t="s">
        <v>714</v>
      </c>
      <c r="C252" s="546">
        <f>IF(C231=0,0,(C228-C231)*C207)+IF(C243=0,0,(C240-C243)*C219)</f>
        <v>3937021.7298897784</v>
      </c>
      <c r="D252" s="546">
        <f>IF(D231=0,0,(D228-D231)*D207)+IF(D243=0,0,(D240-D243)*D219)</f>
        <v>920131.34931956255</v>
      </c>
      <c r="E252" s="546">
        <f>D252-C252</f>
        <v>-3016890.3805702161</v>
      </c>
    </row>
    <row r="253" spans="1:5" x14ac:dyDescent="0.2">
      <c r="A253" s="512">
        <v>3</v>
      </c>
      <c r="B253" s="511" t="s">
        <v>729</v>
      </c>
      <c r="C253" s="546">
        <f>IF(C233=0,0,(C228-C233)*C209+IF(C221=0,0,(C240-C245)*C221))</f>
        <v>11009497.721252212</v>
      </c>
      <c r="D253" s="546">
        <f>IF(D233=0,0,(D228-D233)*D209+IF(D221=0,0,(D240-D245)*D221))</f>
        <v>11273143.386209458</v>
      </c>
      <c r="E253" s="546">
        <f>D253-C253</f>
        <v>263645.66495724581</v>
      </c>
    </row>
    <row r="254" spans="1:5" ht="15" customHeight="1" x14ac:dyDescent="0.2">
      <c r="A254" s="512"/>
      <c r="B254" s="516" t="s">
        <v>730</v>
      </c>
      <c r="C254" s="564">
        <f>+C251+C252+C253</f>
        <v>23663986.347895585</v>
      </c>
      <c r="D254" s="564">
        <f>+D251+D252+D253</f>
        <v>19702921.276247893</v>
      </c>
      <c r="E254" s="564">
        <f>D254-C254</f>
        <v>-3961065.0716476925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804</v>
      </c>
      <c r="B256" s="550" t="s">
        <v>805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696</v>
      </c>
      <c r="C258" s="546">
        <f>+C44</f>
        <v>662081365</v>
      </c>
      <c r="D258" s="549">
        <f>+D44</f>
        <v>741032516</v>
      </c>
      <c r="E258" s="546">
        <f t="shared" ref="E258:E271" si="30">D258-C258</f>
        <v>78951151</v>
      </c>
    </row>
    <row r="259" spans="1:5" x14ac:dyDescent="0.2">
      <c r="A259" s="512">
        <v>2</v>
      </c>
      <c r="B259" s="511" t="s">
        <v>713</v>
      </c>
      <c r="C259" s="546">
        <f>+(C43-C76)</f>
        <v>236492874</v>
      </c>
      <c r="D259" s="549">
        <f>+(D43-D76)</f>
        <v>290816241</v>
      </c>
      <c r="E259" s="546">
        <f t="shared" si="30"/>
        <v>54323367</v>
      </c>
    </row>
    <row r="260" spans="1:5" x14ac:dyDescent="0.2">
      <c r="A260" s="512">
        <v>3</v>
      </c>
      <c r="B260" s="511" t="s">
        <v>717</v>
      </c>
      <c r="C260" s="546">
        <f>C195</f>
        <v>38554769</v>
      </c>
      <c r="D260" s="546">
        <f>D195</f>
        <v>41281695</v>
      </c>
      <c r="E260" s="546">
        <f t="shared" si="30"/>
        <v>2726926</v>
      </c>
    </row>
    <row r="261" spans="1:5" x14ac:dyDescent="0.2">
      <c r="A261" s="512">
        <v>4</v>
      </c>
      <c r="B261" s="511" t="s">
        <v>718</v>
      </c>
      <c r="C261" s="546">
        <f>C188</f>
        <v>84185803</v>
      </c>
      <c r="D261" s="546">
        <f>D188</f>
        <v>103541033</v>
      </c>
      <c r="E261" s="546">
        <f t="shared" si="30"/>
        <v>19355230</v>
      </c>
    </row>
    <row r="262" spans="1:5" x14ac:dyDescent="0.2">
      <c r="A262" s="512">
        <v>5</v>
      </c>
      <c r="B262" s="511" t="s">
        <v>719</v>
      </c>
      <c r="C262" s="546">
        <f>C191</f>
        <v>6622771</v>
      </c>
      <c r="D262" s="546">
        <f>D191</f>
        <v>7533047</v>
      </c>
      <c r="E262" s="546">
        <f t="shared" si="30"/>
        <v>910276</v>
      </c>
    </row>
    <row r="263" spans="1:5" x14ac:dyDescent="0.2">
      <c r="A263" s="512">
        <v>6</v>
      </c>
      <c r="B263" s="511" t="s">
        <v>720</v>
      </c>
      <c r="C263" s="546">
        <f>+C259+C260+C261+C262</f>
        <v>365856217</v>
      </c>
      <c r="D263" s="546">
        <f>+D259+D260+D261+D262</f>
        <v>443172016</v>
      </c>
      <c r="E263" s="546">
        <f t="shared" si="30"/>
        <v>77315799</v>
      </c>
    </row>
    <row r="264" spans="1:5" x14ac:dyDescent="0.2">
      <c r="A264" s="512">
        <v>7</v>
      </c>
      <c r="B264" s="511" t="s">
        <v>620</v>
      </c>
      <c r="C264" s="546">
        <f>+C258-C263</f>
        <v>296225148</v>
      </c>
      <c r="D264" s="546">
        <f>+D258-D263</f>
        <v>297860500</v>
      </c>
      <c r="E264" s="546">
        <f t="shared" si="30"/>
        <v>1635352</v>
      </c>
    </row>
    <row r="265" spans="1:5" x14ac:dyDescent="0.2">
      <c r="A265" s="512">
        <v>8</v>
      </c>
      <c r="B265" s="511" t="s">
        <v>806</v>
      </c>
      <c r="C265" s="565">
        <f>C192</f>
        <v>2174504</v>
      </c>
      <c r="D265" s="565">
        <f>D192</f>
        <v>2414316</v>
      </c>
      <c r="E265" s="546">
        <f t="shared" si="30"/>
        <v>239812</v>
      </c>
    </row>
    <row r="266" spans="1:5" x14ac:dyDescent="0.2">
      <c r="A266" s="512">
        <v>9</v>
      </c>
      <c r="B266" s="511" t="s">
        <v>807</v>
      </c>
      <c r="C266" s="546">
        <f>+C264+C265</f>
        <v>298399652</v>
      </c>
      <c r="D266" s="546">
        <f>+D264+D265</f>
        <v>300274816</v>
      </c>
      <c r="E266" s="565">
        <f t="shared" si="30"/>
        <v>1875164</v>
      </c>
    </row>
    <row r="267" spans="1:5" x14ac:dyDescent="0.2">
      <c r="A267" s="512">
        <v>10</v>
      </c>
      <c r="B267" s="511" t="s">
        <v>808</v>
      </c>
      <c r="C267" s="566">
        <f>IF(C258=0,0,C266/C258)</f>
        <v>0.45069936683688416</v>
      </c>
      <c r="D267" s="566">
        <f>IF(D258=0,0,D266/D258)</f>
        <v>0.40521139021111457</v>
      </c>
      <c r="E267" s="567">
        <f t="shared" si="30"/>
        <v>-4.5487976625769588E-2</v>
      </c>
    </row>
    <row r="268" spans="1:5" x14ac:dyDescent="0.2">
      <c r="A268" s="512">
        <v>11</v>
      </c>
      <c r="B268" s="511" t="s">
        <v>682</v>
      </c>
      <c r="C268" s="546">
        <f>+C260*C267</f>
        <v>17376609.976842329</v>
      </c>
      <c r="D268" s="568">
        <f>+D260*D267</f>
        <v>16727813.021221217</v>
      </c>
      <c r="E268" s="546">
        <f t="shared" si="30"/>
        <v>-648796.95562111214</v>
      </c>
    </row>
    <row r="269" spans="1:5" x14ac:dyDescent="0.2">
      <c r="A269" s="512">
        <v>12</v>
      </c>
      <c r="B269" s="511" t="s">
        <v>809</v>
      </c>
      <c r="C269" s="546">
        <f>((C17+C18+C28+C29)*C267)-(C50+C51+C61+C62)</f>
        <v>15064021.036502883</v>
      </c>
      <c r="D269" s="568">
        <f>((D17+D18+D28+D29)*D267)-(D50+D51+D61+D62)</f>
        <v>14445339.939891346</v>
      </c>
      <c r="E269" s="546">
        <f t="shared" si="30"/>
        <v>-618681.09661153704</v>
      </c>
    </row>
    <row r="270" spans="1:5" s="569" customFormat="1" x14ac:dyDescent="0.2">
      <c r="A270" s="570">
        <v>13</v>
      </c>
      <c r="B270" s="571" t="s">
        <v>810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811</v>
      </c>
      <c r="C271" s="546">
        <f>+C268+C269+C270</f>
        <v>32440631.013345212</v>
      </c>
      <c r="D271" s="546">
        <f>+D268+D269+D270</f>
        <v>31173152.961112563</v>
      </c>
      <c r="E271" s="549">
        <f t="shared" si="30"/>
        <v>-1267478.0522326492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812</v>
      </c>
      <c r="B273" s="550" t="s">
        <v>813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814</v>
      </c>
      <c r="C275" s="340"/>
      <c r="D275" s="340"/>
      <c r="E275" s="520"/>
    </row>
    <row r="276" spans="1:5" x14ac:dyDescent="0.2">
      <c r="A276" s="512">
        <v>1</v>
      </c>
      <c r="B276" s="511" t="s">
        <v>622</v>
      </c>
      <c r="C276" s="547">
        <f t="shared" ref="C276:D284" si="31">IF(C14=0,0,+C47/C14)</f>
        <v>0.54537580239401828</v>
      </c>
      <c r="D276" s="547">
        <f t="shared" si="31"/>
        <v>0.49937278436053573</v>
      </c>
      <c r="E276" s="574">
        <f t="shared" ref="E276:E284" si="32">D276-C276</f>
        <v>-4.6003018033482557E-2</v>
      </c>
    </row>
    <row r="277" spans="1:5" x14ac:dyDescent="0.2">
      <c r="A277" s="512">
        <v>2</v>
      </c>
      <c r="B277" s="511" t="s">
        <v>601</v>
      </c>
      <c r="C277" s="547">
        <f t="shared" si="31"/>
        <v>0.3855656000747596</v>
      </c>
      <c r="D277" s="547">
        <f t="shared" si="31"/>
        <v>0.33930208706727688</v>
      </c>
      <c r="E277" s="574">
        <f t="shared" si="32"/>
        <v>-4.6263513007482715E-2</v>
      </c>
    </row>
    <row r="278" spans="1:5" x14ac:dyDescent="0.2">
      <c r="A278" s="512">
        <v>3</v>
      </c>
      <c r="B278" s="511" t="s">
        <v>747</v>
      </c>
      <c r="C278" s="547">
        <f t="shared" si="31"/>
        <v>0.27277809539623937</v>
      </c>
      <c r="D278" s="547">
        <f t="shared" si="31"/>
        <v>0.26848502369444022</v>
      </c>
      <c r="E278" s="574">
        <f t="shared" si="32"/>
        <v>-4.293071701799156E-3</v>
      </c>
    </row>
    <row r="279" spans="1:5" x14ac:dyDescent="0.2">
      <c r="A279" s="512">
        <v>4</v>
      </c>
      <c r="B279" s="511" t="s">
        <v>114</v>
      </c>
      <c r="C279" s="547">
        <f t="shared" si="31"/>
        <v>0.30586933244697756</v>
      </c>
      <c r="D279" s="547">
        <f t="shared" si="31"/>
        <v>0.264825680588056</v>
      </c>
      <c r="E279" s="574">
        <f t="shared" si="32"/>
        <v>-4.1043651858921559E-2</v>
      </c>
    </row>
    <row r="280" spans="1:5" x14ac:dyDescent="0.2">
      <c r="A280" s="512">
        <v>5</v>
      </c>
      <c r="B280" s="511" t="s">
        <v>714</v>
      </c>
      <c r="C280" s="547">
        <f t="shared" si="31"/>
        <v>0.16871236637513409</v>
      </c>
      <c r="D280" s="547">
        <f t="shared" si="31"/>
        <v>0.30202661564188499</v>
      </c>
      <c r="E280" s="574">
        <f t="shared" si="32"/>
        <v>0.13331424926675089</v>
      </c>
    </row>
    <row r="281" spans="1:5" x14ac:dyDescent="0.2">
      <c r="A281" s="512">
        <v>6</v>
      </c>
      <c r="B281" s="511" t="s">
        <v>418</v>
      </c>
      <c r="C281" s="547">
        <f t="shared" si="31"/>
        <v>0.35800272512005082</v>
      </c>
      <c r="D281" s="547">
        <f t="shared" si="31"/>
        <v>0.4255143282237791</v>
      </c>
      <c r="E281" s="574">
        <f t="shared" si="32"/>
        <v>6.7511603103728279E-2</v>
      </c>
    </row>
    <row r="282" spans="1:5" x14ac:dyDescent="0.2">
      <c r="A282" s="512">
        <v>7</v>
      </c>
      <c r="B282" s="511" t="s">
        <v>729</v>
      </c>
      <c r="C282" s="547">
        <f t="shared" si="31"/>
        <v>7.8847061822289385E-2</v>
      </c>
      <c r="D282" s="547">
        <f t="shared" si="31"/>
        <v>8.638918583399427E-2</v>
      </c>
      <c r="E282" s="574">
        <f t="shared" si="32"/>
        <v>7.5421240117048843E-3</v>
      </c>
    </row>
    <row r="283" spans="1:5" ht="29.25" customHeight="1" x14ac:dyDescent="0.2">
      <c r="A283" s="512"/>
      <c r="B283" s="516" t="s">
        <v>815</v>
      </c>
      <c r="C283" s="575">
        <f t="shared" si="31"/>
        <v>0.36287998549961797</v>
      </c>
      <c r="D283" s="575">
        <f t="shared" si="31"/>
        <v>0.32438975280612226</v>
      </c>
      <c r="E283" s="576">
        <f t="shared" si="32"/>
        <v>-3.8490232693495718E-2</v>
      </c>
    </row>
    <row r="284" spans="1:5" x14ac:dyDescent="0.2">
      <c r="A284" s="512"/>
      <c r="B284" s="516" t="s">
        <v>816</v>
      </c>
      <c r="C284" s="575">
        <f t="shared" si="31"/>
        <v>0.42886604127975758</v>
      </c>
      <c r="D284" s="575">
        <f t="shared" si="31"/>
        <v>0.38087445163814704</v>
      </c>
      <c r="E284" s="576">
        <f t="shared" si="32"/>
        <v>-4.7991589641610544E-2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817</v>
      </c>
      <c r="C286" s="520"/>
      <c r="D286" s="520"/>
      <c r="E286" s="520"/>
    </row>
    <row r="287" spans="1:5" x14ac:dyDescent="0.2">
      <c r="A287" s="512">
        <v>1</v>
      </c>
      <c r="B287" s="511" t="s">
        <v>622</v>
      </c>
      <c r="C287" s="547">
        <f t="shared" ref="C287:D295" si="33">IF(C25=0,0,+C58/C25)</f>
        <v>0.58656454109493705</v>
      </c>
      <c r="D287" s="547">
        <f t="shared" si="33"/>
        <v>0.53051949486932126</v>
      </c>
      <c r="E287" s="574">
        <f t="shared" ref="E287:E295" si="34">D287-C287</f>
        <v>-5.6045046225615791E-2</v>
      </c>
    </row>
    <row r="288" spans="1:5" x14ac:dyDescent="0.2">
      <c r="A288" s="512">
        <v>2</v>
      </c>
      <c r="B288" s="511" t="s">
        <v>601</v>
      </c>
      <c r="C288" s="547">
        <f t="shared" si="33"/>
        <v>0.28569971997726856</v>
      </c>
      <c r="D288" s="547">
        <f t="shared" si="33"/>
        <v>0.25745122874931053</v>
      </c>
      <c r="E288" s="574">
        <f t="shared" si="34"/>
        <v>-2.8248491227958028E-2</v>
      </c>
    </row>
    <row r="289" spans="1:5" x14ac:dyDescent="0.2">
      <c r="A289" s="512">
        <v>3</v>
      </c>
      <c r="B289" s="511" t="s">
        <v>747</v>
      </c>
      <c r="C289" s="547">
        <f t="shared" si="33"/>
        <v>0.23276096069697547</v>
      </c>
      <c r="D289" s="547">
        <f t="shared" si="33"/>
        <v>0.24217746166258522</v>
      </c>
      <c r="E289" s="574">
        <f t="shared" si="34"/>
        <v>9.4165009656097531E-3</v>
      </c>
    </row>
    <row r="290" spans="1:5" x14ac:dyDescent="0.2">
      <c r="A290" s="512">
        <v>4</v>
      </c>
      <c r="B290" s="511" t="s">
        <v>114</v>
      </c>
      <c r="C290" s="547">
        <f t="shared" si="33"/>
        <v>0.25206395051526148</v>
      </c>
      <c r="D290" s="547">
        <f t="shared" si="33"/>
        <v>0.25042471389009235</v>
      </c>
      <c r="E290" s="574">
        <f t="shared" si="34"/>
        <v>-1.639236625169127E-3</v>
      </c>
    </row>
    <row r="291" spans="1:5" x14ac:dyDescent="0.2">
      <c r="A291" s="512">
        <v>5</v>
      </c>
      <c r="B291" s="511" t="s">
        <v>714</v>
      </c>
      <c r="C291" s="547">
        <f t="shared" si="33"/>
        <v>0.14866189112258557</v>
      </c>
      <c r="D291" s="547">
        <f t="shared" si="33"/>
        <v>0.16399717876888409</v>
      </c>
      <c r="E291" s="574">
        <f t="shared" si="34"/>
        <v>1.5335287646298518E-2</v>
      </c>
    </row>
    <row r="292" spans="1:5" x14ac:dyDescent="0.2">
      <c r="A292" s="512">
        <v>6</v>
      </c>
      <c r="B292" s="511" t="s">
        <v>418</v>
      </c>
      <c r="C292" s="547">
        <f t="shared" si="33"/>
        <v>0.5321443127248241</v>
      </c>
      <c r="D292" s="547">
        <f t="shared" si="33"/>
        <v>0.11228072133819286</v>
      </c>
      <c r="E292" s="574">
        <f t="shared" si="34"/>
        <v>-0.41986359138663121</v>
      </c>
    </row>
    <row r="293" spans="1:5" x14ac:dyDescent="0.2">
      <c r="A293" s="512">
        <v>7</v>
      </c>
      <c r="B293" s="511" t="s">
        <v>729</v>
      </c>
      <c r="C293" s="547">
        <f t="shared" si="33"/>
        <v>0.10196854066060994</v>
      </c>
      <c r="D293" s="547">
        <f t="shared" si="33"/>
        <v>7.075844001273561E-2</v>
      </c>
      <c r="E293" s="574">
        <f t="shared" si="34"/>
        <v>-3.1210100647874328E-2</v>
      </c>
    </row>
    <row r="294" spans="1:5" ht="29.25" customHeight="1" x14ac:dyDescent="0.2">
      <c r="A294" s="512"/>
      <c r="B294" s="516" t="s">
        <v>818</v>
      </c>
      <c r="C294" s="575">
        <f t="shared" si="33"/>
        <v>0.27277040971063804</v>
      </c>
      <c r="D294" s="575">
        <f t="shared" si="33"/>
        <v>0.2527287668652351</v>
      </c>
      <c r="E294" s="576">
        <f t="shared" si="34"/>
        <v>-2.004164284540294E-2</v>
      </c>
    </row>
    <row r="295" spans="1:5" x14ac:dyDescent="0.2">
      <c r="A295" s="512"/>
      <c r="B295" s="516" t="s">
        <v>819</v>
      </c>
      <c r="C295" s="575">
        <f t="shared" si="33"/>
        <v>0.46001828736201028</v>
      </c>
      <c r="D295" s="575">
        <f t="shared" si="33"/>
        <v>0.41439446235268074</v>
      </c>
      <c r="E295" s="576">
        <f t="shared" si="34"/>
        <v>-4.5623825009329544E-2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820</v>
      </c>
      <c r="B297" s="501" t="s">
        <v>821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822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620</v>
      </c>
      <c r="C301" s="514">
        <f>+C48+C47+C50+C51+C52+C59+C58+C61+C62+C63</f>
        <v>292951527</v>
      </c>
      <c r="D301" s="514">
        <f>+D48+D47+D50+D51+D52+D59+D58+D61+D62+D63</f>
        <v>293377376</v>
      </c>
      <c r="E301" s="514">
        <f>D301-C301</f>
        <v>425849</v>
      </c>
    </row>
    <row r="302" spans="1:5" ht="25.5" x14ac:dyDescent="0.2">
      <c r="A302" s="512">
        <v>2</v>
      </c>
      <c r="B302" s="511" t="s">
        <v>823</v>
      </c>
      <c r="C302" s="546">
        <f>C265</f>
        <v>2174504</v>
      </c>
      <c r="D302" s="546">
        <f>D265</f>
        <v>2414316</v>
      </c>
      <c r="E302" s="514">
        <f>D302-C302</f>
        <v>239812</v>
      </c>
    </row>
    <row r="303" spans="1:5" x14ac:dyDescent="0.2">
      <c r="A303" s="512"/>
      <c r="B303" s="516" t="s">
        <v>824</v>
      </c>
      <c r="C303" s="517">
        <f>+C301+C302</f>
        <v>295126031</v>
      </c>
      <c r="D303" s="517">
        <f>+D301+D302</f>
        <v>295791692</v>
      </c>
      <c r="E303" s="517">
        <f>D303-C303</f>
        <v>665661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825</v>
      </c>
      <c r="C305" s="513">
        <v>27623541</v>
      </c>
      <c r="D305" s="578">
        <v>30788570</v>
      </c>
      <c r="E305" s="579">
        <f>D305-C305</f>
        <v>3165029</v>
      </c>
    </row>
    <row r="306" spans="1:5" x14ac:dyDescent="0.2">
      <c r="A306" s="512">
        <v>4</v>
      </c>
      <c r="B306" s="516" t="s">
        <v>826</v>
      </c>
      <c r="C306" s="580">
        <f>+C303+C305</f>
        <v>322749572</v>
      </c>
      <c r="D306" s="580">
        <f>+D303+D305</f>
        <v>326580262</v>
      </c>
      <c r="E306" s="580">
        <f>D306-C306</f>
        <v>3830690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827</v>
      </c>
      <c r="C308" s="513">
        <v>322749572</v>
      </c>
      <c r="D308" s="513">
        <v>326580432</v>
      </c>
      <c r="E308" s="514">
        <f>D308-C308</f>
        <v>3830860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828</v>
      </c>
      <c r="C310" s="581">
        <f>C306-C308</f>
        <v>0</v>
      </c>
      <c r="D310" s="582">
        <f>D306-D308</f>
        <v>-170</v>
      </c>
      <c r="E310" s="580">
        <f>D310-C310</f>
        <v>-170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829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830</v>
      </c>
      <c r="C314" s="514">
        <f>+C14+C15+C16+C19+C25+C26+C27+C30</f>
        <v>662081365</v>
      </c>
      <c r="D314" s="514">
        <f>+D14+D15+D16+D19+D25+D26+D27+D30</f>
        <v>741032516</v>
      </c>
      <c r="E314" s="514">
        <f>D314-C314</f>
        <v>78951151</v>
      </c>
    </row>
    <row r="315" spans="1:5" x14ac:dyDescent="0.2">
      <c r="A315" s="512">
        <v>2</v>
      </c>
      <c r="B315" s="583" t="s">
        <v>831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832</v>
      </c>
      <c r="C316" s="581">
        <f>C314+C315</f>
        <v>662081365</v>
      </c>
      <c r="D316" s="581">
        <f>D314+D315</f>
        <v>741032516</v>
      </c>
      <c r="E316" s="517">
        <f>D316-C316</f>
        <v>78951151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833</v>
      </c>
      <c r="C318" s="513">
        <v>662081365</v>
      </c>
      <c r="D318" s="513">
        <v>741032516</v>
      </c>
      <c r="E318" s="514">
        <f>D318-C318</f>
        <v>78951151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828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834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835</v>
      </c>
      <c r="C324" s="513">
        <f>+C193+C194</f>
        <v>38554769</v>
      </c>
      <c r="D324" s="513">
        <f>+D193+D194</f>
        <v>41281695</v>
      </c>
      <c r="E324" s="514">
        <f>D324-C324</f>
        <v>2726926</v>
      </c>
    </row>
    <row r="325" spans="1:5" x14ac:dyDescent="0.2">
      <c r="A325" s="512">
        <v>2</v>
      </c>
      <c r="B325" s="511" t="s">
        <v>836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837</v>
      </c>
      <c r="C326" s="581">
        <f>C324+C325</f>
        <v>38554769</v>
      </c>
      <c r="D326" s="581">
        <f>D324+D325</f>
        <v>41281695</v>
      </c>
      <c r="E326" s="517">
        <f>D326-C326</f>
        <v>2726926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838</v>
      </c>
      <c r="C328" s="513">
        <v>38554769</v>
      </c>
      <c r="D328" s="513">
        <v>41281695</v>
      </c>
      <c r="E328" s="514">
        <f>D328-C328</f>
        <v>2726926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839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FILING&amp;RNORWALK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tabSelected="1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592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840</v>
      </c>
      <c r="B5" s="696"/>
      <c r="C5" s="697"/>
      <c r="D5" s="585"/>
    </row>
    <row r="6" spans="1:58" s="338" customFormat="1" ht="15.75" customHeight="1" x14ac:dyDescent="0.25">
      <c r="A6" s="695" t="s">
        <v>841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842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843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746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622</v>
      </c>
      <c r="C14" s="513">
        <v>131955415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601</v>
      </c>
      <c r="C15" s="515">
        <v>218145148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747</v>
      </c>
      <c r="C16" s="515">
        <v>58506552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52751440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714</v>
      </c>
      <c r="C18" s="515">
        <v>5755112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175423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729</v>
      </c>
      <c r="C20" s="515">
        <v>10004655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748</v>
      </c>
      <c r="C21" s="517">
        <f>SUM(C15+C16+C19)</f>
        <v>276827123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688</v>
      </c>
      <c r="C22" s="517">
        <f>SUM(C14+C21)</f>
        <v>408782538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749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622</v>
      </c>
      <c r="C25" s="513">
        <v>193359311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601</v>
      </c>
      <c r="C26" s="515">
        <v>98994847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747</v>
      </c>
      <c r="C27" s="515">
        <v>39537486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35764665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714</v>
      </c>
      <c r="C29" s="515">
        <v>3772821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358334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729</v>
      </c>
      <c r="C31" s="518">
        <v>23606244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750</v>
      </c>
      <c r="C32" s="517">
        <f>SUM(C26+C27+C30)</f>
        <v>138890667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694</v>
      </c>
      <c r="C33" s="517">
        <f>SUM(C25+C32)</f>
        <v>332249978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619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844</v>
      </c>
      <c r="C36" s="514">
        <f>SUM(C14+C25)</f>
        <v>325314726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845</v>
      </c>
      <c r="C37" s="518">
        <f>SUM(C21+C32)</f>
        <v>415717790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619</v>
      </c>
      <c r="C38" s="517">
        <f>SUM(+C36+C37)</f>
        <v>741032516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759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622</v>
      </c>
      <c r="C41" s="513">
        <v>65894943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601</v>
      </c>
      <c r="C42" s="515">
        <v>74017104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747</v>
      </c>
      <c r="C43" s="515">
        <v>15708133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13969936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714</v>
      </c>
      <c r="C45" s="515">
        <v>1738197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74645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729</v>
      </c>
      <c r="C47" s="515">
        <v>864294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760</v>
      </c>
      <c r="C48" s="517">
        <f>SUM(C42+C43+C46)</f>
        <v>89799882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689</v>
      </c>
      <c r="C49" s="517">
        <f>SUM(C41+C48)</f>
        <v>155694825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761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622</v>
      </c>
      <c r="C52" s="513">
        <v>102580884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601</v>
      </c>
      <c r="C53" s="515">
        <v>25486345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747</v>
      </c>
      <c r="C54" s="515">
        <v>9575088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8956356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714</v>
      </c>
      <c r="C56" s="515">
        <v>618732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40234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729</v>
      </c>
      <c r="C58" s="515">
        <v>1670341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762</v>
      </c>
      <c r="C59" s="517">
        <f>SUM(C53+C54+C57)</f>
        <v>35101667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695</v>
      </c>
      <c r="C60" s="517">
        <f>SUM(C52+C59)</f>
        <v>137682551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620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846</v>
      </c>
      <c r="C63" s="514">
        <f>SUM(C41+C52)</f>
        <v>168475827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847</v>
      </c>
      <c r="C64" s="518">
        <f>SUM(C48+C59)</f>
        <v>124901549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620</v>
      </c>
      <c r="C65" s="517">
        <f>SUM(+C63+C64)</f>
        <v>293377376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848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849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622</v>
      </c>
      <c r="C70" s="530">
        <v>6117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601</v>
      </c>
      <c r="C71" s="530">
        <v>5684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747</v>
      </c>
      <c r="C72" s="530">
        <v>2673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2458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714</v>
      </c>
      <c r="C74" s="530">
        <v>215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9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729</v>
      </c>
      <c r="C76" s="545">
        <v>426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777</v>
      </c>
      <c r="C77" s="532">
        <f>SUM(C71+C72+C75)</f>
        <v>8366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691</v>
      </c>
      <c r="C78" s="596">
        <f>SUM(C70+C77)</f>
        <v>14483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782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622</v>
      </c>
      <c r="C81" s="541">
        <v>1.00613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601</v>
      </c>
      <c r="C82" s="541">
        <v>1.4781299999999999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747</v>
      </c>
      <c r="C83" s="541">
        <f>((C73*C84)+(C74*C85))/(C73+C74)</f>
        <v>0.90314489711934165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0.89512000000000003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714</v>
      </c>
      <c r="C85" s="541">
        <v>0.99489000000000005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0.96191000000000004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729</v>
      </c>
      <c r="C87" s="541">
        <v>1.0328200000000001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783</v>
      </c>
      <c r="C88" s="543">
        <f>((C71*C82)+(C73*C84)+(C74*C85)+(C75*C86))/(C71+C73+C74+C75)</f>
        <v>1.2938625890509203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692</v>
      </c>
      <c r="C89" s="543">
        <f>((C70*C81)+(C71*C82)+(C73*C84)+(C74*C85)+(C75*C86))/(C70+C71+C73+C74+C75)</f>
        <v>1.1723366450321067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784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785</v>
      </c>
      <c r="C92" s="513">
        <v>278634332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786</v>
      </c>
      <c r="C93" s="546">
        <v>175093299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634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718</v>
      </c>
      <c r="C95" s="513">
        <f>+C92-C93</f>
        <v>103541033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636</v>
      </c>
      <c r="C96" s="597">
        <f>(+C92-C93)/C92</f>
        <v>0.3716018491217371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733</v>
      </c>
      <c r="C98" s="513">
        <v>13809607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719</v>
      </c>
      <c r="C99" s="513">
        <v>7533047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850</v>
      </c>
      <c r="C101" s="513">
        <v>2414316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788</v>
      </c>
      <c r="C103" s="513">
        <v>18026000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789</v>
      </c>
      <c r="C104" s="513">
        <v>23255695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790</v>
      </c>
      <c r="C105" s="578">
        <f>+C103+C104</f>
        <v>41281695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791</v>
      </c>
      <c r="C107" s="513">
        <v>13756910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676</v>
      </c>
      <c r="C108" s="513">
        <v>337444501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821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822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620</v>
      </c>
      <c r="C114" s="514">
        <f>+C65</f>
        <v>293377376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823</v>
      </c>
      <c r="C115" s="546">
        <f>+C101</f>
        <v>2414316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824</v>
      </c>
      <c r="C116" s="517">
        <f>+C114+C115</f>
        <v>295791692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825</v>
      </c>
      <c r="C118" s="578">
        <v>30788570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826</v>
      </c>
      <c r="C119" s="580">
        <f>+C116+C118</f>
        <v>326580262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827</v>
      </c>
      <c r="C121" s="513">
        <v>326580432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828</v>
      </c>
      <c r="C123" s="582">
        <f>C119-C121</f>
        <v>-170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829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830</v>
      </c>
      <c r="C127" s="514">
        <f>+C38</f>
        <v>741032516</v>
      </c>
      <c r="D127" s="588"/>
      <c r="AR127" s="507"/>
    </row>
    <row r="128" spans="1:58" s="506" customFormat="1" x14ac:dyDescent="0.2">
      <c r="A128" s="512">
        <v>2</v>
      </c>
      <c r="B128" s="583" t="s">
        <v>831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832</v>
      </c>
      <c r="C129" s="581">
        <f>C127+C128</f>
        <v>741032516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833</v>
      </c>
      <c r="C131" s="513">
        <v>741032516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828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834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835</v>
      </c>
      <c r="C137" s="513">
        <f>C105</f>
        <v>41281695</v>
      </c>
      <c r="D137" s="588"/>
      <c r="AR137" s="507"/>
    </row>
    <row r="138" spans="1:44" s="506" customFormat="1" x14ac:dyDescent="0.2">
      <c r="A138" s="512">
        <v>2</v>
      </c>
      <c r="B138" s="511" t="s">
        <v>851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837</v>
      </c>
      <c r="C139" s="581">
        <f>C137+C138</f>
        <v>41281695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852</v>
      </c>
      <c r="C141" s="513">
        <v>41281695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839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FILING&amp;RNORWALK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853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596</v>
      </c>
      <c r="D8" s="35" t="s">
        <v>596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598</v>
      </c>
      <c r="D9" s="607" t="s">
        <v>599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854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855</v>
      </c>
      <c r="C12" s="49">
        <v>3434</v>
      </c>
      <c r="D12" s="49">
        <v>3725</v>
      </c>
      <c r="E12" s="49">
        <f>+D12-C12</f>
        <v>291</v>
      </c>
      <c r="F12" s="70">
        <f>IF(C12=0,0,+E12/C12)</f>
        <v>8.4740827023878862E-2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856</v>
      </c>
      <c r="C13" s="49">
        <v>2758</v>
      </c>
      <c r="D13" s="49">
        <v>3110</v>
      </c>
      <c r="E13" s="49">
        <f>+D13-C13</f>
        <v>352</v>
      </c>
      <c r="F13" s="70">
        <f>IF(C13=0,0,+E13/C13)</f>
        <v>0.12762871646120377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857</v>
      </c>
      <c r="C15" s="51">
        <v>17554000</v>
      </c>
      <c r="D15" s="51">
        <v>18026000</v>
      </c>
      <c r="E15" s="51">
        <f>+D15-C15</f>
        <v>472000</v>
      </c>
      <c r="F15" s="70">
        <f>IF(C15=0,0,+E15/C15)</f>
        <v>2.6888458471003761E-2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858</v>
      </c>
      <c r="C16" s="27">
        <f>IF(C13=0,0,+C15/+C13)</f>
        <v>6364.7570703408264</v>
      </c>
      <c r="D16" s="27">
        <f>IF(D13=0,0,+D15/+D13)</f>
        <v>5796.1414790996787</v>
      </c>
      <c r="E16" s="27">
        <f>+D16-C16</f>
        <v>-568.61559124114774</v>
      </c>
      <c r="F16" s="28">
        <f>IF(C16=0,0,+E16/C16)</f>
        <v>-8.9338145188736784E-2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859</v>
      </c>
      <c r="C18" s="210">
        <v>0.468829</v>
      </c>
      <c r="D18" s="210">
        <v>0.47614200000000001</v>
      </c>
      <c r="E18" s="210">
        <f>+D18-C18</f>
        <v>7.3130000000000139E-3</v>
      </c>
      <c r="F18" s="70">
        <f>IF(C18=0,0,+E18/C18)</f>
        <v>1.5598437809947793E-2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860</v>
      </c>
      <c r="C19" s="27">
        <f>+C15*C18</f>
        <v>8229824.2659999998</v>
      </c>
      <c r="D19" s="27">
        <f>+D15*D18</f>
        <v>8582935.6919999998</v>
      </c>
      <c r="E19" s="27">
        <f>+D19-C19</f>
        <v>353111.42599999998</v>
      </c>
      <c r="F19" s="28">
        <f>IF(C19=0,0,+E19/C19)</f>
        <v>4.2906314228216835E-2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861</v>
      </c>
      <c r="C20" s="27">
        <f>IF(C13=0,0,+C19/C13)</f>
        <v>2983.9826925308193</v>
      </c>
      <c r="D20" s="27">
        <f>IF(D13=0,0,+D19/D13)</f>
        <v>2759.7863961414791</v>
      </c>
      <c r="E20" s="27">
        <f>+D20-C20</f>
        <v>-224.1962963893402</v>
      </c>
      <c r="F20" s="28">
        <f>IF(C20=0,0,+E20/C20)</f>
        <v>-7.5133242880571646E-2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862</v>
      </c>
      <c r="C22" s="51">
        <v>7499730</v>
      </c>
      <c r="D22" s="51">
        <v>6348264</v>
      </c>
      <c r="E22" s="51">
        <f>+D22-C22</f>
        <v>-1151466</v>
      </c>
      <c r="F22" s="70">
        <f>IF(C22=0,0,+E22/C22)</f>
        <v>-0.15353432723578048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863</v>
      </c>
      <c r="C23" s="49">
        <v>6518417</v>
      </c>
      <c r="D23" s="49">
        <v>7995060</v>
      </c>
      <c r="E23" s="49">
        <f>+D23-C23</f>
        <v>1476643</v>
      </c>
      <c r="F23" s="70">
        <f>IF(C23=0,0,+E23/C23)</f>
        <v>0.22653398823671453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864</v>
      </c>
      <c r="C24" s="49">
        <v>3535853</v>
      </c>
      <c r="D24" s="49">
        <v>3682676</v>
      </c>
      <c r="E24" s="49">
        <f>+D24-C24</f>
        <v>146823</v>
      </c>
      <c r="F24" s="70">
        <f>IF(C24=0,0,+E24/C24)</f>
        <v>4.1524067884043822E-2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857</v>
      </c>
      <c r="C25" s="27">
        <f>+C22+C23+C24</f>
        <v>17554000</v>
      </c>
      <c r="D25" s="27">
        <f>+D22+D23+D24</f>
        <v>18026000</v>
      </c>
      <c r="E25" s="27">
        <f>+E22+E23+E24</f>
        <v>472000</v>
      </c>
      <c r="F25" s="28">
        <f>IF(C25=0,0,+E25/C25)</f>
        <v>2.6888458471003761E-2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865</v>
      </c>
      <c r="C27" s="49">
        <v>3794</v>
      </c>
      <c r="D27" s="49">
        <v>2477</v>
      </c>
      <c r="E27" s="49">
        <f>+D27-C27</f>
        <v>-1317</v>
      </c>
      <c r="F27" s="70">
        <f>IF(C27=0,0,+E27/C27)</f>
        <v>-0.34712704269899841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866</v>
      </c>
      <c r="C28" s="49">
        <v>893</v>
      </c>
      <c r="D28" s="49">
        <v>446</v>
      </c>
      <c r="E28" s="49">
        <f>+D28-C28</f>
        <v>-447</v>
      </c>
      <c r="F28" s="70">
        <f>IF(C28=0,0,+E28/C28)</f>
        <v>-0.50055991041433368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867</v>
      </c>
      <c r="C29" s="49">
        <v>1974</v>
      </c>
      <c r="D29" s="49">
        <v>2044</v>
      </c>
      <c r="E29" s="49">
        <f>+D29-C29</f>
        <v>70</v>
      </c>
      <c r="F29" s="70">
        <f>IF(C29=0,0,+E29/C29)</f>
        <v>3.5460992907801421E-2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868</v>
      </c>
      <c r="C30" s="49">
        <v>8927</v>
      </c>
      <c r="D30" s="49">
        <v>11229</v>
      </c>
      <c r="E30" s="49">
        <f>+D30-C30</f>
        <v>2302</v>
      </c>
      <c r="F30" s="70">
        <f>IF(C30=0,0,+E30/C30)</f>
        <v>0.2578693850117621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869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870</v>
      </c>
      <c r="C33" s="51">
        <v>9346879</v>
      </c>
      <c r="D33" s="51">
        <v>8878002</v>
      </c>
      <c r="E33" s="51">
        <f>+D33-C33</f>
        <v>-468877</v>
      </c>
      <c r="F33" s="70">
        <f>IF(C33=0,0,+E33/C33)</f>
        <v>-5.0164017315298508E-2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871</v>
      </c>
      <c r="C34" s="49">
        <v>3891900</v>
      </c>
      <c r="D34" s="49">
        <v>4815832</v>
      </c>
      <c r="E34" s="49">
        <f>+D34-C34</f>
        <v>923932</v>
      </c>
      <c r="F34" s="70">
        <f>IF(C34=0,0,+E34/C34)</f>
        <v>0.23739869986381973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872</v>
      </c>
      <c r="C35" s="49">
        <v>7761990</v>
      </c>
      <c r="D35" s="49">
        <v>9561861</v>
      </c>
      <c r="E35" s="49">
        <f>+D35-C35</f>
        <v>1799871</v>
      </c>
      <c r="F35" s="70">
        <f>IF(C35=0,0,+E35/C35)</f>
        <v>0.23188267441725641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873</v>
      </c>
      <c r="C36" s="27">
        <f>+C33+C34+C35</f>
        <v>21000769</v>
      </c>
      <c r="D36" s="27">
        <f>+D33+D34+D35</f>
        <v>23255695</v>
      </c>
      <c r="E36" s="27">
        <f>+E33+E34+E35</f>
        <v>2254926</v>
      </c>
      <c r="F36" s="28">
        <f>IF(C36=0,0,+E36/C36)</f>
        <v>0.10737349665624149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874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875</v>
      </c>
      <c r="C39" s="51">
        <f>+C25</f>
        <v>17554000</v>
      </c>
      <c r="D39" s="51">
        <f>+D25</f>
        <v>18026000</v>
      </c>
      <c r="E39" s="51">
        <f>+D39-C39</f>
        <v>472000</v>
      </c>
      <c r="F39" s="70">
        <f>IF(C39=0,0,+E39/C39)</f>
        <v>2.6888458471003761E-2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876</v>
      </c>
      <c r="C40" s="49">
        <f>+C36</f>
        <v>21000769</v>
      </c>
      <c r="D40" s="49">
        <f>+D36</f>
        <v>23255695</v>
      </c>
      <c r="E40" s="49">
        <f>+D40-C40</f>
        <v>2254926</v>
      </c>
      <c r="F40" s="70">
        <f>IF(C40=0,0,+E40/C40)</f>
        <v>0.10737349665624149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877</v>
      </c>
      <c r="C41" s="27">
        <f>+C39+C40</f>
        <v>38554769</v>
      </c>
      <c r="D41" s="27">
        <f>+D39+D40</f>
        <v>41281695</v>
      </c>
      <c r="E41" s="27">
        <f>+E39+E40</f>
        <v>2726926</v>
      </c>
      <c r="F41" s="28">
        <f>IF(C41=0,0,+E41/C41)</f>
        <v>7.0728630224707087E-2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878</v>
      </c>
      <c r="C43" s="51">
        <f t="shared" ref="C43:D45" si="0">+C22+C33</f>
        <v>16846609</v>
      </c>
      <c r="D43" s="51">
        <f t="shared" si="0"/>
        <v>15226266</v>
      </c>
      <c r="E43" s="51">
        <f>+D43-C43</f>
        <v>-1620343</v>
      </c>
      <c r="F43" s="70">
        <f>IF(C43=0,0,+E43/C43)</f>
        <v>-9.6182145617554254E-2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879</v>
      </c>
      <c r="C44" s="49">
        <f t="shared" si="0"/>
        <v>10410317</v>
      </c>
      <c r="D44" s="49">
        <f t="shared" si="0"/>
        <v>12810892</v>
      </c>
      <c r="E44" s="49">
        <f>+D44-C44</f>
        <v>2400575</v>
      </c>
      <c r="F44" s="70">
        <f>IF(C44=0,0,+E44/C44)</f>
        <v>0.23059576379854715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880</v>
      </c>
      <c r="C45" s="49">
        <f t="shared" si="0"/>
        <v>11297843</v>
      </c>
      <c r="D45" s="49">
        <f t="shared" si="0"/>
        <v>13244537</v>
      </c>
      <c r="E45" s="49">
        <f>+D45-C45</f>
        <v>1946694</v>
      </c>
      <c r="F45" s="70">
        <f>IF(C45=0,0,+E45/C45)</f>
        <v>0.17230669606578883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877</v>
      </c>
      <c r="C46" s="27">
        <f>+C43+C44+C45</f>
        <v>38554769</v>
      </c>
      <c r="D46" s="27">
        <f>+D43+D44+D45</f>
        <v>41281695</v>
      </c>
      <c r="E46" s="27">
        <f>+E43+E44+E45</f>
        <v>2726926</v>
      </c>
      <c r="F46" s="28">
        <f>IF(C46=0,0,+E46/C46)</f>
        <v>7.0728630224707087E-2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881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FILING&amp;RNORWALK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882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883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598</v>
      </c>
      <c r="D9" s="35" t="s">
        <v>599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884</v>
      </c>
      <c r="D10" s="35" t="s">
        <v>884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885</v>
      </c>
      <c r="D11" s="605" t="s">
        <v>885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886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263283167</v>
      </c>
      <c r="D15" s="51">
        <v>278634332</v>
      </c>
      <c r="E15" s="51">
        <f>+D15-C15</f>
        <v>15351165</v>
      </c>
      <c r="F15" s="70">
        <f>+E15/C15</f>
        <v>5.830667100718976E-2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887</v>
      </c>
      <c r="C17" s="51">
        <v>84185803</v>
      </c>
      <c r="D17" s="51">
        <v>103541033</v>
      </c>
      <c r="E17" s="51">
        <f>+D17-C17</f>
        <v>19355230</v>
      </c>
      <c r="F17" s="70">
        <f>+E17/C17</f>
        <v>0.22991085563441141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888</v>
      </c>
      <c r="C19" s="27">
        <f>+C15-C17</f>
        <v>179097364</v>
      </c>
      <c r="D19" s="27">
        <f>+D15-D17</f>
        <v>175093299</v>
      </c>
      <c r="E19" s="27">
        <f>+D19-C19</f>
        <v>-4004065</v>
      </c>
      <c r="F19" s="28">
        <f>+E19/C19</f>
        <v>-2.2356917547932197E-2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889</v>
      </c>
      <c r="C21" s="628">
        <f>+C17/C15</f>
        <v>0.31975383750986253</v>
      </c>
      <c r="D21" s="628">
        <f>+D17/D15</f>
        <v>0.3716018491217371</v>
      </c>
      <c r="E21" s="628">
        <f>+D21-C21</f>
        <v>5.1848011611874578E-2</v>
      </c>
      <c r="F21" s="28">
        <f>+E21/C21</f>
        <v>0.16214977126044772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890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FILING&amp;R&amp;12NORWALK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891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892</v>
      </c>
      <c r="B6" s="632" t="s">
        <v>893</v>
      </c>
      <c r="C6" s="632" t="s">
        <v>894</v>
      </c>
      <c r="D6" s="632" t="s">
        <v>895</v>
      </c>
      <c r="E6" s="632" t="s">
        <v>896</v>
      </c>
    </row>
    <row r="7" spans="1:6" ht="37.5" customHeight="1" x14ac:dyDescent="0.25">
      <c r="A7" s="633" t="s">
        <v>8</v>
      </c>
      <c r="B7" s="634" t="s">
        <v>897</v>
      </c>
      <c r="C7" s="631" t="s">
        <v>898</v>
      </c>
      <c r="D7" s="631" t="s">
        <v>899</v>
      </c>
      <c r="E7" s="631" t="s">
        <v>900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901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902</v>
      </c>
      <c r="C10" s="641">
        <v>350336142</v>
      </c>
      <c r="D10" s="641">
        <v>372942888</v>
      </c>
      <c r="E10" s="641">
        <v>408782538</v>
      </c>
    </row>
    <row r="11" spans="1:6" ht="26.1" customHeight="1" x14ac:dyDescent="0.25">
      <c r="A11" s="639">
        <v>2</v>
      </c>
      <c r="B11" s="640" t="s">
        <v>903</v>
      </c>
      <c r="C11" s="641">
        <v>242751986</v>
      </c>
      <c r="D11" s="641">
        <v>289138477</v>
      </c>
      <c r="E11" s="641">
        <v>332249978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593088128</v>
      </c>
      <c r="D12" s="641">
        <f>+D11+D10</f>
        <v>662081365</v>
      </c>
      <c r="E12" s="641">
        <f>+E11+E10</f>
        <v>741032516</v>
      </c>
    </row>
    <row r="13" spans="1:6" ht="26.1" customHeight="1" x14ac:dyDescent="0.25">
      <c r="A13" s="639">
        <v>4</v>
      </c>
      <c r="B13" s="640" t="s">
        <v>484</v>
      </c>
      <c r="C13" s="641">
        <v>298446744</v>
      </c>
      <c r="D13" s="641">
        <v>322749162</v>
      </c>
      <c r="E13" s="641">
        <v>326580262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904</v>
      </c>
      <c r="C16" s="641">
        <v>306099959</v>
      </c>
      <c r="D16" s="641">
        <v>321077894</v>
      </c>
      <c r="E16" s="641">
        <v>337444501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905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77672</v>
      </c>
      <c r="D19" s="644">
        <v>71363</v>
      </c>
      <c r="E19" s="644">
        <v>69417</v>
      </c>
    </row>
    <row r="20" spans="1:5" ht="26.1" customHeight="1" x14ac:dyDescent="0.25">
      <c r="A20" s="639">
        <v>2</v>
      </c>
      <c r="B20" s="640" t="s">
        <v>373</v>
      </c>
      <c r="C20" s="645">
        <v>15301</v>
      </c>
      <c r="D20" s="645">
        <v>15332</v>
      </c>
      <c r="E20" s="645">
        <v>14483</v>
      </c>
    </row>
    <row r="21" spans="1:5" ht="26.1" customHeight="1" x14ac:dyDescent="0.25">
      <c r="A21" s="639">
        <v>3</v>
      </c>
      <c r="B21" s="640" t="s">
        <v>906</v>
      </c>
      <c r="C21" s="646">
        <f>IF(C20=0,0,+C19/C20)</f>
        <v>5.0762695248676559</v>
      </c>
      <c r="D21" s="646">
        <f>IF(D20=0,0,+D19/D20)</f>
        <v>4.6545134359509523</v>
      </c>
      <c r="E21" s="646">
        <f>IF(E20=0,0,+E19/E20)</f>
        <v>4.7929986881171027</v>
      </c>
    </row>
    <row r="22" spans="1:5" ht="26.1" customHeight="1" x14ac:dyDescent="0.25">
      <c r="A22" s="639">
        <v>4</v>
      </c>
      <c r="B22" s="640" t="s">
        <v>907</v>
      </c>
      <c r="C22" s="645">
        <f>IF(C10=0,0,C19*(C12/C10))</f>
        <v>131491.83185906065</v>
      </c>
      <c r="D22" s="645">
        <f>IF(D10=0,0,D19*(D12/D10))</f>
        <v>126689.94092868987</v>
      </c>
      <c r="E22" s="645">
        <f>IF(E10=0,0,E19*(E12/E10))</f>
        <v>125837.69946448153</v>
      </c>
    </row>
    <row r="23" spans="1:5" ht="26.1" customHeight="1" x14ac:dyDescent="0.25">
      <c r="A23" s="639">
        <v>0</v>
      </c>
      <c r="B23" s="640" t="s">
        <v>908</v>
      </c>
      <c r="C23" s="645">
        <f>IF(C10=0,0,C20*(C12/C10))</f>
        <v>25903.240798170347</v>
      </c>
      <c r="D23" s="645">
        <f>IF(D10=0,0,D20*(D12/D10))</f>
        <v>27218.729233898142</v>
      </c>
      <c r="E23" s="645">
        <f>IF(E10=0,0,E20*(E12/E10))</f>
        <v>26254.482350779865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909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1.1191769426834846</v>
      </c>
      <c r="D26" s="647">
        <v>1.1313194429950431</v>
      </c>
      <c r="E26" s="647">
        <v>1.1723366450321067</v>
      </c>
    </row>
    <row r="27" spans="1:5" ht="26.1" customHeight="1" x14ac:dyDescent="0.25">
      <c r="A27" s="639">
        <v>2</v>
      </c>
      <c r="B27" s="640" t="s">
        <v>910</v>
      </c>
      <c r="C27" s="645">
        <f>C19*C26</f>
        <v>86928.711492111615</v>
      </c>
      <c r="D27" s="645">
        <f>D19*D26</f>
        <v>80734.349410455252</v>
      </c>
      <c r="E27" s="645">
        <f>E19*E26</f>
        <v>81380.092888193743</v>
      </c>
    </row>
    <row r="28" spans="1:5" ht="26.1" customHeight="1" x14ac:dyDescent="0.25">
      <c r="A28" s="639">
        <v>3</v>
      </c>
      <c r="B28" s="640" t="s">
        <v>911</v>
      </c>
      <c r="C28" s="645">
        <f>C20*C26</f>
        <v>17124.526399999999</v>
      </c>
      <c r="D28" s="645">
        <f>D20*D26</f>
        <v>17345.3897</v>
      </c>
      <c r="E28" s="645">
        <f>E20*E26</f>
        <v>16978.95163</v>
      </c>
    </row>
    <row r="29" spans="1:5" ht="26.1" customHeight="1" x14ac:dyDescent="0.25">
      <c r="A29" s="639">
        <v>4</v>
      </c>
      <c r="B29" s="640" t="s">
        <v>912</v>
      </c>
      <c r="C29" s="645">
        <f>C22*C26</f>
        <v>147162.6263678743</v>
      </c>
      <c r="D29" s="645">
        <f>D22*D26</f>
        <v>143326.79340452034</v>
      </c>
      <c r="E29" s="645">
        <f>E22*E26</f>
        <v>147524.14640874881</v>
      </c>
    </row>
    <row r="30" spans="1:5" ht="26.1" customHeight="1" x14ac:dyDescent="0.25">
      <c r="A30" s="639">
        <v>5</v>
      </c>
      <c r="B30" s="640" t="s">
        <v>913</v>
      </c>
      <c r="C30" s="645">
        <f>C23*C26</f>
        <v>28990.309842090395</v>
      </c>
      <c r="D30" s="645">
        <f>D23*D26</f>
        <v>30793.077595926541</v>
      </c>
      <c r="E30" s="645">
        <f>E23*E26</f>
        <v>30779.091756167923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914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915</v>
      </c>
      <c r="C33" s="641">
        <f>IF(C19=0,0,C12/C19)</f>
        <v>7635.8034813060049</v>
      </c>
      <c r="D33" s="641">
        <f>IF(D19=0,0,D12/D19)</f>
        <v>9277.6559982063536</v>
      </c>
      <c r="E33" s="641">
        <f>IF(E19=0,0,E12/E19)</f>
        <v>10675.087024792198</v>
      </c>
    </row>
    <row r="34" spans="1:5" ht="26.1" customHeight="1" x14ac:dyDescent="0.25">
      <c r="A34" s="639">
        <v>2</v>
      </c>
      <c r="B34" s="640" t="s">
        <v>916</v>
      </c>
      <c r="C34" s="641">
        <f>IF(C20=0,0,C12/C20)</f>
        <v>38761.396510032027</v>
      </c>
      <c r="D34" s="641">
        <f>IF(D20=0,0,D12/D20)</f>
        <v>43182.974497782416</v>
      </c>
      <c r="E34" s="641">
        <f>IF(E20=0,0,E12/E20)</f>
        <v>51165.67810536491</v>
      </c>
    </row>
    <row r="35" spans="1:5" ht="26.1" customHeight="1" x14ac:dyDescent="0.25">
      <c r="A35" s="639">
        <v>3</v>
      </c>
      <c r="B35" s="640" t="s">
        <v>917</v>
      </c>
      <c r="C35" s="641">
        <f>IF(C22=0,0,C12/C22)</f>
        <v>4510.4560459367603</v>
      </c>
      <c r="D35" s="641">
        <f>IF(D22=0,0,D12/D22)</f>
        <v>5225.9978980704282</v>
      </c>
      <c r="E35" s="641">
        <f>IF(E22=0,0,E12/E22)</f>
        <v>5888.7957992998836</v>
      </c>
    </row>
    <row r="36" spans="1:5" ht="26.1" customHeight="1" x14ac:dyDescent="0.25">
      <c r="A36" s="639">
        <v>4</v>
      </c>
      <c r="B36" s="640" t="s">
        <v>918</v>
      </c>
      <c r="C36" s="641">
        <f>IF(C23=0,0,C12/C23)</f>
        <v>22896.29056924384</v>
      </c>
      <c r="D36" s="641">
        <f>IF(D23=0,0,D12/D23)</f>
        <v>24324.477432820244</v>
      </c>
      <c r="E36" s="641">
        <f>IF(E23=0,0,E12/E23)</f>
        <v>28224.990540633848</v>
      </c>
    </row>
    <row r="37" spans="1:5" ht="26.1" customHeight="1" x14ac:dyDescent="0.25">
      <c r="A37" s="639">
        <v>5</v>
      </c>
      <c r="B37" s="640" t="s">
        <v>919</v>
      </c>
      <c r="C37" s="641">
        <f>IF(C29=0,0,C12/C29)</f>
        <v>4030.1545483253999</v>
      </c>
      <c r="D37" s="641">
        <f>IF(D29=0,0,D12/D29)</f>
        <v>4619.3830844409222</v>
      </c>
      <c r="E37" s="641">
        <f>IF(E29=0,0,E12/E29)</f>
        <v>5023.1269527010363</v>
      </c>
    </row>
    <row r="38" spans="1:5" ht="26.1" customHeight="1" x14ac:dyDescent="0.25">
      <c r="A38" s="639">
        <v>6</v>
      </c>
      <c r="B38" s="640" t="s">
        <v>920</v>
      </c>
      <c r="C38" s="641">
        <f>IF(C30=0,0,C12/C30)</f>
        <v>20458.150714170992</v>
      </c>
      <c r="D38" s="641">
        <f>IF(D30=0,0,D12/D30)</f>
        <v>21500.980632334828</v>
      </c>
      <c r="E38" s="641">
        <f>IF(E30=0,0,E12/E30)</f>
        <v>24075.840894541732</v>
      </c>
    </row>
    <row r="39" spans="1:5" ht="26.1" customHeight="1" x14ac:dyDescent="0.25">
      <c r="A39" s="639">
        <v>7</v>
      </c>
      <c r="B39" s="640" t="s">
        <v>921</v>
      </c>
      <c r="C39" s="641">
        <f>IF(C22=0,0,C10/C22)</f>
        <v>2664.3186656301764</v>
      </c>
      <c r="D39" s="641">
        <f>IF(D22=0,0,D10/D22)</f>
        <v>2943.7450618902635</v>
      </c>
      <c r="E39" s="641">
        <f>IF(E22=0,0,E10/E22)</f>
        <v>3248.4902357530891</v>
      </c>
    </row>
    <row r="40" spans="1:5" ht="26.1" customHeight="1" x14ac:dyDescent="0.25">
      <c r="A40" s="639">
        <v>8</v>
      </c>
      <c r="B40" s="640" t="s">
        <v>922</v>
      </c>
      <c r="C40" s="641">
        <f>IF(C23=0,0,C10/C23)</f>
        <v>13524.79964687452</v>
      </c>
      <c r="D40" s="641">
        <f>IF(D23=0,0,D10/D23)</f>
        <v>13701.7009425825</v>
      </c>
      <c r="E40" s="641">
        <f>IF(E23=0,0,E10/E23)</f>
        <v>15570.009438325777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923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924</v>
      </c>
      <c r="C43" s="641">
        <f>IF(C19=0,0,C13/C19)</f>
        <v>3842.3980842517253</v>
      </c>
      <c r="D43" s="641">
        <f>IF(D19=0,0,D13/D19)</f>
        <v>4522.6400515673386</v>
      </c>
      <c r="E43" s="641">
        <f>IF(E19=0,0,E13/E19)</f>
        <v>4704.6150366624888</v>
      </c>
    </row>
    <row r="44" spans="1:5" ht="26.1" customHeight="1" x14ac:dyDescent="0.25">
      <c r="A44" s="639">
        <v>2</v>
      </c>
      <c r="B44" s="640" t="s">
        <v>925</v>
      </c>
      <c r="C44" s="641">
        <f>IF(C20=0,0,C13/C20)</f>
        <v>19505.048297496895</v>
      </c>
      <c r="D44" s="641">
        <f>IF(D20=0,0,D13/D20)</f>
        <v>21050.688885990086</v>
      </c>
      <c r="E44" s="641">
        <f>IF(E20=0,0,E13/E20)</f>
        <v>22549.213698819305</v>
      </c>
    </row>
    <row r="45" spans="1:5" ht="26.1" customHeight="1" x14ac:dyDescent="0.25">
      <c r="A45" s="639">
        <v>3</v>
      </c>
      <c r="B45" s="640" t="s">
        <v>926</v>
      </c>
      <c r="C45" s="641">
        <f>IF(C22=0,0,C13/C22)</f>
        <v>2269.6979712009015</v>
      </c>
      <c r="D45" s="641">
        <f>IF(D22=0,0,D13/D22)</f>
        <v>2547.5516022354627</v>
      </c>
      <c r="E45" s="641">
        <f>IF(E22=0,0,E13/E22)</f>
        <v>2595.2497811848452</v>
      </c>
    </row>
    <row r="46" spans="1:5" ht="26.1" customHeight="1" x14ac:dyDescent="0.25">
      <c r="A46" s="639">
        <v>4</v>
      </c>
      <c r="B46" s="640" t="s">
        <v>927</v>
      </c>
      <c r="C46" s="641">
        <f>IF(C23=0,0,C13/C23)</f>
        <v>11521.598641861081</v>
      </c>
      <c r="D46" s="641">
        <f>IF(D23=0,0,D13/D23)</f>
        <v>11857.613161383337</v>
      </c>
      <c r="E46" s="641">
        <f>IF(E23=0,0,E13/E23)</f>
        <v>12439.028796555162</v>
      </c>
    </row>
    <row r="47" spans="1:5" ht="26.1" customHeight="1" x14ac:dyDescent="0.25">
      <c r="A47" s="639">
        <v>5</v>
      </c>
      <c r="B47" s="640" t="s">
        <v>928</v>
      </c>
      <c r="C47" s="641">
        <f>IF(C29=0,0,C13/C29)</f>
        <v>2028.0063720387036</v>
      </c>
      <c r="D47" s="641">
        <f>IF(D29=0,0,D13/D29)</f>
        <v>2251.8410852120614</v>
      </c>
      <c r="E47" s="641">
        <f>IF(E29=0,0,E13/E29)</f>
        <v>2213.7410718861979</v>
      </c>
    </row>
    <row r="48" spans="1:5" ht="26.1" customHeight="1" x14ac:dyDescent="0.25">
      <c r="A48" s="639">
        <v>6</v>
      </c>
      <c r="B48" s="640" t="s">
        <v>929</v>
      </c>
      <c r="C48" s="641">
        <f>IF(C30=0,0,C13/C30)</f>
        <v>10294.706942617486</v>
      </c>
      <c r="D48" s="641">
        <f>IF(D30=0,0,D13/D30)</f>
        <v>10481.224586745913</v>
      </c>
      <c r="E48" s="641">
        <f>IF(E30=0,0,E13/E30)</f>
        <v>10610.458053381497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930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931</v>
      </c>
      <c r="C51" s="641">
        <f>IF(C19=0,0,C16/C19)</f>
        <v>3940.9305669996911</v>
      </c>
      <c r="D51" s="641">
        <f>IF(D19=0,0,D16/D19)</f>
        <v>4499.2208006950377</v>
      </c>
      <c r="E51" s="641">
        <f>IF(E19=0,0,E16/E19)</f>
        <v>4861.1219297866519</v>
      </c>
    </row>
    <row r="52" spans="1:6" ht="26.1" customHeight="1" x14ac:dyDescent="0.25">
      <c r="A52" s="639">
        <v>2</v>
      </c>
      <c r="B52" s="640" t="s">
        <v>932</v>
      </c>
      <c r="C52" s="641">
        <f>IF(C20=0,0,C16/C20)</f>
        <v>20005.225736879944</v>
      </c>
      <c r="D52" s="641">
        <f>IF(D20=0,0,D16/D20)</f>
        <v>20941.683668145055</v>
      </c>
      <c r="E52" s="641">
        <f>IF(E20=0,0,E16/E20)</f>
        <v>23299.3510322447</v>
      </c>
    </row>
    <row r="53" spans="1:6" ht="26.1" customHeight="1" x14ac:dyDescent="0.25">
      <c r="A53" s="639">
        <v>3</v>
      </c>
      <c r="B53" s="640" t="s">
        <v>933</v>
      </c>
      <c r="C53" s="641">
        <f>IF(C22=0,0,C16/C22)</f>
        <v>2327.9009400986433</v>
      </c>
      <c r="D53" s="641">
        <f>IF(D22=0,0,D16/D22)</f>
        <v>2534.359805098698</v>
      </c>
      <c r="E53" s="641">
        <f>IF(E22=0,0,E16/E22)</f>
        <v>2681.5851087236842</v>
      </c>
    </row>
    <row r="54" spans="1:6" ht="26.1" customHeight="1" x14ac:dyDescent="0.25">
      <c r="A54" s="639">
        <v>4</v>
      </c>
      <c r="B54" s="640" t="s">
        <v>934</v>
      </c>
      <c r="C54" s="641">
        <f>IF(C23=0,0,C16/C23)</f>
        <v>11817.052599133507</v>
      </c>
      <c r="D54" s="641">
        <f>IF(D23=0,0,D16/D23)</f>
        <v>11796.211764365926</v>
      </c>
      <c r="E54" s="641">
        <f>IF(E23=0,0,E16/E23)</f>
        <v>12852.833908186978</v>
      </c>
    </row>
    <row r="55" spans="1:6" ht="26.1" customHeight="1" x14ac:dyDescent="0.25">
      <c r="A55" s="639">
        <v>5</v>
      </c>
      <c r="B55" s="640" t="s">
        <v>935</v>
      </c>
      <c r="C55" s="641">
        <f>IF(C29=0,0,C16/C29)</f>
        <v>2080.0115257172511</v>
      </c>
      <c r="D55" s="641">
        <f>IF(D29=0,0,D16/D29)</f>
        <v>2240.1805438694314</v>
      </c>
      <c r="E55" s="641">
        <f>IF(E29=0,0,E16/E29)</f>
        <v>2287.3848736940604</v>
      </c>
    </row>
    <row r="56" spans="1:6" ht="26.1" customHeight="1" x14ac:dyDescent="0.25">
      <c r="A56" s="639">
        <v>6</v>
      </c>
      <c r="B56" s="640" t="s">
        <v>936</v>
      </c>
      <c r="C56" s="641">
        <f>IF(C30=0,0,C16/C30)</f>
        <v>10558.699119371955</v>
      </c>
      <c r="D56" s="641">
        <f>IF(D30=0,0,D16/D30)</f>
        <v>10426.95044039618</v>
      </c>
      <c r="E56" s="641">
        <f>IF(E30=0,0,E16/E30)</f>
        <v>10963.432698834538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937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938</v>
      </c>
      <c r="C59" s="649">
        <v>44952612</v>
      </c>
      <c r="D59" s="649">
        <v>45263053</v>
      </c>
      <c r="E59" s="649">
        <v>45786858</v>
      </c>
    </row>
    <row r="60" spans="1:6" ht="26.1" customHeight="1" x14ac:dyDescent="0.25">
      <c r="A60" s="639">
        <v>2</v>
      </c>
      <c r="B60" s="640" t="s">
        <v>939</v>
      </c>
      <c r="C60" s="649">
        <v>11421427</v>
      </c>
      <c r="D60" s="649">
        <v>11773329</v>
      </c>
      <c r="E60" s="649">
        <v>13413788</v>
      </c>
    </row>
    <row r="61" spans="1:6" ht="26.1" customHeight="1" x14ac:dyDescent="0.25">
      <c r="A61" s="650">
        <v>3</v>
      </c>
      <c r="B61" s="651" t="s">
        <v>940</v>
      </c>
      <c r="C61" s="652">
        <f>C59+C60</f>
        <v>56374039</v>
      </c>
      <c r="D61" s="652">
        <f>D59+D60</f>
        <v>57036382</v>
      </c>
      <c r="E61" s="652">
        <f>E59+E60</f>
        <v>59200646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941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942</v>
      </c>
      <c r="C64" s="641">
        <v>13966324</v>
      </c>
      <c r="D64" s="641">
        <v>14846700</v>
      </c>
      <c r="E64" s="649">
        <v>16914558</v>
      </c>
      <c r="F64" s="653"/>
    </row>
    <row r="65" spans="1:6" ht="26.1" customHeight="1" x14ac:dyDescent="0.25">
      <c r="A65" s="639">
        <v>2</v>
      </c>
      <c r="B65" s="640" t="s">
        <v>943</v>
      </c>
      <c r="C65" s="649">
        <v>1859186</v>
      </c>
      <c r="D65" s="649">
        <v>1940855</v>
      </c>
      <c r="E65" s="649">
        <v>2509283</v>
      </c>
      <c r="F65" s="653"/>
    </row>
    <row r="66" spans="1:6" ht="26.1" customHeight="1" x14ac:dyDescent="0.25">
      <c r="A66" s="650">
        <v>3</v>
      </c>
      <c r="B66" s="651" t="s">
        <v>944</v>
      </c>
      <c r="C66" s="654">
        <f>C64+C65</f>
        <v>15825510</v>
      </c>
      <c r="D66" s="654">
        <f>D64+D65</f>
        <v>16787555</v>
      </c>
      <c r="E66" s="654">
        <f>E64+E65</f>
        <v>19423841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945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946</v>
      </c>
      <c r="C69" s="649">
        <v>67118303</v>
      </c>
      <c r="D69" s="649">
        <v>68379426</v>
      </c>
      <c r="E69" s="649">
        <v>67563362</v>
      </c>
    </row>
    <row r="70" spans="1:6" ht="26.1" customHeight="1" x14ac:dyDescent="0.25">
      <c r="A70" s="639">
        <v>2</v>
      </c>
      <c r="B70" s="640" t="s">
        <v>947</v>
      </c>
      <c r="C70" s="649">
        <v>26946003</v>
      </c>
      <c r="D70" s="649">
        <v>27061782</v>
      </c>
      <c r="E70" s="649">
        <v>30756962</v>
      </c>
    </row>
    <row r="71" spans="1:6" ht="26.1" customHeight="1" x14ac:dyDescent="0.25">
      <c r="A71" s="650">
        <v>3</v>
      </c>
      <c r="B71" s="651" t="s">
        <v>948</v>
      </c>
      <c r="C71" s="652">
        <f>C69+C70</f>
        <v>94064306</v>
      </c>
      <c r="D71" s="652">
        <f>D69+D70</f>
        <v>95441208</v>
      </c>
      <c r="E71" s="652">
        <f>E69+E70</f>
        <v>98320324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949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950</v>
      </c>
      <c r="C75" s="641">
        <f t="shared" ref="C75:E76" si="0">+C59+C64+C69</f>
        <v>126037239</v>
      </c>
      <c r="D75" s="641">
        <f t="shared" si="0"/>
        <v>128489179</v>
      </c>
      <c r="E75" s="641">
        <f t="shared" si="0"/>
        <v>130264778</v>
      </c>
    </row>
    <row r="76" spans="1:6" ht="26.1" customHeight="1" x14ac:dyDescent="0.25">
      <c r="A76" s="639">
        <v>2</v>
      </c>
      <c r="B76" s="640" t="s">
        <v>951</v>
      </c>
      <c r="C76" s="641">
        <f t="shared" si="0"/>
        <v>40226616</v>
      </c>
      <c r="D76" s="641">
        <f t="shared" si="0"/>
        <v>40775966</v>
      </c>
      <c r="E76" s="641">
        <f t="shared" si="0"/>
        <v>46680033</v>
      </c>
    </row>
    <row r="77" spans="1:6" ht="26.1" customHeight="1" x14ac:dyDescent="0.25">
      <c r="A77" s="650">
        <v>3</v>
      </c>
      <c r="B77" s="651" t="s">
        <v>949</v>
      </c>
      <c r="C77" s="654">
        <f>C75+C76</f>
        <v>166263855</v>
      </c>
      <c r="D77" s="654">
        <f>D75+D76</f>
        <v>169265145</v>
      </c>
      <c r="E77" s="654">
        <f>E75+E76</f>
        <v>176944811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952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480.3</v>
      </c>
      <c r="D80" s="646">
        <v>481.2</v>
      </c>
      <c r="E80" s="646">
        <v>488.6</v>
      </c>
    </row>
    <row r="81" spans="1:5" ht="26.1" customHeight="1" x14ac:dyDescent="0.25">
      <c r="A81" s="639">
        <v>2</v>
      </c>
      <c r="B81" s="640" t="s">
        <v>579</v>
      </c>
      <c r="C81" s="646">
        <v>98.4</v>
      </c>
      <c r="D81" s="646">
        <v>96.3</v>
      </c>
      <c r="E81" s="646">
        <v>105.8</v>
      </c>
    </row>
    <row r="82" spans="1:5" ht="26.1" customHeight="1" x14ac:dyDescent="0.25">
      <c r="A82" s="639">
        <v>3</v>
      </c>
      <c r="B82" s="640" t="s">
        <v>953</v>
      </c>
      <c r="C82" s="646">
        <v>1142.7</v>
      </c>
      <c r="D82" s="646">
        <v>1117.8</v>
      </c>
      <c r="E82" s="646">
        <v>1132.2</v>
      </c>
    </row>
    <row r="83" spans="1:5" ht="26.1" customHeight="1" x14ac:dyDescent="0.25">
      <c r="A83" s="650">
        <v>4</v>
      </c>
      <c r="B83" s="651" t="s">
        <v>952</v>
      </c>
      <c r="C83" s="656">
        <f>C80+C81+C82</f>
        <v>1721.4</v>
      </c>
      <c r="D83" s="656">
        <f>D80+D81+D82</f>
        <v>1695.3</v>
      </c>
      <c r="E83" s="656">
        <f>E80+E81+E82</f>
        <v>1726.6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954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955</v>
      </c>
      <c r="C86" s="649">
        <f>IF(C80=0,0,C59/C80)</f>
        <v>93592.779512804496</v>
      </c>
      <c r="D86" s="649">
        <f>IF(D80=0,0,D59/D80)</f>
        <v>94062.86990856193</v>
      </c>
      <c r="E86" s="649">
        <f>IF(E80=0,0,E59/E80)</f>
        <v>93710.311092918535</v>
      </c>
    </row>
    <row r="87" spans="1:5" ht="26.1" customHeight="1" x14ac:dyDescent="0.25">
      <c r="A87" s="639">
        <v>2</v>
      </c>
      <c r="B87" s="640" t="s">
        <v>956</v>
      </c>
      <c r="C87" s="649">
        <f>IF(C80=0,0,C60/C80)</f>
        <v>23779.777222569228</v>
      </c>
      <c r="D87" s="649">
        <f>IF(D80=0,0,D60/D80)</f>
        <v>24466.602244389029</v>
      </c>
      <c r="E87" s="649">
        <f>IF(E80=0,0,E60/E80)</f>
        <v>27453.516168645107</v>
      </c>
    </row>
    <row r="88" spans="1:5" ht="26.1" customHeight="1" x14ac:dyDescent="0.25">
      <c r="A88" s="650">
        <v>3</v>
      </c>
      <c r="B88" s="651" t="s">
        <v>957</v>
      </c>
      <c r="C88" s="652">
        <f>+C86+C87</f>
        <v>117372.55673537373</v>
      </c>
      <c r="D88" s="652">
        <f>+D86+D87</f>
        <v>118529.47215295096</v>
      </c>
      <c r="E88" s="652">
        <f>+E86+E87</f>
        <v>121163.82726156364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958</v>
      </c>
    </row>
    <row r="91" spans="1:5" ht="26.1" customHeight="1" x14ac:dyDescent="0.25">
      <c r="A91" s="639">
        <v>1</v>
      </c>
      <c r="B91" s="640" t="s">
        <v>959</v>
      </c>
      <c r="C91" s="641">
        <f>IF(C81=0,0,C64/C81)</f>
        <v>141934.18699186991</v>
      </c>
      <c r="D91" s="641">
        <f>IF(D81=0,0,D64/D81)</f>
        <v>154171.33956386294</v>
      </c>
      <c r="E91" s="641">
        <f>IF(E81=0,0,E64/E81)</f>
        <v>159872.94896030246</v>
      </c>
    </row>
    <row r="92" spans="1:5" ht="26.1" customHeight="1" x14ac:dyDescent="0.25">
      <c r="A92" s="639">
        <v>2</v>
      </c>
      <c r="B92" s="640" t="s">
        <v>960</v>
      </c>
      <c r="C92" s="641">
        <f>IF(C81=0,0,C65/C81)</f>
        <v>18894.166666666664</v>
      </c>
      <c r="D92" s="641">
        <f>IF(D81=0,0,D65/D81)</f>
        <v>20154.257528556594</v>
      </c>
      <c r="E92" s="641">
        <f>IF(E81=0,0,E65/E81)</f>
        <v>23717.230623818527</v>
      </c>
    </row>
    <row r="93" spans="1:5" ht="26.1" customHeight="1" x14ac:dyDescent="0.25">
      <c r="A93" s="650">
        <v>3</v>
      </c>
      <c r="B93" s="651" t="s">
        <v>961</v>
      </c>
      <c r="C93" s="654">
        <f>+C91+C92</f>
        <v>160828.35365853657</v>
      </c>
      <c r="D93" s="654">
        <f>+D91+D92</f>
        <v>174325.59709241954</v>
      </c>
      <c r="E93" s="654">
        <f>+E91+E92</f>
        <v>183590.17958412098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962</v>
      </c>
      <c r="B95" s="642" t="s">
        <v>963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964</v>
      </c>
      <c r="C96" s="649">
        <f>IF(C82=0,0,C69/C82)</f>
        <v>58736.591406318366</v>
      </c>
      <c r="D96" s="649">
        <f>IF(D82=0,0,D69/D82)</f>
        <v>61173.220611916266</v>
      </c>
      <c r="E96" s="649">
        <f>IF(E82=0,0,E69/E82)</f>
        <v>59674.405582052641</v>
      </c>
    </row>
    <row r="97" spans="1:5" ht="26.1" customHeight="1" x14ac:dyDescent="0.25">
      <c r="A97" s="639">
        <v>2</v>
      </c>
      <c r="B97" s="640" t="s">
        <v>965</v>
      </c>
      <c r="C97" s="649">
        <f>IF(C82=0,0,C70/C82)</f>
        <v>23580.995011814124</v>
      </c>
      <c r="D97" s="649">
        <f>IF(D82=0,0,D70/D82)</f>
        <v>24209.860440150296</v>
      </c>
      <c r="E97" s="649">
        <f>IF(E82=0,0,E70/E82)</f>
        <v>27165.661543896837</v>
      </c>
    </row>
    <row r="98" spans="1:5" ht="26.1" customHeight="1" x14ac:dyDescent="0.25">
      <c r="A98" s="650">
        <v>3</v>
      </c>
      <c r="B98" s="651" t="s">
        <v>966</v>
      </c>
      <c r="C98" s="654">
        <f>+C96+C97</f>
        <v>82317.586418132487</v>
      </c>
      <c r="D98" s="654">
        <f>+D96+D97</f>
        <v>85383.081052066555</v>
      </c>
      <c r="E98" s="654">
        <f>+E96+E97</f>
        <v>86840.067125949485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967</v>
      </c>
      <c r="B100" s="642" t="s">
        <v>968</v>
      </c>
    </row>
    <row r="101" spans="1:5" ht="26.1" customHeight="1" x14ac:dyDescent="0.25">
      <c r="A101" s="639">
        <v>1</v>
      </c>
      <c r="B101" s="640" t="s">
        <v>969</v>
      </c>
      <c r="C101" s="641">
        <f>IF(C83=0,0,C75/C83)</f>
        <v>73217.868595329375</v>
      </c>
      <c r="D101" s="641">
        <f>IF(D83=0,0,D75/D83)</f>
        <v>75791.410959712142</v>
      </c>
      <c r="E101" s="641">
        <f>IF(E83=0,0,E75/E83)</f>
        <v>75445.834588208047</v>
      </c>
    </row>
    <row r="102" spans="1:5" ht="26.1" customHeight="1" x14ac:dyDescent="0.25">
      <c r="A102" s="639">
        <v>2</v>
      </c>
      <c r="B102" s="640" t="s">
        <v>970</v>
      </c>
      <c r="C102" s="658">
        <f>IF(C83=0,0,C76/C83)</f>
        <v>23368.546531892644</v>
      </c>
      <c r="D102" s="658">
        <f>IF(D83=0,0,D76/D83)</f>
        <v>24052.360054267683</v>
      </c>
      <c r="E102" s="658">
        <f>IF(E83=0,0,E76/E83)</f>
        <v>27035.812000463338</v>
      </c>
    </row>
    <row r="103" spans="1:5" ht="26.1" customHeight="1" x14ac:dyDescent="0.25">
      <c r="A103" s="650">
        <v>3</v>
      </c>
      <c r="B103" s="651" t="s">
        <v>968</v>
      </c>
      <c r="C103" s="654">
        <f>+C101+C102</f>
        <v>96586.415127222019</v>
      </c>
      <c r="D103" s="654">
        <f>+D101+D102</f>
        <v>99843.771013979829</v>
      </c>
      <c r="E103" s="654">
        <f>+E101+E102</f>
        <v>102481.64658867138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971</v>
      </c>
      <c r="B107" s="634" t="s">
        <v>972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973</v>
      </c>
      <c r="C108" s="641">
        <f>IF(C19=0,0,C77/C19)</f>
        <v>2140.5893372128953</v>
      </c>
      <c r="D108" s="641">
        <f>IF(D19=0,0,D77/D19)</f>
        <v>2371.8894244916833</v>
      </c>
      <c r="E108" s="641">
        <f>IF(E19=0,0,E77/E19)</f>
        <v>2549.0126481985681</v>
      </c>
    </row>
    <row r="109" spans="1:5" ht="26.1" customHeight="1" x14ac:dyDescent="0.25">
      <c r="A109" s="639">
        <v>2</v>
      </c>
      <c r="B109" s="640" t="s">
        <v>974</v>
      </c>
      <c r="C109" s="641">
        <f>IF(C20=0,0,C77/C20)</f>
        <v>10866.208417750473</v>
      </c>
      <c r="D109" s="641">
        <f>IF(D20=0,0,D77/D20)</f>
        <v>11039.991194886512</v>
      </c>
      <c r="E109" s="641">
        <f>IF(E20=0,0,E77/E20)</f>
        <v>12217.41427880964</v>
      </c>
    </row>
    <row r="110" spans="1:5" ht="26.1" customHeight="1" x14ac:dyDescent="0.25">
      <c r="A110" s="639">
        <v>3</v>
      </c>
      <c r="B110" s="640" t="s">
        <v>975</v>
      </c>
      <c r="C110" s="641">
        <f>IF(C22=0,0,C77/C22)</f>
        <v>1264.4424573703536</v>
      </c>
      <c r="D110" s="641">
        <f>IF(D22=0,0,D77/D22)</f>
        <v>1336.0582833902693</v>
      </c>
      <c r="E110" s="641">
        <f>IF(E22=0,0,E77/E22)</f>
        <v>1406.1351387780558</v>
      </c>
    </row>
    <row r="111" spans="1:5" ht="26.1" customHeight="1" x14ac:dyDescent="0.25">
      <c r="A111" s="639">
        <v>4</v>
      </c>
      <c r="B111" s="640" t="s">
        <v>976</v>
      </c>
      <c r="C111" s="641">
        <f>IF(C23=0,0,C77/C23)</f>
        <v>6418.6507122978956</v>
      </c>
      <c r="D111" s="641">
        <f>IF(D23=0,0,D77/D23)</f>
        <v>6218.7012312535726</v>
      </c>
      <c r="E111" s="641">
        <f>IF(E23=0,0,E77/E23)</f>
        <v>6739.6038754785814</v>
      </c>
    </row>
    <row r="112" spans="1:5" ht="26.1" customHeight="1" x14ac:dyDescent="0.25">
      <c r="A112" s="639">
        <v>5</v>
      </c>
      <c r="B112" s="640" t="s">
        <v>977</v>
      </c>
      <c r="C112" s="641">
        <f>IF(C29=0,0,C77/C29)</f>
        <v>1129.7967364647109</v>
      </c>
      <c r="D112" s="641">
        <f>IF(D29=0,0,D77/D29)</f>
        <v>1180.9735010415825</v>
      </c>
      <c r="E112" s="641">
        <f>IF(E29=0,0,E77/E29)</f>
        <v>1199.4294853246236</v>
      </c>
    </row>
    <row r="113" spans="1:7" ht="25.5" customHeight="1" x14ac:dyDescent="0.25">
      <c r="A113" s="639">
        <v>6</v>
      </c>
      <c r="B113" s="640" t="s">
        <v>978</v>
      </c>
      <c r="C113" s="641">
        <f>IF(C30=0,0,C77/C30)</f>
        <v>5735.152742610745</v>
      </c>
      <c r="D113" s="641">
        <f>IF(D30=0,0,D77/D30)</f>
        <v>5496.8570281000821</v>
      </c>
      <c r="E113" s="641">
        <f>IF(E30=0,0,E77/E30)</f>
        <v>5748.8639496498936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FILING&amp;R&amp;12NORWALK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662081365</v>
      </c>
      <c r="D12" s="51">
        <v>741032515</v>
      </c>
      <c r="E12" s="51">
        <f t="shared" ref="E12:E19" si="0">D12-C12</f>
        <v>78951150</v>
      </c>
      <c r="F12" s="70">
        <f t="shared" ref="F12:F19" si="1">IF(C12=0,0,E12/C12)</f>
        <v>0.11924689951060623</v>
      </c>
    </row>
    <row r="13" spans="1:8" ht="23.1" customHeight="1" x14ac:dyDescent="0.2">
      <c r="A13" s="25">
        <v>2</v>
      </c>
      <c r="B13" s="48" t="s">
        <v>72</v>
      </c>
      <c r="C13" s="51">
        <v>321778203</v>
      </c>
      <c r="D13" s="51">
        <v>396426253</v>
      </c>
      <c r="E13" s="51">
        <f t="shared" si="0"/>
        <v>74648050</v>
      </c>
      <c r="F13" s="70">
        <f t="shared" si="1"/>
        <v>0.23198603666762352</v>
      </c>
    </row>
    <row r="14" spans="1:8" ht="23.1" customHeight="1" x14ac:dyDescent="0.2">
      <c r="A14" s="25">
        <v>3</v>
      </c>
      <c r="B14" s="48" t="s">
        <v>73</v>
      </c>
      <c r="C14" s="51">
        <v>17554000</v>
      </c>
      <c r="D14" s="51">
        <v>18026000</v>
      </c>
      <c r="E14" s="51">
        <f t="shared" si="0"/>
        <v>472000</v>
      </c>
      <c r="F14" s="70">
        <f t="shared" si="1"/>
        <v>2.6888458471003761E-2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322749162</v>
      </c>
      <c r="D16" s="27">
        <f>D12-D13-D14-D15</f>
        <v>326580262</v>
      </c>
      <c r="E16" s="27">
        <f t="shared" si="0"/>
        <v>3831100</v>
      </c>
      <c r="F16" s="28">
        <f t="shared" si="1"/>
        <v>1.1870208976716104E-2</v>
      </c>
    </row>
    <row r="17" spans="1:7" ht="23.1" customHeight="1" x14ac:dyDescent="0.2">
      <c r="A17" s="25">
        <v>5</v>
      </c>
      <c r="B17" s="48" t="s">
        <v>76</v>
      </c>
      <c r="C17" s="51">
        <v>12251535</v>
      </c>
      <c r="D17" s="51">
        <v>13756910</v>
      </c>
      <c r="E17" s="51">
        <f t="shared" si="0"/>
        <v>1505375</v>
      </c>
      <c r="F17" s="70">
        <f t="shared" si="1"/>
        <v>0.12287235844324813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335000697</v>
      </c>
      <c r="D19" s="27">
        <f>SUM(D16:D18)</f>
        <v>340337172</v>
      </c>
      <c r="E19" s="27">
        <f t="shared" si="0"/>
        <v>5336475</v>
      </c>
      <c r="F19" s="28">
        <f t="shared" si="1"/>
        <v>1.5929742976027301E-2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128489179</v>
      </c>
      <c r="D22" s="51">
        <v>130264778</v>
      </c>
      <c r="E22" s="51">
        <f t="shared" ref="E22:E31" si="2">D22-C22</f>
        <v>1775599</v>
      </c>
      <c r="F22" s="70">
        <f t="shared" ref="F22:F31" si="3">IF(C22=0,0,E22/C22)</f>
        <v>1.3819054754797678E-2</v>
      </c>
    </row>
    <row r="23" spans="1:7" ht="23.1" customHeight="1" x14ac:dyDescent="0.2">
      <c r="A23" s="25">
        <v>2</v>
      </c>
      <c r="B23" s="48" t="s">
        <v>81</v>
      </c>
      <c r="C23" s="51">
        <v>40775966</v>
      </c>
      <c r="D23" s="51">
        <v>46680033</v>
      </c>
      <c r="E23" s="51">
        <f t="shared" si="2"/>
        <v>5904067</v>
      </c>
      <c r="F23" s="70">
        <f t="shared" si="3"/>
        <v>0.14479281741602393</v>
      </c>
    </row>
    <row r="24" spans="1:7" ht="23.1" customHeight="1" x14ac:dyDescent="0.2">
      <c r="A24" s="25">
        <v>3</v>
      </c>
      <c r="B24" s="48" t="s">
        <v>82</v>
      </c>
      <c r="C24" s="51">
        <v>4646362</v>
      </c>
      <c r="D24" s="51">
        <v>5522886</v>
      </c>
      <c r="E24" s="51">
        <f t="shared" si="2"/>
        <v>876524</v>
      </c>
      <c r="F24" s="70">
        <f t="shared" si="3"/>
        <v>0.18864737616225338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30192082</v>
      </c>
      <c r="D25" s="51">
        <v>30741381</v>
      </c>
      <c r="E25" s="51">
        <f t="shared" si="2"/>
        <v>549299</v>
      </c>
      <c r="F25" s="70">
        <f t="shared" si="3"/>
        <v>1.8193478674309378E-2</v>
      </c>
    </row>
    <row r="26" spans="1:7" ht="23.1" customHeight="1" x14ac:dyDescent="0.2">
      <c r="A26" s="25">
        <v>5</v>
      </c>
      <c r="B26" s="48" t="s">
        <v>84</v>
      </c>
      <c r="C26" s="51">
        <v>18595949</v>
      </c>
      <c r="D26" s="51">
        <v>19888350</v>
      </c>
      <c r="E26" s="51">
        <f t="shared" si="2"/>
        <v>1292401</v>
      </c>
      <c r="F26" s="70">
        <f t="shared" si="3"/>
        <v>6.94990613278193E-2</v>
      </c>
    </row>
    <row r="27" spans="1:7" ht="23.1" customHeight="1" x14ac:dyDescent="0.2">
      <c r="A27" s="25">
        <v>6</v>
      </c>
      <c r="B27" s="48" t="s">
        <v>85</v>
      </c>
      <c r="C27" s="51">
        <v>21000769</v>
      </c>
      <c r="D27" s="51">
        <v>23255695</v>
      </c>
      <c r="E27" s="51">
        <f t="shared" si="2"/>
        <v>2254926</v>
      </c>
      <c r="F27" s="70">
        <f t="shared" si="3"/>
        <v>0.10737349665624149</v>
      </c>
    </row>
    <row r="28" spans="1:7" ht="23.1" customHeight="1" x14ac:dyDescent="0.2">
      <c r="A28" s="25">
        <v>7</v>
      </c>
      <c r="B28" s="48" t="s">
        <v>86</v>
      </c>
      <c r="C28" s="51">
        <v>651938</v>
      </c>
      <c r="D28" s="51">
        <v>646398</v>
      </c>
      <c r="E28" s="51">
        <f t="shared" si="2"/>
        <v>-5540</v>
      </c>
      <c r="F28" s="70">
        <f t="shared" si="3"/>
        <v>-8.4977405826934457E-3</v>
      </c>
    </row>
    <row r="29" spans="1:7" ht="23.1" customHeight="1" x14ac:dyDescent="0.2">
      <c r="A29" s="25">
        <v>8</v>
      </c>
      <c r="B29" s="48" t="s">
        <v>87</v>
      </c>
      <c r="C29" s="51">
        <v>7691168</v>
      </c>
      <c r="D29" s="51">
        <v>4828177</v>
      </c>
      <c r="E29" s="51">
        <f t="shared" si="2"/>
        <v>-2862991</v>
      </c>
      <c r="F29" s="70">
        <f t="shared" si="3"/>
        <v>-0.37224398166832395</v>
      </c>
    </row>
    <row r="30" spans="1:7" ht="23.1" customHeight="1" x14ac:dyDescent="0.2">
      <c r="A30" s="25">
        <v>9</v>
      </c>
      <c r="B30" s="48" t="s">
        <v>88</v>
      </c>
      <c r="C30" s="51">
        <v>69034481</v>
      </c>
      <c r="D30" s="51">
        <v>75616803</v>
      </c>
      <c r="E30" s="51">
        <f t="shared" si="2"/>
        <v>6582322</v>
      </c>
      <c r="F30" s="70">
        <f t="shared" si="3"/>
        <v>9.5348323108273972E-2</v>
      </c>
    </row>
    <row r="31" spans="1:7" ht="23.1" customHeight="1" x14ac:dyDescent="0.25">
      <c r="A31" s="29"/>
      <c r="B31" s="71" t="s">
        <v>89</v>
      </c>
      <c r="C31" s="27">
        <f>SUM(C22:C30)</f>
        <v>321077894</v>
      </c>
      <c r="D31" s="27">
        <f>SUM(D22:D30)</f>
        <v>337444501</v>
      </c>
      <c r="E31" s="27">
        <f t="shared" si="2"/>
        <v>16366607</v>
      </c>
      <c r="F31" s="28">
        <f t="shared" si="3"/>
        <v>5.0973945281950803E-2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13922803</v>
      </c>
      <c r="D33" s="27">
        <f>+D19-D31</f>
        <v>2892671</v>
      </c>
      <c r="E33" s="27">
        <f>D33-C33</f>
        <v>-11030132</v>
      </c>
      <c r="F33" s="28">
        <f>IF(C33=0,0,E33/C33)</f>
        <v>-0.79223501187225009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879780</v>
      </c>
      <c r="D36" s="51">
        <v>866620</v>
      </c>
      <c r="E36" s="51">
        <f>D36-C36</f>
        <v>-13160</v>
      </c>
      <c r="F36" s="70">
        <f>IF(C36=0,0,E36/C36)</f>
        <v>-1.4958285025801906E-2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-164299</v>
      </c>
      <c r="D38" s="51">
        <v>0</v>
      </c>
      <c r="E38" s="51">
        <f>D38-C38</f>
        <v>164299</v>
      </c>
      <c r="F38" s="70">
        <f>IF(C38=0,0,E38/C38)</f>
        <v>-1</v>
      </c>
    </row>
    <row r="39" spans="1:6" ht="23.1" customHeight="1" x14ac:dyDescent="0.25">
      <c r="A39" s="20"/>
      <c r="B39" s="71" t="s">
        <v>95</v>
      </c>
      <c r="C39" s="27">
        <f>SUM(C36:C38)</f>
        <v>715481</v>
      </c>
      <c r="D39" s="27">
        <f>SUM(D36:D38)</f>
        <v>866620</v>
      </c>
      <c r="E39" s="27">
        <f>D39-C39</f>
        <v>151139</v>
      </c>
      <c r="F39" s="28">
        <f>IF(C39=0,0,E39/C39)</f>
        <v>0.21124110912798522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14638284</v>
      </c>
      <c r="D41" s="27">
        <f>D33+D39</f>
        <v>3759291</v>
      </c>
      <c r="E41" s="27">
        <f>D41-C41</f>
        <v>-10878993</v>
      </c>
      <c r="F41" s="28">
        <f>IF(C41=0,0,E41/C41)</f>
        <v>-0.74318772610232187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365198</v>
      </c>
      <c r="D44" s="51">
        <v>1485361</v>
      </c>
      <c r="E44" s="51">
        <f>D44-C44</f>
        <v>1120163</v>
      </c>
      <c r="F44" s="70">
        <f>IF(C44=0,0,E44/C44)</f>
        <v>3.0672758339311827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365198</v>
      </c>
      <c r="D46" s="27">
        <f>SUM(D44:D45)</f>
        <v>1485361</v>
      </c>
      <c r="E46" s="27">
        <f>D46-C46</f>
        <v>1120163</v>
      </c>
      <c r="F46" s="28">
        <f>IF(C46=0,0,E46/C46)</f>
        <v>3.0672758339311827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15003482</v>
      </c>
      <c r="D48" s="27">
        <f>D41+D46</f>
        <v>5244652</v>
      </c>
      <c r="E48" s="27">
        <f>D48-C48</f>
        <v>-9758830</v>
      </c>
      <c r="F48" s="28">
        <f>IF(C48=0,0,E48/C48)</f>
        <v>-0.65043767840025402</v>
      </c>
    </row>
    <row r="49" spans="1:6" ht="23.1" customHeight="1" x14ac:dyDescent="0.2">
      <c r="A49" s="44"/>
      <c r="B49" s="48" t="s">
        <v>102</v>
      </c>
      <c r="C49" s="51">
        <v>1632786</v>
      </c>
      <c r="D49" s="51">
        <v>1800462</v>
      </c>
      <c r="E49" s="51">
        <f>D49-C49</f>
        <v>167676</v>
      </c>
      <c r="F49" s="70">
        <f>IF(C49=0,0,E49/C49)</f>
        <v>0.10269318820715023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FILING&amp;RNORWALK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5703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175143642</v>
      </c>
      <c r="D14" s="97">
        <v>199084731</v>
      </c>
      <c r="E14" s="97">
        <f t="shared" ref="E14:E25" si="0">D14-C14</f>
        <v>23941089</v>
      </c>
      <c r="F14" s="98">
        <f t="shared" ref="F14:F25" si="1">IF(C14=0,0,E14/C14)</f>
        <v>0.13669402284097759</v>
      </c>
    </row>
    <row r="15" spans="1:6" ht="18" customHeight="1" x14ac:dyDescent="0.25">
      <c r="A15" s="99">
        <v>2</v>
      </c>
      <c r="B15" s="100" t="s">
        <v>113</v>
      </c>
      <c r="C15" s="97">
        <v>14948306</v>
      </c>
      <c r="D15" s="97">
        <v>19060417</v>
      </c>
      <c r="E15" s="97">
        <f t="shared" si="0"/>
        <v>4112111</v>
      </c>
      <c r="F15" s="98">
        <f t="shared" si="1"/>
        <v>0.27508876256613962</v>
      </c>
    </row>
    <row r="16" spans="1:6" ht="18" customHeight="1" x14ac:dyDescent="0.25">
      <c r="A16" s="99">
        <v>3</v>
      </c>
      <c r="B16" s="100" t="s">
        <v>114</v>
      </c>
      <c r="C16" s="97">
        <v>21299427</v>
      </c>
      <c r="D16" s="97">
        <v>33924338</v>
      </c>
      <c r="E16" s="97">
        <f t="shared" si="0"/>
        <v>12624911</v>
      </c>
      <c r="F16" s="98">
        <f t="shared" si="1"/>
        <v>0.59273477169127597</v>
      </c>
    </row>
    <row r="17" spans="1:6" ht="18" customHeight="1" x14ac:dyDescent="0.25">
      <c r="A17" s="99">
        <v>4</v>
      </c>
      <c r="B17" s="100" t="s">
        <v>115</v>
      </c>
      <c r="C17" s="97">
        <v>15008041</v>
      </c>
      <c r="D17" s="97">
        <v>18827102</v>
      </c>
      <c r="E17" s="97">
        <f t="shared" si="0"/>
        <v>3819061</v>
      </c>
      <c r="F17" s="98">
        <f t="shared" si="1"/>
        <v>0.25446765503905538</v>
      </c>
    </row>
    <row r="18" spans="1:6" ht="18" customHeight="1" x14ac:dyDescent="0.25">
      <c r="A18" s="99">
        <v>5</v>
      </c>
      <c r="B18" s="100" t="s">
        <v>116</v>
      </c>
      <c r="C18" s="97">
        <v>151186</v>
      </c>
      <c r="D18" s="97">
        <v>175423</v>
      </c>
      <c r="E18" s="97">
        <f t="shared" si="0"/>
        <v>24237</v>
      </c>
      <c r="F18" s="98">
        <f t="shared" si="1"/>
        <v>0.16031246279417408</v>
      </c>
    </row>
    <row r="19" spans="1:6" ht="18" customHeight="1" x14ac:dyDescent="0.25">
      <c r="A19" s="99">
        <v>6</v>
      </c>
      <c r="B19" s="100" t="s">
        <v>117</v>
      </c>
      <c r="C19" s="97">
        <v>13043894</v>
      </c>
      <c r="D19" s="97">
        <v>13491458</v>
      </c>
      <c r="E19" s="97">
        <f t="shared" si="0"/>
        <v>447564</v>
      </c>
      <c r="F19" s="98">
        <f t="shared" si="1"/>
        <v>3.4312146357521764E-2</v>
      </c>
    </row>
    <row r="20" spans="1:6" ht="18" customHeight="1" x14ac:dyDescent="0.25">
      <c r="A20" s="99">
        <v>7</v>
      </c>
      <c r="B20" s="100" t="s">
        <v>118</v>
      </c>
      <c r="C20" s="97">
        <v>106860954</v>
      </c>
      <c r="D20" s="97">
        <v>106312467</v>
      </c>
      <c r="E20" s="97">
        <f t="shared" si="0"/>
        <v>-548487</v>
      </c>
      <c r="F20" s="98">
        <f t="shared" si="1"/>
        <v>-5.1327166703003602E-3</v>
      </c>
    </row>
    <row r="21" spans="1:6" ht="18" customHeight="1" x14ac:dyDescent="0.25">
      <c r="A21" s="99">
        <v>8</v>
      </c>
      <c r="B21" s="100" t="s">
        <v>119</v>
      </c>
      <c r="C21" s="97">
        <v>2960821</v>
      </c>
      <c r="D21" s="97">
        <v>2146835</v>
      </c>
      <c r="E21" s="97">
        <f t="shared" si="0"/>
        <v>-813986</v>
      </c>
      <c r="F21" s="98">
        <f t="shared" si="1"/>
        <v>-0.27491901739416197</v>
      </c>
    </row>
    <row r="22" spans="1:6" ht="18" customHeight="1" x14ac:dyDescent="0.25">
      <c r="A22" s="99">
        <v>9</v>
      </c>
      <c r="B22" s="100" t="s">
        <v>120</v>
      </c>
      <c r="C22" s="97">
        <v>11981423</v>
      </c>
      <c r="D22" s="97">
        <v>10004655</v>
      </c>
      <c r="E22" s="97">
        <f t="shared" si="0"/>
        <v>-1976768</v>
      </c>
      <c r="F22" s="98">
        <f t="shared" si="1"/>
        <v>-0.1649860788655905</v>
      </c>
    </row>
    <row r="23" spans="1:6" ht="18" customHeight="1" x14ac:dyDescent="0.25">
      <c r="A23" s="99">
        <v>10</v>
      </c>
      <c r="B23" s="100" t="s">
        <v>121</v>
      </c>
      <c r="C23" s="97">
        <v>11545194</v>
      </c>
      <c r="D23" s="97">
        <v>5157516</v>
      </c>
      <c r="E23" s="97">
        <f t="shared" si="0"/>
        <v>-6387678</v>
      </c>
      <c r="F23" s="98">
        <f t="shared" si="1"/>
        <v>-0.5532759345577043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597596</v>
      </c>
      <c r="E24" s="97">
        <f t="shared" si="0"/>
        <v>597596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372942888</v>
      </c>
      <c r="D25" s="103">
        <f>SUM(D14:D24)</f>
        <v>408782538</v>
      </c>
      <c r="E25" s="103">
        <f t="shared" si="0"/>
        <v>35839650</v>
      </c>
      <c r="F25" s="104">
        <f t="shared" si="1"/>
        <v>9.609956685914868E-2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79936806</v>
      </c>
      <c r="D27" s="97">
        <v>90690918</v>
      </c>
      <c r="E27" s="97">
        <f t="shared" ref="E27:E38" si="2">D27-C27</f>
        <v>10754112</v>
      </c>
      <c r="F27" s="98">
        <f t="shared" ref="F27:F38" si="3">IF(C27=0,0,E27/C27)</f>
        <v>0.13453267071991842</v>
      </c>
    </row>
    <row r="28" spans="1:6" ht="18" customHeight="1" x14ac:dyDescent="0.25">
      <c r="A28" s="99">
        <v>2</v>
      </c>
      <c r="B28" s="100" t="s">
        <v>113</v>
      </c>
      <c r="C28" s="97">
        <v>6273338</v>
      </c>
      <c r="D28" s="97">
        <v>8303929</v>
      </c>
      <c r="E28" s="97">
        <f t="shared" si="2"/>
        <v>2030591</v>
      </c>
      <c r="F28" s="98">
        <f t="shared" si="3"/>
        <v>0.32368589098817885</v>
      </c>
    </row>
    <row r="29" spans="1:6" ht="18" customHeight="1" x14ac:dyDescent="0.25">
      <c r="A29" s="99">
        <v>3</v>
      </c>
      <c r="B29" s="100" t="s">
        <v>114</v>
      </c>
      <c r="C29" s="97">
        <v>8783248</v>
      </c>
      <c r="D29" s="97">
        <v>15539129</v>
      </c>
      <c r="E29" s="97">
        <f t="shared" si="2"/>
        <v>6755881</v>
      </c>
      <c r="F29" s="98">
        <f t="shared" si="3"/>
        <v>0.76917798518270231</v>
      </c>
    </row>
    <row r="30" spans="1:6" ht="18" customHeight="1" x14ac:dyDescent="0.25">
      <c r="A30" s="99">
        <v>4</v>
      </c>
      <c r="B30" s="100" t="s">
        <v>115</v>
      </c>
      <c r="C30" s="97">
        <v>15660652</v>
      </c>
      <c r="D30" s="97">
        <v>20225536</v>
      </c>
      <c r="E30" s="97">
        <f t="shared" si="2"/>
        <v>4564884</v>
      </c>
      <c r="F30" s="98">
        <f t="shared" si="3"/>
        <v>0.29148748085328757</v>
      </c>
    </row>
    <row r="31" spans="1:6" ht="18" customHeight="1" x14ac:dyDescent="0.25">
      <c r="A31" s="99">
        <v>5</v>
      </c>
      <c r="B31" s="100" t="s">
        <v>116</v>
      </c>
      <c r="C31" s="97">
        <v>338598</v>
      </c>
      <c r="D31" s="97">
        <v>358334</v>
      </c>
      <c r="E31" s="97">
        <f t="shared" si="2"/>
        <v>19736</v>
      </c>
      <c r="F31" s="98">
        <f t="shared" si="3"/>
        <v>5.8287408667505418E-2</v>
      </c>
    </row>
    <row r="32" spans="1:6" ht="18" customHeight="1" x14ac:dyDescent="0.25">
      <c r="A32" s="99">
        <v>6</v>
      </c>
      <c r="B32" s="100" t="s">
        <v>117</v>
      </c>
      <c r="C32" s="97">
        <v>13333759</v>
      </c>
      <c r="D32" s="97">
        <v>16764185</v>
      </c>
      <c r="E32" s="97">
        <f t="shared" si="2"/>
        <v>3430426</v>
      </c>
      <c r="F32" s="98">
        <f t="shared" si="3"/>
        <v>0.25727373653596108</v>
      </c>
    </row>
    <row r="33" spans="1:6" ht="18" customHeight="1" x14ac:dyDescent="0.25">
      <c r="A33" s="99">
        <v>7</v>
      </c>
      <c r="B33" s="100" t="s">
        <v>118</v>
      </c>
      <c r="C33" s="97">
        <v>132793459</v>
      </c>
      <c r="D33" s="97">
        <v>147041133</v>
      </c>
      <c r="E33" s="97">
        <f t="shared" si="2"/>
        <v>14247674</v>
      </c>
      <c r="F33" s="98">
        <f t="shared" si="3"/>
        <v>0.10729198642231316</v>
      </c>
    </row>
    <row r="34" spans="1:6" ht="18" customHeight="1" x14ac:dyDescent="0.25">
      <c r="A34" s="99">
        <v>8</v>
      </c>
      <c r="B34" s="100" t="s">
        <v>119</v>
      </c>
      <c r="C34" s="97">
        <v>5127602</v>
      </c>
      <c r="D34" s="97">
        <v>5947749</v>
      </c>
      <c r="E34" s="97">
        <f t="shared" si="2"/>
        <v>820147</v>
      </c>
      <c r="F34" s="98">
        <f t="shared" si="3"/>
        <v>0.15994747642270207</v>
      </c>
    </row>
    <row r="35" spans="1:6" ht="18" customHeight="1" x14ac:dyDescent="0.25">
      <c r="A35" s="99">
        <v>9</v>
      </c>
      <c r="B35" s="100" t="s">
        <v>120</v>
      </c>
      <c r="C35" s="97">
        <v>21280485</v>
      </c>
      <c r="D35" s="97">
        <v>23606244</v>
      </c>
      <c r="E35" s="97">
        <f t="shared" si="2"/>
        <v>2325759</v>
      </c>
      <c r="F35" s="98">
        <f t="shared" si="3"/>
        <v>0.10929069520736957</v>
      </c>
    </row>
    <row r="36" spans="1:6" ht="18" customHeight="1" x14ac:dyDescent="0.25">
      <c r="A36" s="99">
        <v>10</v>
      </c>
      <c r="B36" s="100" t="s">
        <v>121</v>
      </c>
      <c r="C36" s="97">
        <v>5610530</v>
      </c>
      <c r="D36" s="97">
        <v>3429950</v>
      </c>
      <c r="E36" s="97">
        <f t="shared" si="2"/>
        <v>-2180580</v>
      </c>
      <c r="F36" s="98">
        <f t="shared" si="3"/>
        <v>-0.38865846898599599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342871</v>
      </c>
      <c r="E37" s="97">
        <f t="shared" si="2"/>
        <v>342871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289138477</v>
      </c>
      <c r="D38" s="103">
        <f>SUM(D27:D37)</f>
        <v>332249978</v>
      </c>
      <c r="E38" s="103">
        <f t="shared" si="2"/>
        <v>43111501</v>
      </c>
      <c r="F38" s="104">
        <f t="shared" si="3"/>
        <v>0.14910329973136022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255080448</v>
      </c>
      <c r="D41" s="103">
        <f t="shared" si="4"/>
        <v>289775649</v>
      </c>
      <c r="E41" s="107">
        <f t="shared" ref="E41:E52" si="5">D41-C41</f>
        <v>34695201</v>
      </c>
      <c r="F41" s="108">
        <f t="shared" ref="F41:F52" si="6">IF(C41=0,0,E41/C41)</f>
        <v>0.13601670089586795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21221644</v>
      </c>
      <c r="D42" s="103">
        <f t="shared" si="4"/>
        <v>27364346</v>
      </c>
      <c r="E42" s="107">
        <f t="shared" si="5"/>
        <v>6142702</v>
      </c>
      <c r="F42" s="108">
        <f t="shared" si="6"/>
        <v>0.28945457760011428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30082675</v>
      </c>
      <c r="D43" s="103">
        <f t="shared" si="4"/>
        <v>49463467</v>
      </c>
      <c r="E43" s="107">
        <f t="shared" si="5"/>
        <v>19380792</v>
      </c>
      <c r="F43" s="108">
        <f t="shared" si="6"/>
        <v>0.64425095175212976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30668693</v>
      </c>
      <c r="D44" s="103">
        <f t="shared" si="4"/>
        <v>39052638</v>
      </c>
      <c r="E44" s="107">
        <f t="shared" si="5"/>
        <v>8383945</v>
      </c>
      <c r="F44" s="108">
        <f t="shared" si="6"/>
        <v>0.2733714475540252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489784</v>
      </c>
      <c r="D45" s="103">
        <f t="shared" si="4"/>
        <v>533757</v>
      </c>
      <c r="E45" s="107">
        <f t="shared" si="5"/>
        <v>43973</v>
      </c>
      <c r="F45" s="108">
        <f t="shared" si="6"/>
        <v>8.9780392989562752E-2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26377653</v>
      </c>
      <c r="D46" s="103">
        <f t="shared" si="4"/>
        <v>30255643</v>
      </c>
      <c r="E46" s="107">
        <f t="shared" si="5"/>
        <v>3877990</v>
      </c>
      <c r="F46" s="108">
        <f t="shared" si="6"/>
        <v>0.14701800800852147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239654413</v>
      </c>
      <c r="D47" s="103">
        <f t="shared" si="4"/>
        <v>253353600</v>
      </c>
      <c r="E47" s="107">
        <f t="shared" si="5"/>
        <v>13699187</v>
      </c>
      <c r="F47" s="108">
        <f t="shared" si="6"/>
        <v>5.7162256386240631E-2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8088423</v>
      </c>
      <c r="D48" s="103">
        <f t="shared" si="4"/>
        <v>8094584</v>
      </c>
      <c r="E48" s="107">
        <f t="shared" si="5"/>
        <v>6161</v>
      </c>
      <c r="F48" s="108">
        <f t="shared" si="6"/>
        <v>7.6170595924570218E-4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33261908</v>
      </c>
      <c r="D49" s="103">
        <f t="shared" si="4"/>
        <v>33610899</v>
      </c>
      <c r="E49" s="107">
        <f t="shared" si="5"/>
        <v>348991</v>
      </c>
      <c r="F49" s="108">
        <f t="shared" si="6"/>
        <v>1.0492212292812548E-2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17155724</v>
      </c>
      <c r="D50" s="103">
        <f t="shared" si="4"/>
        <v>8587466</v>
      </c>
      <c r="E50" s="107">
        <f t="shared" si="5"/>
        <v>-8568258</v>
      </c>
      <c r="F50" s="108">
        <f t="shared" si="6"/>
        <v>-0.49944018684376129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940467</v>
      </c>
      <c r="E51" s="107">
        <f t="shared" si="5"/>
        <v>940467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662081365</v>
      </c>
      <c r="D52" s="112">
        <f>SUM(D41:D51)</f>
        <v>741032516</v>
      </c>
      <c r="E52" s="111">
        <f t="shared" si="5"/>
        <v>78951151</v>
      </c>
      <c r="F52" s="113">
        <f t="shared" si="6"/>
        <v>0.1192469010209946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67645279</v>
      </c>
      <c r="D57" s="97">
        <v>67951251</v>
      </c>
      <c r="E57" s="97">
        <f t="shared" ref="E57:E68" si="7">D57-C57</f>
        <v>305972</v>
      </c>
      <c r="F57" s="98">
        <f t="shared" ref="F57:F68" si="8">IF(C57=0,0,E57/C57)</f>
        <v>4.523183354746752E-3</v>
      </c>
    </row>
    <row r="58" spans="1:6" ht="18" customHeight="1" x14ac:dyDescent="0.25">
      <c r="A58" s="99">
        <v>2</v>
      </c>
      <c r="B58" s="100" t="s">
        <v>113</v>
      </c>
      <c r="C58" s="97">
        <v>5647637</v>
      </c>
      <c r="D58" s="97">
        <v>6065853</v>
      </c>
      <c r="E58" s="97">
        <f t="shared" si="7"/>
        <v>418216</v>
      </c>
      <c r="F58" s="98">
        <f t="shared" si="8"/>
        <v>7.4051501539493414E-2</v>
      </c>
    </row>
    <row r="59" spans="1:6" ht="18" customHeight="1" x14ac:dyDescent="0.25">
      <c r="A59" s="99">
        <v>3</v>
      </c>
      <c r="B59" s="100" t="s">
        <v>114</v>
      </c>
      <c r="C59" s="97">
        <v>7265004</v>
      </c>
      <c r="D59" s="97">
        <v>9067462</v>
      </c>
      <c r="E59" s="97">
        <f t="shared" si="7"/>
        <v>1802458</v>
      </c>
      <c r="F59" s="98">
        <f t="shared" si="8"/>
        <v>0.24810144633093112</v>
      </c>
    </row>
    <row r="60" spans="1:6" ht="18" customHeight="1" x14ac:dyDescent="0.25">
      <c r="A60" s="99">
        <v>4</v>
      </c>
      <c r="B60" s="100" t="s">
        <v>115</v>
      </c>
      <c r="C60" s="97">
        <v>3840337</v>
      </c>
      <c r="D60" s="97">
        <v>4902474</v>
      </c>
      <c r="E60" s="97">
        <f t="shared" si="7"/>
        <v>1062137</v>
      </c>
      <c r="F60" s="98">
        <f t="shared" si="8"/>
        <v>0.27657390484220523</v>
      </c>
    </row>
    <row r="61" spans="1:6" ht="18" customHeight="1" x14ac:dyDescent="0.25">
      <c r="A61" s="99">
        <v>5</v>
      </c>
      <c r="B61" s="100" t="s">
        <v>116</v>
      </c>
      <c r="C61" s="97">
        <v>54125</v>
      </c>
      <c r="D61" s="97">
        <v>74645</v>
      </c>
      <c r="E61" s="97">
        <f t="shared" si="7"/>
        <v>20520</v>
      </c>
      <c r="F61" s="98">
        <f t="shared" si="8"/>
        <v>0.37912240184757506</v>
      </c>
    </row>
    <row r="62" spans="1:6" ht="18" customHeight="1" x14ac:dyDescent="0.25">
      <c r="A62" s="99">
        <v>6</v>
      </c>
      <c r="B62" s="100" t="s">
        <v>117</v>
      </c>
      <c r="C62" s="97">
        <v>8641115</v>
      </c>
      <c r="D62" s="97">
        <v>8863205</v>
      </c>
      <c r="E62" s="97">
        <f t="shared" si="7"/>
        <v>222090</v>
      </c>
      <c r="F62" s="98">
        <f t="shared" si="8"/>
        <v>2.570154430302108E-2</v>
      </c>
    </row>
    <row r="63" spans="1:6" ht="18" customHeight="1" x14ac:dyDescent="0.25">
      <c r="A63" s="99">
        <v>7</v>
      </c>
      <c r="B63" s="100" t="s">
        <v>118</v>
      </c>
      <c r="C63" s="97">
        <v>61446354</v>
      </c>
      <c r="D63" s="97">
        <v>55380398</v>
      </c>
      <c r="E63" s="97">
        <f t="shared" si="7"/>
        <v>-6065956</v>
      </c>
      <c r="F63" s="98">
        <f t="shared" si="8"/>
        <v>-9.8719543229529944E-2</v>
      </c>
    </row>
    <row r="64" spans="1:6" ht="18" customHeight="1" x14ac:dyDescent="0.25">
      <c r="A64" s="99">
        <v>8</v>
      </c>
      <c r="B64" s="100" t="s">
        <v>119</v>
      </c>
      <c r="C64" s="97">
        <v>2510172</v>
      </c>
      <c r="D64" s="97">
        <v>787046</v>
      </c>
      <c r="E64" s="97">
        <f t="shared" si="7"/>
        <v>-1723126</v>
      </c>
      <c r="F64" s="98">
        <f t="shared" si="8"/>
        <v>-0.68645734236538369</v>
      </c>
    </row>
    <row r="65" spans="1:6" ht="18" customHeight="1" x14ac:dyDescent="0.25">
      <c r="A65" s="99">
        <v>9</v>
      </c>
      <c r="B65" s="100" t="s">
        <v>120</v>
      </c>
      <c r="C65" s="97">
        <v>944700</v>
      </c>
      <c r="D65" s="97">
        <v>864294</v>
      </c>
      <c r="E65" s="97">
        <f t="shared" si="7"/>
        <v>-80406</v>
      </c>
      <c r="F65" s="98">
        <f t="shared" si="8"/>
        <v>-8.5112734201333751E-2</v>
      </c>
    </row>
    <row r="66" spans="1:6" ht="18" customHeight="1" x14ac:dyDescent="0.25">
      <c r="A66" s="99">
        <v>10</v>
      </c>
      <c r="B66" s="100" t="s">
        <v>121</v>
      </c>
      <c r="C66" s="97">
        <v>1947817</v>
      </c>
      <c r="D66" s="97">
        <v>1600998</v>
      </c>
      <c r="E66" s="97">
        <f t="shared" si="7"/>
        <v>-346819</v>
      </c>
      <c r="F66" s="98">
        <f t="shared" si="8"/>
        <v>-0.17805522798086268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137199</v>
      </c>
      <c r="E67" s="97">
        <f t="shared" si="7"/>
        <v>137199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159942540</v>
      </c>
      <c r="D68" s="103">
        <f>SUM(D57:D67)</f>
        <v>155694825</v>
      </c>
      <c r="E68" s="103">
        <f t="shared" si="7"/>
        <v>-4247715</v>
      </c>
      <c r="F68" s="104">
        <f t="shared" si="8"/>
        <v>-2.6557756304232759E-2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22862206</v>
      </c>
      <c r="D70" s="97">
        <v>23686098</v>
      </c>
      <c r="E70" s="97">
        <f t="shared" ref="E70:E81" si="9">D70-C70</f>
        <v>823892</v>
      </c>
      <c r="F70" s="98">
        <f t="shared" ref="F70:F81" si="10">IF(C70=0,0,E70/C70)</f>
        <v>3.603729228929177E-2</v>
      </c>
    </row>
    <row r="71" spans="1:6" ht="18" customHeight="1" x14ac:dyDescent="0.25">
      <c r="A71" s="99">
        <v>2</v>
      </c>
      <c r="B71" s="100" t="s">
        <v>113</v>
      </c>
      <c r="C71" s="97">
        <v>1768008</v>
      </c>
      <c r="D71" s="97">
        <v>1800247</v>
      </c>
      <c r="E71" s="97">
        <f t="shared" si="9"/>
        <v>32239</v>
      </c>
      <c r="F71" s="98">
        <f t="shared" si="10"/>
        <v>1.8234645997076936E-2</v>
      </c>
    </row>
    <row r="72" spans="1:6" ht="18" customHeight="1" x14ac:dyDescent="0.25">
      <c r="A72" s="99">
        <v>3</v>
      </c>
      <c r="B72" s="100" t="s">
        <v>114</v>
      </c>
      <c r="C72" s="97">
        <v>1876301</v>
      </c>
      <c r="D72" s="97">
        <v>3844187</v>
      </c>
      <c r="E72" s="97">
        <f t="shared" si="9"/>
        <v>1967886</v>
      </c>
      <c r="F72" s="98">
        <f t="shared" si="10"/>
        <v>1.0488114646850373</v>
      </c>
    </row>
    <row r="73" spans="1:6" ht="18" customHeight="1" x14ac:dyDescent="0.25">
      <c r="A73" s="99">
        <v>4</v>
      </c>
      <c r="B73" s="100" t="s">
        <v>115</v>
      </c>
      <c r="C73" s="97">
        <v>4285125</v>
      </c>
      <c r="D73" s="97">
        <v>5112169</v>
      </c>
      <c r="E73" s="97">
        <f t="shared" si="9"/>
        <v>827044</v>
      </c>
      <c r="F73" s="98">
        <f t="shared" si="10"/>
        <v>0.19300347131063855</v>
      </c>
    </row>
    <row r="74" spans="1:6" ht="18" customHeight="1" x14ac:dyDescent="0.25">
      <c r="A74" s="99">
        <v>5</v>
      </c>
      <c r="B74" s="100" t="s">
        <v>116</v>
      </c>
      <c r="C74" s="97">
        <v>180183</v>
      </c>
      <c r="D74" s="97">
        <v>40234</v>
      </c>
      <c r="E74" s="97">
        <f t="shared" si="9"/>
        <v>-139949</v>
      </c>
      <c r="F74" s="98">
        <f t="shared" si="10"/>
        <v>-0.776704794569965</v>
      </c>
    </row>
    <row r="75" spans="1:6" ht="18" customHeight="1" x14ac:dyDescent="0.25">
      <c r="A75" s="99">
        <v>6</v>
      </c>
      <c r="B75" s="100" t="s">
        <v>117</v>
      </c>
      <c r="C75" s="97">
        <v>9063574</v>
      </c>
      <c r="D75" s="97">
        <v>13037836</v>
      </c>
      <c r="E75" s="97">
        <f t="shared" si="9"/>
        <v>3974262</v>
      </c>
      <c r="F75" s="98">
        <f t="shared" si="10"/>
        <v>0.43848728989248614</v>
      </c>
    </row>
    <row r="76" spans="1:6" ht="18" customHeight="1" x14ac:dyDescent="0.25">
      <c r="A76" s="99">
        <v>7</v>
      </c>
      <c r="B76" s="100" t="s">
        <v>118</v>
      </c>
      <c r="C76" s="97">
        <v>86357610</v>
      </c>
      <c r="D76" s="97">
        <v>83379554</v>
      </c>
      <c r="E76" s="97">
        <f t="shared" si="9"/>
        <v>-2978056</v>
      </c>
      <c r="F76" s="98">
        <f t="shared" si="10"/>
        <v>-3.4485160022376719E-2</v>
      </c>
    </row>
    <row r="77" spans="1:6" ht="18" customHeight="1" x14ac:dyDescent="0.25">
      <c r="A77" s="99">
        <v>8</v>
      </c>
      <c r="B77" s="100" t="s">
        <v>119</v>
      </c>
      <c r="C77" s="97">
        <v>3611968</v>
      </c>
      <c r="D77" s="97">
        <v>4493153</v>
      </c>
      <c r="E77" s="97">
        <f t="shared" si="9"/>
        <v>881185</v>
      </c>
      <c r="F77" s="98">
        <f t="shared" si="10"/>
        <v>0.24396257109697539</v>
      </c>
    </row>
    <row r="78" spans="1:6" ht="18" customHeight="1" x14ac:dyDescent="0.25">
      <c r="A78" s="99">
        <v>9</v>
      </c>
      <c r="B78" s="100" t="s">
        <v>120</v>
      </c>
      <c r="C78" s="97">
        <v>2169940</v>
      </c>
      <c r="D78" s="97">
        <v>1670341</v>
      </c>
      <c r="E78" s="97">
        <f t="shared" si="9"/>
        <v>-499599</v>
      </c>
      <c r="F78" s="98">
        <f t="shared" si="10"/>
        <v>-0.23023631989824603</v>
      </c>
    </row>
    <row r="79" spans="1:6" ht="18" customHeight="1" x14ac:dyDescent="0.25">
      <c r="A79" s="99">
        <v>10</v>
      </c>
      <c r="B79" s="100" t="s">
        <v>121</v>
      </c>
      <c r="C79" s="97">
        <v>834071</v>
      </c>
      <c r="D79" s="97">
        <v>516592</v>
      </c>
      <c r="E79" s="97">
        <f t="shared" si="9"/>
        <v>-317479</v>
      </c>
      <c r="F79" s="98">
        <f t="shared" si="10"/>
        <v>-0.38063785936688843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102140</v>
      </c>
      <c r="E80" s="97">
        <f t="shared" si="9"/>
        <v>102140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133008986</v>
      </c>
      <c r="D81" s="103">
        <f>SUM(D70:D80)</f>
        <v>137682551</v>
      </c>
      <c r="E81" s="103">
        <f t="shared" si="9"/>
        <v>4673565</v>
      </c>
      <c r="F81" s="104">
        <f t="shared" si="10"/>
        <v>3.5137212458713131E-2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90507485</v>
      </c>
      <c r="D84" s="103">
        <f t="shared" si="11"/>
        <v>91637349</v>
      </c>
      <c r="E84" s="103">
        <f t="shared" ref="E84:E95" si="12">D84-C84</f>
        <v>1129864</v>
      </c>
      <c r="F84" s="104">
        <f t="shared" ref="F84:F95" si="13">IF(C84=0,0,E84/C84)</f>
        <v>1.2483652595141717E-2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7415645</v>
      </c>
      <c r="D85" s="103">
        <f t="shared" si="11"/>
        <v>7866100</v>
      </c>
      <c r="E85" s="103">
        <f t="shared" si="12"/>
        <v>450455</v>
      </c>
      <c r="F85" s="104">
        <f t="shared" si="13"/>
        <v>6.0743873257147557E-2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9141305</v>
      </c>
      <c r="D86" s="103">
        <f t="shared" si="11"/>
        <v>12911649</v>
      </c>
      <c r="E86" s="103">
        <f t="shared" si="12"/>
        <v>3770344</v>
      </c>
      <c r="F86" s="104">
        <f t="shared" si="13"/>
        <v>0.41245139506886597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8125462</v>
      </c>
      <c r="D87" s="103">
        <f t="shared" si="11"/>
        <v>10014643</v>
      </c>
      <c r="E87" s="103">
        <f t="shared" si="12"/>
        <v>1889181</v>
      </c>
      <c r="F87" s="104">
        <f t="shared" si="13"/>
        <v>0.23250136423012008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234308</v>
      </c>
      <c r="D88" s="103">
        <f t="shared" si="11"/>
        <v>114879</v>
      </c>
      <c r="E88" s="103">
        <f t="shared" si="12"/>
        <v>-119429</v>
      </c>
      <c r="F88" s="104">
        <f t="shared" si="13"/>
        <v>-0.50970944227256432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17704689</v>
      </c>
      <c r="D89" s="103">
        <f t="shared" si="11"/>
        <v>21901041</v>
      </c>
      <c r="E89" s="103">
        <f t="shared" si="12"/>
        <v>4196352</v>
      </c>
      <c r="F89" s="104">
        <f t="shared" si="13"/>
        <v>0.23701924388505213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147803964</v>
      </c>
      <c r="D90" s="103">
        <f t="shared" si="11"/>
        <v>138759952</v>
      </c>
      <c r="E90" s="103">
        <f t="shared" si="12"/>
        <v>-9044012</v>
      </c>
      <c r="F90" s="104">
        <f t="shared" si="13"/>
        <v>-6.1189238469950641E-2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6122140</v>
      </c>
      <c r="D91" s="103">
        <f t="shared" si="11"/>
        <v>5280199</v>
      </c>
      <c r="E91" s="103">
        <f t="shared" si="12"/>
        <v>-841941</v>
      </c>
      <c r="F91" s="104">
        <f t="shared" si="13"/>
        <v>-0.13752397037637165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3114640</v>
      </c>
      <c r="D92" s="103">
        <f t="shared" si="11"/>
        <v>2534635</v>
      </c>
      <c r="E92" s="103">
        <f t="shared" si="12"/>
        <v>-580005</v>
      </c>
      <c r="F92" s="104">
        <f t="shared" si="13"/>
        <v>-0.18621895307322836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2781888</v>
      </c>
      <c r="D93" s="103">
        <f t="shared" si="11"/>
        <v>2117590</v>
      </c>
      <c r="E93" s="103">
        <f t="shared" si="12"/>
        <v>-664298</v>
      </c>
      <c r="F93" s="104">
        <f t="shared" si="13"/>
        <v>-0.23879394138081764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239339</v>
      </c>
      <c r="E94" s="103">
        <f t="shared" si="12"/>
        <v>239339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292951526</v>
      </c>
      <c r="D95" s="112">
        <f>SUM(D84:D94)</f>
        <v>293377376</v>
      </c>
      <c r="E95" s="112">
        <f t="shared" si="12"/>
        <v>425850</v>
      </c>
      <c r="F95" s="113">
        <f t="shared" si="13"/>
        <v>1.4536534621089497E-3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5083</v>
      </c>
      <c r="D100" s="117">
        <v>5208</v>
      </c>
      <c r="E100" s="117">
        <f t="shared" ref="E100:E111" si="14">D100-C100</f>
        <v>125</v>
      </c>
      <c r="F100" s="98">
        <f t="shared" ref="F100:F111" si="15">IF(C100=0,0,E100/C100)</f>
        <v>2.4591776509935076E-2</v>
      </c>
    </row>
    <row r="101" spans="1:6" ht="18" customHeight="1" x14ac:dyDescent="0.25">
      <c r="A101" s="99">
        <v>2</v>
      </c>
      <c r="B101" s="100" t="s">
        <v>113</v>
      </c>
      <c r="C101" s="117">
        <v>456</v>
      </c>
      <c r="D101" s="117">
        <v>476</v>
      </c>
      <c r="E101" s="117">
        <f t="shared" si="14"/>
        <v>20</v>
      </c>
      <c r="F101" s="98">
        <f t="shared" si="15"/>
        <v>4.3859649122807015E-2</v>
      </c>
    </row>
    <row r="102" spans="1:6" ht="18" customHeight="1" x14ac:dyDescent="0.25">
      <c r="A102" s="99">
        <v>3</v>
      </c>
      <c r="B102" s="100" t="s">
        <v>114</v>
      </c>
      <c r="C102" s="117">
        <v>1083</v>
      </c>
      <c r="D102" s="117">
        <v>1304</v>
      </c>
      <c r="E102" s="117">
        <f t="shared" si="14"/>
        <v>221</v>
      </c>
      <c r="F102" s="98">
        <f t="shared" si="15"/>
        <v>0.20406278855032317</v>
      </c>
    </row>
    <row r="103" spans="1:6" ht="18" customHeight="1" x14ac:dyDescent="0.25">
      <c r="A103" s="99">
        <v>4</v>
      </c>
      <c r="B103" s="100" t="s">
        <v>115</v>
      </c>
      <c r="C103" s="117">
        <v>1171</v>
      </c>
      <c r="D103" s="117">
        <v>1154</v>
      </c>
      <c r="E103" s="117">
        <f t="shared" si="14"/>
        <v>-17</v>
      </c>
      <c r="F103" s="98">
        <f t="shared" si="15"/>
        <v>-1.4517506404782237E-2</v>
      </c>
    </row>
    <row r="104" spans="1:6" ht="18" customHeight="1" x14ac:dyDescent="0.25">
      <c r="A104" s="99">
        <v>5</v>
      </c>
      <c r="B104" s="100" t="s">
        <v>116</v>
      </c>
      <c r="C104" s="117">
        <v>11</v>
      </c>
      <c r="D104" s="117">
        <v>9</v>
      </c>
      <c r="E104" s="117">
        <f t="shared" si="14"/>
        <v>-2</v>
      </c>
      <c r="F104" s="98">
        <f t="shared" si="15"/>
        <v>-0.18181818181818182</v>
      </c>
    </row>
    <row r="105" spans="1:6" ht="18" customHeight="1" x14ac:dyDescent="0.25">
      <c r="A105" s="99">
        <v>6</v>
      </c>
      <c r="B105" s="100" t="s">
        <v>117</v>
      </c>
      <c r="C105" s="117">
        <v>608</v>
      </c>
      <c r="D105" s="117">
        <v>597</v>
      </c>
      <c r="E105" s="117">
        <f t="shared" si="14"/>
        <v>-11</v>
      </c>
      <c r="F105" s="98">
        <f t="shared" si="15"/>
        <v>-1.8092105263157895E-2</v>
      </c>
    </row>
    <row r="106" spans="1:6" ht="18" customHeight="1" x14ac:dyDescent="0.25">
      <c r="A106" s="99">
        <v>7</v>
      </c>
      <c r="B106" s="100" t="s">
        <v>118</v>
      </c>
      <c r="C106" s="117">
        <v>5854</v>
      </c>
      <c r="D106" s="117">
        <v>5039</v>
      </c>
      <c r="E106" s="117">
        <f t="shared" si="14"/>
        <v>-815</v>
      </c>
      <c r="F106" s="98">
        <f t="shared" si="15"/>
        <v>-0.13922104543901606</v>
      </c>
    </row>
    <row r="107" spans="1:6" ht="18" customHeight="1" x14ac:dyDescent="0.25">
      <c r="A107" s="99">
        <v>8</v>
      </c>
      <c r="B107" s="100" t="s">
        <v>119</v>
      </c>
      <c r="C107" s="117">
        <v>63</v>
      </c>
      <c r="D107" s="117">
        <v>55</v>
      </c>
      <c r="E107" s="117">
        <f t="shared" si="14"/>
        <v>-8</v>
      </c>
      <c r="F107" s="98">
        <f t="shared" si="15"/>
        <v>-0.12698412698412698</v>
      </c>
    </row>
    <row r="108" spans="1:6" ht="18" customHeight="1" x14ac:dyDescent="0.25">
      <c r="A108" s="99">
        <v>9</v>
      </c>
      <c r="B108" s="100" t="s">
        <v>120</v>
      </c>
      <c r="C108" s="117">
        <v>527</v>
      </c>
      <c r="D108" s="117">
        <v>426</v>
      </c>
      <c r="E108" s="117">
        <f t="shared" si="14"/>
        <v>-101</v>
      </c>
      <c r="F108" s="98">
        <f t="shared" si="15"/>
        <v>-0.19165085388994307</v>
      </c>
    </row>
    <row r="109" spans="1:6" ht="18" customHeight="1" x14ac:dyDescent="0.25">
      <c r="A109" s="99">
        <v>10</v>
      </c>
      <c r="B109" s="100" t="s">
        <v>121</v>
      </c>
      <c r="C109" s="117">
        <v>476</v>
      </c>
      <c r="D109" s="117">
        <v>191</v>
      </c>
      <c r="E109" s="117">
        <f t="shared" si="14"/>
        <v>-285</v>
      </c>
      <c r="F109" s="98">
        <f t="shared" si="15"/>
        <v>-0.59873949579831931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24</v>
      </c>
      <c r="E110" s="117">
        <f t="shared" si="14"/>
        <v>24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15332</v>
      </c>
      <c r="D111" s="118">
        <f>SUM(D100:D110)</f>
        <v>14483</v>
      </c>
      <c r="E111" s="118">
        <f t="shared" si="14"/>
        <v>-849</v>
      </c>
      <c r="F111" s="104">
        <f t="shared" si="15"/>
        <v>-5.5374380380902685E-2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33756</v>
      </c>
      <c r="D113" s="117">
        <v>34563</v>
      </c>
      <c r="E113" s="117">
        <f t="shared" ref="E113:E124" si="16">D113-C113</f>
        <v>807</v>
      </c>
      <c r="F113" s="98">
        <f t="shared" ref="F113:F124" si="17">IF(C113=0,0,E113/C113)</f>
        <v>2.3906861002488445E-2</v>
      </c>
    </row>
    <row r="114" spans="1:6" ht="18" customHeight="1" x14ac:dyDescent="0.25">
      <c r="A114" s="99">
        <v>2</v>
      </c>
      <c r="B114" s="100" t="s">
        <v>113</v>
      </c>
      <c r="C114" s="117">
        <v>2783</v>
      </c>
      <c r="D114" s="117">
        <v>3105</v>
      </c>
      <c r="E114" s="117">
        <f t="shared" si="16"/>
        <v>322</v>
      </c>
      <c r="F114" s="98">
        <f t="shared" si="17"/>
        <v>0.11570247933884298</v>
      </c>
    </row>
    <row r="115" spans="1:6" ht="18" customHeight="1" x14ac:dyDescent="0.25">
      <c r="A115" s="99">
        <v>3</v>
      </c>
      <c r="B115" s="100" t="s">
        <v>114</v>
      </c>
      <c r="C115" s="117">
        <v>4780</v>
      </c>
      <c r="D115" s="117">
        <v>6276</v>
      </c>
      <c r="E115" s="117">
        <f t="shared" si="16"/>
        <v>1496</v>
      </c>
      <c r="F115" s="98">
        <f t="shared" si="17"/>
        <v>0.3129707112970711</v>
      </c>
    </row>
    <row r="116" spans="1:6" ht="18" customHeight="1" x14ac:dyDescent="0.25">
      <c r="A116" s="99">
        <v>4</v>
      </c>
      <c r="B116" s="100" t="s">
        <v>115</v>
      </c>
      <c r="C116" s="117">
        <v>3406</v>
      </c>
      <c r="D116" s="117">
        <v>3600</v>
      </c>
      <c r="E116" s="117">
        <f t="shared" si="16"/>
        <v>194</v>
      </c>
      <c r="F116" s="98">
        <f t="shared" si="17"/>
        <v>5.695830886670581E-2</v>
      </c>
    </row>
    <row r="117" spans="1:6" ht="18" customHeight="1" x14ac:dyDescent="0.25">
      <c r="A117" s="99">
        <v>5</v>
      </c>
      <c r="B117" s="100" t="s">
        <v>116</v>
      </c>
      <c r="C117" s="117">
        <v>22</v>
      </c>
      <c r="D117" s="117">
        <v>24</v>
      </c>
      <c r="E117" s="117">
        <f t="shared" si="16"/>
        <v>2</v>
      </c>
      <c r="F117" s="98">
        <f t="shared" si="17"/>
        <v>9.0909090909090912E-2</v>
      </c>
    </row>
    <row r="118" spans="1:6" ht="18" customHeight="1" x14ac:dyDescent="0.25">
      <c r="A118" s="99">
        <v>6</v>
      </c>
      <c r="B118" s="100" t="s">
        <v>117</v>
      </c>
      <c r="C118" s="117">
        <v>2663</v>
      </c>
      <c r="D118" s="117">
        <v>2353</v>
      </c>
      <c r="E118" s="117">
        <f t="shared" si="16"/>
        <v>-310</v>
      </c>
      <c r="F118" s="98">
        <f t="shared" si="17"/>
        <v>-0.11641006383777694</v>
      </c>
    </row>
    <row r="119" spans="1:6" ht="18" customHeight="1" x14ac:dyDescent="0.25">
      <c r="A119" s="99">
        <v>7</v>
      </c>
      <c r="B119" s="100" t="s">
        <v>118</v>
      </c>
      <c r="C119" s="117">
        <v>19291</v>
      </c>
      <c r="D119" s="117">
        <v>16653</v>
      </c>
      <c r="E119" s="117">
        <f t="shared" si="16"/>
        <v>-2638</v>
      </c>
      <c r="F119" s="98">
        <f t="shared" si="17"/>
        <v>-0.13674770618423099</v>
      </c>
    </row>
    <row r="120" spans="1:6" ht="18" customHeight="1" x14ac:dyDescent="0.25">
      <c r="A120" s="99">
        <v>8</v>
      </c>
      <c r="B120" s="100" t="s">
        <v>119</v>
      </c>
      <c r="C120" s="117">
        <v>216</v>
      </c>
      <c r="D120" s="117">
        <v>257</v>
      </c>
      <c r="E120" s="117">
        <f t="shared" si="16"/>
        <v>41</v>
      </c>
      <c r="F120" s="98">
        <f t="shared" si="17"/>
        <v>0.18981481481481483</v>
      </c>
    </row>
    <row r="121" spans="1:6" ht="18" customHeight="1" x14ac:dyDescent="0.25">
      <c r="A121" s="99">
        <v>9</v>
      </c>
      <c r="B121" s="100" t="s">
        <v>120</v>
      </c>
      <c r="C121" s="117">
        <v>2115</v>
      </c>
      <c r="D121" s="117">
        <v>1527</v>
      </c>
      <c r="E121" s="117">
        <f t="shared" si="16"/>
        <v>-588</v>
      </c>
      <c r="F121" s="98">
        <f t="shared" si="17"/>
        <v>-0.27801418439716313</v>
      </c>
    </row>
    <row r="122" spans="1:6" ht="18" customHeight="1" x14ac:dyDescent="0.25">
      <c r="A122" s="99">
        <v>10</v>
      </c>
      <c r="B122" s="100" t="s">
        <v>121</v>
      </c>
      <c r="C122" s="117">
        <v>2331</v>
      </c>
      <c r="D122" s="117">
        <v>950</v>
      </c>
      <c r="E122" s="117">
        <f t="shared" si="16"/>
        <v>-1381</v>
      </c>
      <c r="F122" s="98">
        <f t="shared" si="17"/>
        <v>-0.5924495924495925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109</v>
      </c>
      <c r="E123" s="117">
        <f t="shared" si="16"/>
        <v>109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71363</v>
      </c>
      <c r="D124" s="118">
        <f>SUM(D113:D123)</f>
        <v>69417</v>
      </c>
      <c r="E124" s="118">
        <f t="shared" si="16"/>
        <v>-1946</v>
      </c>
      <c r="F124" s="104">
        <f t="shared" si="17"/>
        <v>-2.7269032972268542E-2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46981</v>
      </c>
      <c r="D126" s="117">
        <v>48212</v>
      </c>
      <c r="E126" s="117">
        <f t="shared" ref="E126:E137" si="18">D126-C126</f>
        <v>1231</v>
      </c>
      <c r="F126" s="98">
        <f t="shared" ref="F126:F137" si="19">IF(C126=0,0,E126/C126)</f>
        <v>2.6202081692599136E-2</v>
      </c>
    </row>
    <row r="127" spans="1:6" ht="18" customHeight="1" x14ac:dyDescent="0.25">
      <c r="A127" s="99">
        <v>2</v>
      </c>
      <c r="B127" s="100" t="s">
        <v>113</v>
      </c>
      <c r="C127" s="117">
        <v>3317</v>
      </c>
      <c r="D127" s="117">
        <v>4380</v>
      </c>
      <c r="E127" s="117">
        <f t="shared" si="18"/>
        <v>1063</v>
      </c>
      <c r="F127" s="98">
        <f t="shared" si="19"/>
        <v>0.32047030449201086</v>
      </c>
    </row>
    <row r="128" spans="1:6" ht="18" customHeight="1" x14ac:dyDescent="0.25">
      <c r="A128" s="99">
        <v>3</v>
      </c>
      <c r="B128" s="100" t="s">
        <v>114</v>
      </c>
      <c r="C128" s="117">
        <v>8366</v>
      </c>
      <c r="D128" s="117">
        <v>12418</v>
      </c>
      <c r="E128" s="117">
        <f t="shared" si="18"/>
        <v>4052</v>
      </c>
      <c r="F128" s="98">
        <f t="shared" si="19"/>
        <v>0.48434138178340902</v>
      </c>
    </row>
    <row r="129" spans="1:6" ht="18" customHeight="1" x14ac:dyDescent="0.25">
      <c r="A129" s="99">
        <v>4</v>
      </c>
      <c r="B129" s="100" t="s">
        <v>115</v>
      </c>
      <c r="C129" s="117">
        <v>16462</v>
      </c>
      <c r="D129" s="117">
        <v>19216</v>
      </c>
      <c r="E129" s="117">
        <f t="shared" si="18"/>
        <v>2754</v>
      </c>
      <c r="F129" s="98">
        <f t="shared" si="19"/>
        <v>0.16729437492406754</v>
      </c>
    </row>
    <row r="130" spans="1:6" ht="18" customHeight="1" x14ac:dyDescent="0.25">
      <c r="A130" s="99">
        <v>5</v>
      </c>
      <c r="B130" s="100" t="s">
        <v>116</v>
      </c>
      <c r="C130" s="117">
        <v>208</v>
      </c>
      <c r="D130" s="117">
        <v>259</v>
      </c>
      <c r="E130" s="117">
        <f t="shared" si="18"/>
        <v>51</v>
      </c>
      <c r="F130" s="98">
        <f t="shared" si="19"/>
        <v>0.24519230769230768</v>
      </c>
    </row>
    <row r="131" spans="1:6" ht="18" customHeight="1" x14ac:dyDescent="0.25">
      <c r="A131" s="99">
        <v>6</v>
      </c>
      <c r="B131" s="100" t="s">
        <v>117</v>
      </c>
      <c r="C131" s="117">
        <v>13760</v>
      </c>
      <c r="D131" s="117">
        <v>12850</v>
      </c>
      <c r="E131" s="117">
        <f t="shared" si="18"/>
        <v>-910</v>
      </c>
      <c r="F131" s="98">
        <f t="shared" si="19"/>
        <v>-6.6133720930232565E-2</v>
      </c>
    </row>
    <row r="132" spans="1:6" ht="18" customHeight="1" x14ac:dyDescent="0.25">
      <c r="A132" s="99">
        <v>7</v>
      </c>
      <c r="B132" s="100" t="s">
        <v>118</v>
      </c>
      <c r="C132" s="117">
        <v>81529</v>
      </c>
      <c r="D132" s="117">
        <v>87999</v>
      </c>
      <c r="E132" s="117">
        <f t="shared" si="18"/>
        <v>6470</v>
      </c>
      <c r="F132" s="98">
        <f t="shared" si="19"/>
        <v>7.9358265157183333E-2</v>
      </c>
    </row>
    <row r="133" spans="1:6" ht="18" customHeight="1" x14ac:dyDescent="0.25">
      <c r="A133" s="99">
        <v>8</v>
      </c>
      <c r="B133" s="100" t="s">
        <v>119</v>
      </c>
      <c r="C133" s="117">
        <v>2677</v>
      </c>
      <c r="D133" s="117">
        <v>2776</v>
      </c>
      <c r="E133" s="117">
        <f t="shared" si="18"/>
        <v>99</v>
      </c>
      <c r="F133" s="98">
        <f t="shared" si="19"/>
        <v>3.6981695928277922E-2</v>
      </c>
    </row>
    <row r="134" spans="1:6" ht="18" customHeight="1" x14ac:dyDescent="0.25">
      <c r="A134" s="99">
        <v>9</v>
      </c>
      <c r="B134" s="100" t="s">
        <v>120</v>
      </c>
      <c r="C134" s="117">
        <v>18669</v>
      </c>
      <c r="D134" s="117">
        <v>18279</v>
      </c>
      <c r="E134" s="117">
        <f t="shared" si="18"/>
        <v>-390</v>
      </c>
      <c r="F134" s="98">
        <f t="shared" si="19"/>
        <v>-2.0890245862124377E-2</v>
      </c>
    </row>
    <row r="135" spans="1:6" ht="18" customHeight="1" x14ac:dyDescent="0.25">
      <c r="A135" s="99">
        <v>10</v>
      </c>
      <c r="B135" s="100" t="s">
        <v>121</v>
      </c>
      <c r="C135" s="117">
        <v>3911</v>
      </c>
      <c r="D135" s="117">
        <v>540</v>
      </c>
      <c r="E135" s="117">
        <f t="shared" si="18"/>
        <v>-3371</v>
      </c>
      <c r="F135" s="98">
        <f t="shared" si="19"/>
        <v>-0.86192789567885453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196</v>
      </c>
      <c r="E136" s="117">
        <f t="shared" si="18"/>
        <v>196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195880</v>
      </c>
      <c r="D137" s="118">
        <f>SUM(D126:D136)</f>
        <v>207125</v>
      </c>
      <c r="E137" s="118">
        <f t="shared" si="18"/>
        <v>11245</v>
      </c>
      <c r="F137" s="104">
        <f t="shared" si="19"/>
        <v>5.7407596487645499E-2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21710273</v>
      </c>
      <c r="D142" s="97">
        <v>25055188</v>
      </c>
      <c r="E142" s="97">
        <f t="shared" ref="E142:E153" si="20">D142-C142</f>
        <v>3344915</v>
      </c>
      <c r="F142" s="98">
        <f t="shared" ref="F142:F153" si="21">IF(C142=0,0,E142/C142)</f>
        <v>0.15407060979841203</v>
      </c>
    </row>
    <row r="143" spans="1:6" ht="18" customHeight="1" x14ac:dyDescent="0.25">
      <c r="A143" s="99">
        <v>2</v>
      </c>
      <c r="B143" s="100" t="s">
        <v>113</v>
      </c>
      <c r="C143" s="97">
        <v>1398789</v>
      </c>
      <c r="D143" s="97">
        <v>2208911</v>
      </c>
      <c r="E143" s="97">
        <f t="shared" si="20"/>
        <v>810122</v>
      </c>
      <c r="F143" s="98">
        <f t="shared" si="21"/>
        <v>0.57915954443450723</v>
      </c>
    </row>
    <row r="144" spans="1:6" ht="18" customHeight="1" x14ac:dyDescent="0.25">
      <c r="A144" s="99">
        <v>3</v>
      </c>
      <c r="B144" s="100" t="s">
        <v>114</v>
      </c>
      <c r="C144" s="97">
        <v>3996936</v>
      </c>
      <c r="D144" s="97">
        <v>8143390</v>
      </c>
      <c r="E144" s="97">
        <f t="shared" si="20"/>
        <v>4146454</v>
      </c>
      <c r="F144" s="98">
        <f t="shared" si="21"/>
        <v>1.0374081546464591</v>
      </c>
    </row>
    <row r="145" spans="1:6" ht="18" customHeight="1" x14ac:dyDescent="0.25">
      <c r="A145" s="99">
        <v>4</v>
      </c>
      <c r="B145" s="100" t="s">
        <v>115</v>
      </c>
      <c r="C145" s="97">
        <v>8032866</v>
      </c>
      <c r="D145" s="97">
        <v>11070715</v>
      </c>
      <c r="E145" s="97">
        <f t="shared" si="20"/>
        <v>3037849</v>
      </c>
      <c r="F145" s="98">
        <f t="shared" si="21"/>
        <v>0.37817747737855956</v>
      </c>
    </row>
    <row r="146" spans="1:6" ht="18" customHeight="1" x14ac:dyDescent="0.25">
      <c r="A146" s="99">
        <v>5</v>
      </c>
      <c r="B146" s="100" t="s">
        <v>116</v>
      </c>
      <c r="C146" s="97">
        <v>137493</v>
      </c>
      <c r="D146" s="97">
        <v>120086</v>
      </c>
      <c r="E146" s="97">
        <f t="shared" si="20"/>
        <v>-17407</v>
      </c>
      <c r="F146" s="98">
        <f t="shared" si="21"/>
        <v>-0.12660280887026976</v>
      </c>
    </row>
    <row r="147" spans="1:6" ht="18" customHeight="1" x14ac:dyDescent="0.25">
      <c r="A147" s="99">
        <v>6</v>
      </c>
      <c r="B147" s="100" t="s">
        <v>117</v>
      </c>
      <c r="C147" s="97">
        <v>5845987</v>
      </c>
      <c r="D147" s="97">
        <v>6554612</v>
      </c>
      <c r="E147" s="97">
        <f t="shared" si="20"/>
        <v>708625</v>
      </c>
      <c r="F147" s="98">
        <f t="shared" si="21"/>
        <v>0.12121563048292786</v>
      </c>
    </row>
    <row r="148" spans="1:6" ht="18" customHeight="1" x14ac:dyDescent="0.25">
      <c r="A148" s="99">
        <v>7</v>
      </c>
      <c r="B148" s="100" t="s">
        <v>118</v>
      </c>
      <c r="C148" s="97">
        <v>35253322</v>
      </c>
      <c r="D148" s="97">
        <v>40308573</v>
      </c>
      <c r="E148" s="97">
        <f t="shared" si="20"/>
        <v>5055251</v>
      </c>
      <c r="F148" s="98">
        <f t="shared" si="21"/>
        <v>0.14339786190929751</v>
      </c>
    </row>
    <row r="149" spans="1:6" ht="18" customHeight="1" x14ac:dyDescent="0.25">
      <c r="A149" s="99">
        <v>8</v>
      </c>
      <c r="B149" s="100" t="s">
        <v>119</v>
      </c>
      <c r="C149" s="97">
        <v>1323929</v>
      </c>
      <c r="D149" s="97">
        <v>1660586</v>
      </c>
      <c r="E149" s="97">
        <f t="shared" si="20"/>
        <v>336657</v>
      </c>
      <c r="F149" s="98">
        <f t="shared" si="21"/>
        <v>0.25428629480886061</v>
      </c>
    </row>
    <row r="150" spans="1:6" ht="18" customHeight="1" x14ac:dyDescent="0.25">
      <c r="A150" s="99">
        <v>9</v>
      </c>
      <c r="B150" s="100" t="s">
        <v>120</v>
      </c>
      <c r="C150" s="97">
        <v>11008349</v>
      </c>
      <c r="D150" s="97">
        <v>12540636</v>
      </c>
      <c r="E150" s="97">
        <f t="shared" si="20"/>
        <v>1532287</v>
      </c>
      <c r="F150" s="98">
        <f t="shared" si="21"/>
        <v>0.13919317056535907</v>
      </c>
    </row>
    <row r="151" spans="1:6" ht="18" customHeight="1" x14ac:dyDescent="0.25">
      <c r="A151" s="99">
        <v>10</v>
      </c>
      <c r="B151" s="100" t="s">
        <v>121</v>
      </c>
      <c r="C151" s="97">
        <v>3562101</v>
      </c>
      <c r="D151" s="97">
        <v>299117</v>
      </c>
      <c r="E151" s="97">
        <f t="shared" si="20"/>
        <v>-3262984</v>
      </c>
      <c r="F151" s="98">
        <f t="shared" si="21"/>
        <v>-0.91602792846132097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345017</v>
      </c>
      <c r="E152" s="97">
        <f t="shared" si="20"/>
        <v>345017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92270045</v>
      </c>
      <c r="D153" s="103">
        <f>SUM(D142:D152)</f>
        <v>108306831</v>
      </c>
      <c r="E153" s="103">
        <f t="shared" si="20"/>
        <v>16036786</v>
      </c>
      <c r="F153" s="104">
        <f t="shared" si="21"/>
        <v>0.17380273305383129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4925896</v>
      </c>
      <c r="D155" s="97">
        <v>4868376</v>
      </c>
      <c r="E155" s="97">
        <f t="shared" ref="E155:E166" si="22">D155-C155</f>
        <v>-57520</v>
      </c>
      <c r="F155" s="98">
        <f t="shared" ref="F155:F166" si="23">IF(C155=0,0,E155/C155)</f>
        <v>-1.1677063421558231E-2</v>
      </c>
    </row>
    <row r="156" spans="1:6" ht="18" customHeight="1" x14ac:dyDescent="0.25">
      <c r="A156" s="99">
        <v>2</v>
      </c>
      <c r="B156" s="100" t="s">
        <v>113</v>
      </c>
      <c r="C156" s="97">
        <v>351793</v>
      </c>
      <c r="D156" s="97">
        <v>414038</v>
      </c>
      <c r="E156" s="97">
        <f t="shared" si="22"/>
        <v>62245</v>
      </c>
      <c r="F156" s="98">
        <f t="shared" si="23"/>
        <v>0.1769364370524712</v>
      </c>
    </row>
    <row r="157" spans="1:6" ht="18" customHeight="1" x14ac:dyDescent="0.25">
      <c r="A157" s="99">
        <v>3</v>
      </c>
      <c r="B157" s="100" t="s">
        <v>114</v>
      </c>
      <c r="C157" s="97">
        <v>770849</v>
      </c>
      <c r="D157" s="97">
        <v>1354729</v>
      </c>
      <c r="E157" s="97">
        <f t="shared" si="22"/>
        <v>583880</v>
      </c>
      <c r="F157" s="98">
        <f t="shared" si="23"/>
        <v>0.75745055127528216</v>
      </c>
    </row>
    <row r="158" spans="1:6" ht="18" customHeight="1" x14ac:dyDescent="0.25">
      <c r="A158" s="99">
        <v>4</v>
      </c>
      <c r="B158" s="100" t="s">
        <v>115</v>
      </c>
      <c r="C158" s="97">
        <v>1749315</v>
      </c>
      <c r="D158" s="97">
        <v>2130054</v>
      </c>
      <c r="E158" s="97">
        <f t="shared" si="22"/>
        <v>380739</v>
      </c>
      <c r="F158" s="98">
        <f t="shared" si="23"/>
        <v>0.21765033741778925</v>
      </c>
    </row>
    <row r="159" spans="1:6" ht="18" customHeight="1" x14ac:dyDescent="0.25">
      <c r="A159" s="99">
        <v>5</v>
      </c>
      <c r="B159" s="100" t="s">
        <v>116</v>
      </c>
      <c r="C159" s="97">
        <v>73800</v>
      </c>
      <c r="D159" s="97">
        <v>31734</v>
      </c>
      <c r="E159" s="97">
        <f t="shared" si="22"/>
        <v>-42066</v>
      </c>
      <c r="F159" s="98">
        <f t="shared" si="23"/>
        <v>-0.56999999999999995</v>
      </c>
    </row>
    <row r="160" spans="1:6" ht="18" customHeight="1" x14ac:dyDescent="0.25">
      <c r="A160" s="99">
        <v>6</v>
      </c>
      <c r="B160" s="100" t="s">
        <v>117</v>
      </c>
      <c r="C160" s="97">
        <v>3926466</v>
      </c>
      <c r="D160" s="97">
        <v>4811388</v>
      </c>
      <c r="E160" s="97">
        <f t="shared" si="22"/>
        <v>884922</v>
      </c>
      <c r="F160" s="98">
        <f t="shared" si="23"/>
        <v>0.22537365661640774</v>
      </c>
    </row>
    <row r="161" spans="1:6" ht="18" customHeight="1" x14ac:dyDescent="0.25">
      <c r="A161" s="99">
        <v>7</v>
      </c>
      <c r="B161" s="100" t="s">
        <v>118</v>
      </c>
      <c r="C161" s="97">
        <v>23667185</v>
      </c>
      <c r="D161" s="97">
        <v>24429882</v>
      </c>
      <c r="E161" s="97">
        <f t="shared" si="22"/>
        <v>762697</v>
      </c>
      <c r="F161" s="98">
        <f t="shared" si="23"/>
        <v>3.2225928009604859E-2</v>
      </c>
    </row>
    <row r="162" spans="1:6" ht="18" customHeight="1" x14ac:dyDescent="0.25">
      <c r="A162" s="99">
        <v>8</v>
      </c>
      <c r="B162" s="100" t="s">
        <v>119</v>
      </c>
      <c r="C162" s="97">
        <v>737716</v>
      </c>
      <c r="D162" s="97">
        <v>1071235</v>
      </c>
      <c r="E162" s="97">
        <f t="shared" si="22"/>
        <v>333519</v>
      </c>
      <c r="F162" s="98">
        <f t="shared" si="23"/>
        <v>0.45209674183561155</v>
      </c>
    </row>
    <row r="163" spans="1:6" ht="18" customHeight="1" x14ac:dyDescent="0.25">
      <c r="A163" s="99">
        <v>9</v>
      </c>
      <c r="B163" s="100" t="s">
        <v>120</v>
      </c>
      <c r="C163" s="97">
        <v>1785641</v>
      </c>
      <c r="D163" s="97">
        <v>887925</v>
      </c>
      <c r="E163" s="97">
        <f t="shared" si="22"/>
        <v>-897716</v>
      </c>
      <c r="F163" s="98">
        <f t="shared" si="23"/>
        <v>-0.50274159251495676</v>
      </c>
    </row>
    <row r="164" spans="1:6" ht="18" customHeight="1" x14ac:dyDescent="0.25">
      <c r="A164" s="99">
        <v>10</v>
      </c>
      <c r="B164" s="100" t="s">
        <v>121</v>
      </c>
      <c r="C164" s="97">
        <v>516611</v>
      </c>
      <c r="D164" s="97">
        <v>13009</v>
      </c>
      <c r="E164" s="97">
        <f t="shared" si="22"/>
        <v>-503602</v>
      </c>
      <c r="F164" s="98">
        <f t="shared" si="23"/>
        <v>-0.97481857722735288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103614</v>
      </c>
      <c r="E165" s="97">
        <f t="shared" si="22"/>
        <v>103614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38505272</v>
      </c>
      <c r="D166" s="103">
        <f>SUM(D155:D165)</f>
        <v>40115984</v>
      </c>
      <c r="E166" s="103">
        <f t="shared" si="22"/>
        <v>1610712</v>
      </c>
      <c r="F166" s="104">
        <f t="shared" si="23"/>
        <v>4.1830947201204033E-2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6522</v>
      </c>
      <c r="D168" s="117">
        <v>6245</v>
      </c>
      <c r="E168" s="117">
        <f t="shared" ref="E168:E179" si="24">D168-C168</f>
        <v>-277</v>
      </c>
      <c r="F168" s="98">
        <f t="shared" ref="F168:F179" si="25">IF(C168=0,0,E168/C168)</f>
        <v>-4.2471634467954614E-2</v>
      </c>
    </row>
    <row r="169" spans="1:6" ht="18" customHeight="1" x14ac:dyDescent="0.25">
      <c r="A169" s="99">
        <v>2</v>
      </c>
      <c r="B169" s="100" t="s">
        <v>113</v>
      </c>
      <c r="C169" s="117">
        <v>474</v>
      </c>
      <c r="D169" s="117">
        <v>568</v>
      </c>
      <c r="E169" s="117">
        <f t="shared" si="24"/>
        <v>94</v>
      </c>
      <c r="F169" s="98">
        <f t="shared" si="25"/>
        <v>0.19831223628691982</v>
      </c>
    </row>
    <row r="170" spans="1:6" ht="18" customHeight="1" x14ac:dyDescent="0.25">
      <c r="A170" s="99">
        <v>3</v>
      </c>
      <c r="B170" s="100" t="s">
        <v>114</v>
      </c>
      <c r="C170" s="117">
        <v>1858</v>
      </c>
      <c r="D170" s="117">
        <v>3047</v>
      </c>
      <c r="E170" s="117">
        <f t="shared" si="24"/>
        <v>1189</v>
      </c>
      <c r="F170" s="98">
        <f t="shared" si="25"/>
        <v>0.63993541442411195</v>
      </c>
    </row>
    <row r="171" spans="1:6" ht="18" customHeight="1" x14ac:dyDescent="0.25">
      <c r="A171" s="99">
        <v>4</v>
      </c>
      <c r="B171" s="100" t="s">
        <v>115</v>
      </c>
      <c r="C171" s="117">
        <v>5268</v>
      </c>
      <c r="D171" s="117">
        <v>5939</v>
      </c>
      <c r="E171" s="117">
        <f t="shared" si="24"/>
        <v>671</v>
      </c>
      <c r="F171" s="98">
        <f t="shared" si="25"/>
        <v>0.12737281700835232</v>
      </c>
    </row>
    <row r="172" spans="1:6" ht="18" customHeight="1" x14ac:dyDescent="0.25">
      <c r="A172" s="99">
        <v>5</v>
      </c>
      <c r="B172" s="100" t="s">
        <v>116</v>
      </c>
      <c r="C172" s="117">
        <v>78</v>
      </c>
      <c r="D172" s="117">
        <v>54</v>
      </c>
      <c r="E172" s="117">
        <f t="shared" si="24"/>
        <v>-24</v>
      </c>
      <c r="F172" s="98">
        <f t="shared" si="25"/>
        <v>-0.30769230769230771</v>
      </c>
    </row>
    <row r="173" spans="1:6" ht="18" customHeight="1" x14ac:dyDescent="0.25">
      <c r="A173" s="99">
        <v>6</v>
      </c>
      <c r="B173" s="100" t="s">
        <v>117</v>
      </c>
      <c r="C173" s="117">
        <v>2427</v>
      </c>
      <c r="D173" s="117">
        <v>2294</v>
      </c>
      <c r="E173" s="117">
        <f t="shared" si="24"/>
        <v>-133</v>
      </c>
      <c r="F173" s="98">
        <f t="shared" si="25"/>
        <v>-5.4800164812525753E-2</v>
      </c>
    </row>
    <row r="174" spans="1:6" ht="18" customHeight="1" x14ac:dyDescent="0.25">
      <c r="A174" s="99">
        <v>7</v>
      </c>
      <c r="B174" s="100" t="s">
        <v>118</v>
      </c>
      <c r="C174" s="117">
        <v>16387</v>
      </c>
      <c r="D174" s="117">
        <v>15277</v>
      </c>
      <c r="E174" s="117">
        <f t="shared" si="24"/>
        <v>-1110</v>
      </c>
      <c r="F174" s="98">
        <f t="shared" si="25"/>
        <v>-6.7736620491853292E-2</v>
      </c>
    </row>
    <row r="175" spans="1:6" ht="18" customHeight="1" x14ac:dyDescent="0.25">
      <c r="A175" s="99">
        <v>8</v>
      </c>
      <c r="B175" s="100" t="s">
        <v>119</v>
      </c>
      <c r="C175" s="117">
        <v>792</v>
      </c>
      <c r="D175" s="117">
        <v>819</v>
      </c>
      <c r="E175" s="117">
        <f t="shared" si="24"/>
        <v>27</v>
      </c>
      <c r="F175" s="98">
        <f t="shared" si="25"/>
        <v>3.4090909090909088E-2</v>
      </c>
    </row>
    <row r="176" spans="1:6" ht="18" customHeight="1" x14ac:dyDescent="0.25">
      <c r="A176" s="99">
        <v>9</v>
      </c>
      <c r="B176" s="100" t="s">
        <v>120</v>
      </c>
      <c r="C176" s="117">
        <v>5069</v>
      </c>
      <c r="D176" s="117">
        <v>4979</v>
      </c>
      <c r="E176" s="117">
        <f t="shared" si="24"/>
        <v>-90</v>
      </c>
      <c r="F176" s="98">
        <f t="shared" si="25"/>
        <v>-1.7754981258630894E-2</v>
      </c>
    </row>
    <row r="177" spans="1:6" ht="18" customHeight="1" x14ac:dyDescent="0.25">
      <c r="A177" s="99">
        <v>10</v>
      </c>
      <c r="B177" s="100" t="s">
        <v>121</v>
      </c>
      <c r="C177" s="117">
        <v>1616</v>
      </c>
      <c r="D177" s="117">
        <v>104</v>
      </c>
      <c r="E177" s="117">
        <f t="shared" si="24"/>
        <v>-1512</v>
      </c>
      <c r="F177" s="98">
        <f t="shared" si="25"/>
        <v>-0.9356435643564357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165</v>
      </c>
      <c r="E178" s="117">
        <f t="shared" si="24"/>
        <v>165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40491</v>
      </c>
      <c r="D179" s="118">
        <f>SUM(D168:D178)</f>
        <v>39491</v>
      </c>
      <c r="E179" s="118">
        <f t="shared" si="24"/>
        <v>-1000</v>
      </c>
      <c r="F179" s="104">
        <f t="shared" si="25"/>
        <v>-2.4696846212738634E-2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FILING&amp;RNORWALK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45263053</v>
      </c>
      <c r="D15" s="146">
        <v>45786858</v>
      </c>
      <c r="E15" s="146">
        <f>+D15-C15</f>
        <v>523805</v>
      </c>
      <c r="F15" s="150">
        <f>IF(C15=0,0,E15/C15)</f>
        <v>1.1572462865021499E-2</v>
      </c>
    </row>
    <row r="16" spans="1:7" ht="15" customHeight="1" x14ac:dyDescent="0.2">
      <c r="A16" s="141">
        <v>2</v>
      </c>
      <c r="B16" s="149" t="s">
        <v>158</v>
      </c>
      <c r="C16" s="146">
        <v>14846700</v>
      </c>
      <c r="D16" s="146">
        <v>16914558</v>
      </c>
      <c r="E16" s="146">
        <f>+D16-C16</f>
        <v>2067858</v>
      </c>
      <c r="F16" s="150">
        <f>IF(C16=0,0,E16/C16)</f>
        <v>0.13928064822485806</v>
      </c>
    </row>
    <row r="17" spans="1:7" ht="15" customHeight="1" x14ac:dyDescent="0.2">
      <c r="A17" s="141">
        <v>3</v>
      </c>
      <c r="B17" s="149" t="s">
        <v>159</v>
      </c>
      <c r="C17" s="146">
        <v>68379426</v>
      </c>
      <c r="D17" s="146">
        <v>67563362</v>
      </c>
      <c r="E17" s="146">
        <f>+D17-C17</f>
        <v>-816064</v>
      </c>
      <c r="F17" s="150">
        <f>IF(C17=0,0,E17/C17)</f>
        <v>-1.1934349960761589E-2</v>
      </c>
    </row>
    <row r="18" spans="1:7" ht="15.75" customHeight="1" x14ac:dyDescent="0.25">
      <c r="A18" s="141"/>
      <c r="B18" s="151" t="s">
        <v>160</v>
      </c>
      <c r="C18" s="147">
        <f>SUM(C15:C17)</f>
        <v>128489179</v>
      </c>
      <c r="D18" s="147">
        <f>SUM(D15:D17)</f>
        <v>130264778</v>
      </c>
      <c r="E18" s="147">
        <f>+D18-C18</f>
        <v>1775599</v>
      </c>
      <c r="F18" s="148">
        <f>IF(C18=0,0,E18/C18)</f>
        <v>1.3819054754797678E-2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11773329</v>
      </c>
      <c r="D21" s="146">
        <v>13413788</v>
      </c>
      <c r="E21" s="146">
        <f>+D21-C21</f>
        <v>1640459</v>
      </c>
      <c r="F21" s="150">
        <f>IF(C21=0,0,E21/C21)</f>
        <v>0.13933688593939744</v>
      </c>
    </row>
    <row r="22" spans="1:7" ht="15" customHeight="1" x14ac:dyDescent="0.2">
      <c r="A22" s="141">
        <v>2</v>
      </c>
      <c r="B22" s="149" t="s">
        <v>163</v>
      </c>
      <c r="C22" s="146">
        <v>1940855</v>
      </c>
      <c r="D22" s="146">
        <v>2509283</v>
      </c>
      <c r="E22" s="146">
        <f>+D22-C22</f>
        <v>568428</v>
      </c>
      <c r="F22" s="150">
        <f>IF(C22=0,0,E22/C22)</f>
        <v>0.29287504733738479</v>
      </c>
    </row>
    <row r="23" spans="1:7" ht="15" customHeight="1" x14ac:dyDescent="0.2">
      <c r="A23" s="141">
        <v>3</v>
      </c>
      <c r="B23" s="149" t="s">
        <v>164</v>
      </c>
      <c r="C23" s="146">
        <v>27061782</v>
      </c>
      <c r="D23" s="146">
        <v>30756962</v>
      </c>
      <c r="E23" s="146">
        <f>+D23-C23</f>
        <v>3695180</v>
      </c>
      <c r="F23" s="150">
        <f>IF(C23=0,0,E23/C23)</f>
        <v>0.13654607076503683</v>
      </c>
    </row>
    <row r="24" spans="1:7" ht="15.75" customHeight="1" x14ac:dyDescent="0.25">
      <c r="A24" s="141"/>
      <c r="B24" s="151" t="s">
        <v>165</v>
      </c>
      <c r="C24" s="147">
        <f>SUM(C21:C23)</f>
        <v>40775966</v>
      </c>
      <c r="D24" s="147">
        <f>SUM(D21:D23)</f>
        <v>46680033</v>
      </c>
      <c r="E24" s="147">
        <f>+D24-C24</f>
        <v>5904067</v>
      </c>
      <c r="F24" s="148">
        <f>IF(C24=0,0,E24/C24)</f>
        <v>0.14479281741602393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1981350</v>
      </c>
      <c r="D27" s="146">
        <v>1016120</v>
      </c>
      <c r="E27" s="146">
        <f>+D27-C27</f>
        <v>-965230</v>
      </c>
      <c r="F27" s="150">
        <f>IF(C27=0,0,E27/C27)</f>
        <v>-0.48715774598127537</v>
      </c>
    </row>
    <row r="28" spans="1:7" ht="15" customHeight="1" x14ac:dyDescent="0.2">
      <c r="A28" s="141">
        <v>2</v>
      </c>
      <c r="B28" s="149" t="s">
        <v>168</v>
      </c>
      <c r="C28" s="146">
        <v>4646362</v>
      </c>
      <c r="D28" s="146">
        <v>5522886</v>
      </c>
      <c r="E28" s="146">
        <f>+D28-C28</f>
        <v>876524</v>
      </c>
      <c r="F28" s="150">
        <f>IF(C28=0,0,E28/C28)</f>
        <v>0.18864737616225338</v>
      </c>
    </row>
    <row r="29" spans="1:7" ht="15" customHeight="1" x14ac:dyDescent="0.2">
      <c r="A29" s="141">
        <v>3</v>
      </c>
      <c r="B29" s="149" t="s">
        <v>169</v>
      </c>
      <c r="C29" s="146">
        <v>7435818</v>
      </c>
      <c r="D29" s="146">
        <v>7400935</v>
      </c>
      <c r="E29" s="146">
        <f>+D29-C29</f>
        <v>-34883</v>
      </c>
      <c r="F29" s="150">
        <f>IF(C29=0,0,E29/C29)</f>
        <v>-4.691212184052918E-3</v>
      </c>
    </row>
    <row r="30" spans="1:7" ht="15.75" customHeight="1" x14ac:dyDescent="0.25">
      <c r="A30" s="141"/>
      <c r="B30" s="151" t="s">
        <v>170</v>
      </c>
      <c r="C30" s="147">
        <f>SUM(C27:C29)</f>
        <v>14063530</v>
      </c>
      <c r="D30" s="147">
        <f>SUM(D27:D29)</f>
        <v>13939941</v>
      </c>
      <c r="E30" s="147">
        <f>+D30-C30</f>
        <v>-123589</v>
      </c>
      <c r="F30" s="148">
        <f>IF(C30=0,0,E30/C30)</f>
        <v>-8.7879074457124211E-3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23207532</v>
      </c>
      <c r="D33" s="146">
        <v>23859859</v>
      </c>
      <c r="E33" s="146">
        <f>+D33-C33</f>
        <v>652327</v>
      </c>
      <c r="F33" s="150">
        <f>IF(C33=0,0,E33/C33)</f>
        <v>2.8108417560298957E-2</v>
      </c>
    </row>
    <row r="34" spans="1:7" ht="15" customHeight="1" x14ac:dyDescent="0.2">
      <c r="A34" s="141">
        <v>2</v>
      </c>
      <c r="B34" s="149" t="s">
        <v>174</v>
      </c>
      <c r="C34" s="146">
        <v>6984550</v>
      </c>
      <c r="D34" s="146">
        <v>6881522</v>
      </c>
      <c r="E34" s="146">
        <f>+D34-C34</f>
        <v>-103028</v>
      </c>
      <c r="F34" s="150">
        <f>IF(C34=0,0,E34/C34)</f>
        <v>-1.4750842931899693E-2</v>
      </c>
    </row>
    <row r="35" spans="1:7" ht="15.75" customHeight="1" x14ac:dyDescent="0.25">
      <c r="A35" s="141"/>
      <c r="B35" s="151" t="s">
        <v>175</v>
      </c>
      <c r="C35" s="147">
        <f>SUM(C33:C34)</f>
        <v>30192082</v>
      </c>
      <c r="D35" s="147">
        <f>SUM(D33:D34)</f>
        <v>30741381</v>
      </c>
      <c r="E35" s="147">
        <f>+D35-C35</f>
        <v>549299</v>
      </c>
      <c r="F35" s="148">
        <f>IF(C35=0,0,E35/C35)</f>
        <v>1.8193478674309378E-2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5580832</v>
      </c>
      <c r="D38" s="146">
        <v>7511470</v>
      </c>
      <c r="E38" s="146">
        <f>+D38-C38</f>
        <v>1930638</v>
      </c>
      <c r="F38" s="150">
        <f>IF(C38=0,0,E38/C38)</f>
        <v>0.34594089196736255</v>
      </c>
    </row>
    <row r="39" spans="1:7" ht="15" customHeight="1" x14ac:dyDescent="0.2">
      <c r="A39" s="141">
        <v>2</v>
      </c>
      <c r="B39" s="149" t="s">
        <v>179</v>
      </c>
      <c r="C39" s="146">
        <v>13015117</v>
      </c>
      <c r="D39" s="146">
        <v>12376880</v>
      </c>
      <c r="E39" s="146">
        <f>+D39-C39</f>
        <v>-638237</v>
      </c>
      <c r="F39" s="150">
        <f>IF(C39=0,0,E39/C39)</f>
        <v>-4.903813004523893E-2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18595949</v>
      </c>
      <c r="D41" s="147">
        <f>SUM(D38:D40)</f>
        <v>19888350</v>
      </c>
      <c r="E41" s="147">
        <f>+D41-C41</f>
        <v>1292401</v>
      </c>
      <c r="F41" s="148">
        <f>IF(C41=0,0,E41/C41)</f>
        <v>6.94990613278193E-2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21000769</v>
      </c>
      <c r="D44" s="146">
        <v>23255695</v>
      </c>
      <c r="E44" s="146">
        <f>+D44-C44</f>
        <v>2254926</v>
      </c>
      <c r="F44" s="150">
        <f>IF(C44=0,0,E44/C44)</f>
        <v>0.10737349665624149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651938</v>
      </c>
      <c r="D47" s="146">
        <v>646398</v>
      </c>
      <c r="E47" s="146">
        <f>+D47-C47</f>
        <v>-5540</v>
      </c>
      <c r="F47" s="150">
        <f>IF(C47=0,0,E47/C47)</f>
        <v>-8.4977405826934457E-3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7691168</v>
      </c>
      <c r="D50" s="146">
        <v>4828177</v>
      </c>
      <c r="E50" s="146">
        <f>+D50-C50</f>
        <v>-2862991</v>
      </c>
      <c r="F50" s="150">
        <f>IF(C50=0,0,E50/C50)</f>
        <v>-0.37224398166832395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134170</v>
      </c>
      <c r="D53" s="146">
        <v>127385</v>
      </c>
      <c r="E53" s="146">
        <f t="shared" ref="E53:E59" si="0">+D53-C53</f>
        <v>-6785</v>
      </c>
      <c r="F53" s="150">
        <f t="shared" ref="F53:F59" si="1">IF(C53=0,0,E53/C53)</f>
        <v>-5.0570172169635538E-2</v>
      </c>
    </row>
    <row r="54" spans="1:7" ht="15" customHeight="1" x14ac:dyDescent="0.2">
      <c r="A54" s="141">
        <v>2</v>
      </c>
      <c r="B54" s="149" t="s">
        <v>193</v>
      </c>
      <c r="C54" s="146">
        <v>4562492</v>
      </c>
      <c r="D54" s="146">
        <v>2631399</v>
      </c>
      <c r="E54" s="146">
        <f t="shared" si="0"/>
        <v>-1931093</v>
      </c>
      <c r="F54" s="150">
        <f t="shared" si="1"/>
        <v>-0.42325400241797684</v>
      </c>
    </row>
    <row r="55" spans="1:7" ht="15" customHeight="1" x14ac:dyDescent="0.2">
      <c r="A55" s="141">
        <v>3</v>
      </c>
      <c r="B55" s="149" t="s">
        <v>194</v>
      </c>
      <c r="C55" s="146">
        <v>276796</v>
      </c>
      <c r="D55" s="146">
        <v>145423</v>
      </c>
      <c r="E55" s="146">
        <f t="shared" si="0"/>
        <v>-131373</v>
      </c>
      <c r="F55" s="150">
        <f t="shared" si="1"/>
        <v>-0.47462029798118471</v>
      </c>
    </row>
    <row r="56" spans="1:7" ht="15" customHeight="1" x14ac:dyDescent="0.2">
      <c r="A56" s="141">
        <v>4</v>
      </c>
      <c r="B56" s="149" t="s">
        <v>195</v>
      </c>
      <c r="C56" s="146">
        <v>1104169</v>
      </c>
      <c r="D56" s="146">
        <v>1783014</v>
      </c>
      <c r="E56" s="146">
        <f t="shared" si="0"/>
        <v>678845</v>
      </c>
      <c r="F56" s="150">
        <f t="shared" si="1"/>
        <v>0.61480171966429054</v>
      </c>
    </row>
    <row r="57" spans="1:7" ht="15" customHeight="1" x14ac:dyDescent="0.2">
      <c r="A57" s="141">
        <v>5</v>
      </c>
      <c r="B57" s="149" t="s">
        <v>196</v>
      </c>
      <c r="C57" s="146">
        <v>646621</v>
      </c>
      <c r="D57" s="146">
        <v>587371</v>
      </c>
      <c r="E57" s="146">
        <f t="shared" si="0"/>
        <v>-59250</v>
      </c>
      <c r="F57" s="150">
        <f t="shared" si="1"/>
        <v>-9.1630182131418561E-2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6724248</v>
      </c>
      <c r="D59" s="147">
        <f>SUM(D53:D58)</f>
        <v>5274592</v>
      </c>
      <c r="E59" s="147">
        <f t="shared" si="0"/>
        <v>-1449656</v>
      </c>
      <c r="F59" s="148">
        <f t="shared" si="1"/>
        <v>-0.21558633768415442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230651</v>
      </c>
      <c r="D62" s="146">
        <v>214615</v>
      </c>
      <c r="E62" s="146">
        <f t="shared" ref="E62:E78" si="2">+D62-C62</f>
        <v>-16036</v>
      </c>
      <c r="F62" s="150">
        <f t="shared" ref="F62:F78" si="3">IF(C62=0,0,E62/C62)</f>
        <v>-6.9524953284399379E-2</v>
      </c>
    </row>
    <row r="63" spans="1:7" ht="15" customHeight="1" x14ac:dyDescent="0.2">
      <c r="A63" s="141">
        <v>2</v>
      </c>
      <c r="B63" s="149" t="s">
        <v>202</v>
      </c>
      <c r="C63" s="146">
        <v>1703401</v>
      </c>
      <c r="D63" s="146">
        <v>1801698</v>
      </c>
      <c r="E63" s="146">
        <f t="shared" si="2"/>
        <v>98297</v>
      </c>
      <c r="F63" s="150">
        <f t="shared" si="3"/>
        <v>5.7706318124739857E-2</v>
      </c>
    </row>
    <row r="64" spans="1:7" ht="15" customHeight="1" x14ac:dyDescent="0.2">
      <c r="A64" s="141">
        <v>3</v>
      </c>
      <c r="B64" s="149" t="s">
        <v>203</v>
      </c>
      <c r="C64" s="146">
        <v>3172991</v>
      </c>
      <c r="D64" s="146">
        <v>3039758</v>
      </c>
      <c r="E64" s="146">
        <f t="shared" si="2"/>
        <v>-133233</v>
      </c>
      <c r="F64" s="150">
        <f t="shared" si="3"/>
        <v>-4.1989718848871614E-2</v>
      </c>
    </row>
    <row r="65" spans="1:7" ht="15" customHeight="1" x14ac:dyDescent="0.2">
      <c r="A65" s="141">
        <v>4</v>
      </c>
      <c r="B65" s="149" t="s">
        <v>204</v>
      </c>
      <c r="C65" s="146">
        <v>682611</v>
      </c>
      <c r="D65" s="146">
        <v>639378</v>
      </c>
      <c r="E65" s="146">
        <f t="shared" si="2"/>
        <v>-43233</v>
      </c>
      <c r="F65" s="150">
        <f t="shared" si="3"/>
        <v>-6.3334754347644559E-2</v>
      </c>
    </row>
    <row r="66" spans="1:7" ht="15" customHeight="1" x14ac:dyDescent="0.2">
      <c r="A66" s="141">
        <v>5</v>
      </c>
      <c r="B66" s="149" t="s">
        <v>205</v>
      </c>
      <c r="C66" s="146">
        <v>568391</v>
      </c>
      <c r="D66" s="146">
        <v>560953</v>
      </c>
      <c r="E66" s="146">
        <f t="shared" si="2"/>
        <v>-7438</v>
      </c>
      <c r="F66" s="150">
        <f t="shared" si="3"/>
        <v>-1.3086062235327442E-2</v>
      </c>
    </row>
    <row r="67" spans="1:7" ht="15" customHeight="1" x14ac:dyDescent="0.2">
      <c r="A67" s="141">
        <v>6</v>
      </c>
      <c r="B67" s="149" t="s">
        <v>206</v>
      </c>
      <c r="C67" s="146">
        <v>2545113</v>
      </c>
      <c r="D67" s="146">
        <v>3076339</v>
      </c>
      <c r="E67" s="146">
        <f t="shared" si="2"/>
        <v>531226</v>
      </c>
      <c r="F67" s="150">
        <f t="shared" si="3"/>
        <v>0.2087239348508298</v>
      </c>
    </row>
    <row r="68" spans="1:7" ht="15" customHeight="1" x14ac:dyDescent="0.2">
      <c r="A68" s="141">
        <v>7</v>
      </c>
      <c r="B68" s="149" t="s">
        <v>207</v>
      </c>
      <c r="C68" s="146">
        <v>4267981</v>
      </c>
      <c r="D68" s="146">
        <v>5750462</v>
      </c>
      <c r="E68" s="146">
        <f t="shared" si="2"/>
        <v>1482481</v>
      </c>
      <c r="F68" s="150">
        <f t="shared" si="3"/>
        <v>0.34734948445178176</v>
      </c>
    </row>
    <row r="69" spans="1:7" ht="15" customHeight="1" x14ac:dyDescent="0.2">
      <c r="A69" s="141">
        <v>8</v>
      </c>
      <c r="B69" s="149" t="s">
        <v>208</v>
      </c>
      <c r="C69" s="146">
        <v>437447</v>
      </c>
      <c r="D69" s="146">
        <v>461235</v>
      </c>
      <c r="E69" s="146">
        <f t="shared" si="2"/>
        <v>23788</v>
      </c>
      <c r="F69" s="150">
        <f t="shared" si="3"/>
        <v>5.4379159075270835E-2</v>
      </c>
    </row>
    <row r="70" spans="1:7" ht="15" customHeight="1" x14ac:dyDescent="0.2">
      <c r="A70" s="141">
        <v>9</v>
      </c>
      <c r="B70" s="149" t="s">
        <v>209</v>
      </c>
      <c r="C70" s="146">
        <v>745793</v>
      </c>
      <c r="D70" s="146">
        <v>567067</v>
      </c>
      <c r="E70" s="146">
        <f t="shared" si="2"/>
        <v>-178726</v>
      </c>
      <c r="F70" s="150">
        <f t="shared" si="3"/>
        <v>-0.23964558530316052</v>
      </c>
    </row>
    <row r="71" spans="1:7" ht="15" customHeight="1" x14ac:dyDescent="0.2">
      <c r="A71" s="141">
        <v>10</v>
      </c>
      <c r="B71" s="149" t="s">
        <v>210</v>
      </c>
      <c r="C71" s="146">
        <v>4106</v>
      </c>
      <c r="D71" s="146">
        <v>16062</v>
      </c>
      <c r="E71" s="146">
        <f t="shared" si="2"/>
        <v>11956</v>
      </c>
      <c r="F71" s="150">
        <f t="shared" si="3"/>
        <v>2.9118363370677058</v>
      </c>
    </row>
    <row r="72" spans="1:7" ht="15" customHeight="1" x14ac:dyDescent="0.2">
      <c r="A72" s="141">
        <v>11</v>
      </c>
      <c r="B72" s="149" t="s">
        <v>211</v>
      </c>
      <c r="C72" s="146">
        <v>551982</v>
      </c>
      <c r="D72" s="146">
        <v>658744</v>
      </c>
      <c r="E72" s="146">
        <f t="shared" si="2"/>
        <v>106762</v>
      </c>
      <c r="F72" s="150">
        <f t="shared" si="3"/>
        <v>0.19341572732444173</v>
      </c>
    </row>
    <row r="73" spans="1:7" ht="15" customHeight="1" x14ac:dyDescent="0.2">
      <c r="A73" s="141">
        <v>12</v>
      </c>
      <c r="B73" s="149" t="s">
        <v>212</v>
      </c>
      <c r="C73" s="146">
        <v>941651</v>
      </c>
      <c r="D73" s="146">
        <v>1058885</v>
      </c>
      <c r="E73" s="146">
        <f t="shared" si="2"/>
        <v>117234</v>
      </c>
      <c r="F73" s="150">
        <f t="shared" si="3"/>
        <v>0.12449835448589765</v>
      </c>
    </row>
    <row r="74" spans="1:7" ht="15" customHeight="1" x14ac:dyDescent="0.2">
      <c r="A74" s="141">
        <v>13</v>
      </c>
      <c r="B74" s="149" t="s">
        <v>213</v>
      </c>
      <c r="C74" s="146">
        <v>244360</v>
      </c>
      <c r="D74" s="146">
        <v>232430</v>
      </c>
      <c r="E74" s="146">
        <f t="shared" si="2"/>
        <v>-11930</v>
      </c>
      <c r="F74" s="150">
        <f t="shared" si="3"/>
        <v>-4.8821411032902273E-2</v>
      </c>
    </row>
    <row r="75" spans="1:7" ht="15" customHeight="1" x14ac:dyDescent="0.2">
      <c r="A75" s="141">
        <v>14</v>
      </c>
      <c r="B75" s="149" t="s">
        <v>214</v>
      </c>
      <c r="C75" s="146">
        <v>201740</v>
      </c>
      <c r="D75" s="146">
        <v>243793</v>
      </c>
      <c r="E75" s="146">
        <f t="shared" si="2"/>
        <v>42053</v>
      </c>
      <c r="F75" s="150">
        <f t="shared" si="3"/>
        <v>0.20845147219193022</v>
      </c>
    </row>
    <row r="76" spans="1:7" ht="15" customHeight="1" x14ac:dyDescent="0.2">
      <c r="A76" s="141">
        <v>15</v>
      </c>
      <c r="B76" s="149" t="s">
        <v>215</v>
      </c>
      <c r="C76" s="146">
        <v>1510122</v>
      </c>
      <c r="D76" s="146">
        <v>1698820</v>
      </c>
      <c r="E76" s="146">
        <f t="shared" si="2"/>
        <v>188698</v>
      </c>
      <c r="F76" s="150">
        <f t="shared" si="3"/>
        <v>0.12495546717417533</v>
      </c>
    </row>
    <row r="77" spans="1:7" ht="15" customHeight="1" x14ac:dyDescent="0.2">
      <c r="A77" s="141">
        <v>16</v>
      </c>
      <c r="B77" s="149" t="s">
        <v>216</v>
      </c>
      <c r="C77" s="146">
        <v>35084725</v>
      </c>
      <c r="D77" s="146">
        <v>41904917</v>
      </c>
      <c r="E77" s="146">
        <f t="shared" si="2"/>
        <v>6820192</v>
      </c>
      <c r="F77" s="150">
        <f t="shared" si="3"/>
        <v>0.19439206093249983</v>
      </c>
    </row>
    <row r="78" spans="1:7" ht="15.75" customHeight="1" x14ac:dyDescent="0.25">
      <c r="A78" s="141"/>
      <c r="B78" s="151" t="s">
        <v>217</v>
      </c>
      <c r="C78" s="147">
        <f>SUM(C62:C77)</f>
        <v>52893065</v>
      </c>
      <c r="D78" s="147">
        <f>SUM(D62:D77)</f>
        <v>61925156</v>
      </c>
      <c r="E78" s="147">
        <f t="shared" si="2"/>
        <v>9032091</v>
      </c>
      <c r="F78" s="148">
        <f t="shared" si="3"/>
        <v>0.1707613465016633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321077894</v>
      </c>
      <c r="D83" s="147">
        <f>+D81+D78+D59+D50+D47+D44+D41+D35+D30+D24+D18</f>
        <v>337444501</v>
      </c>
      <c r="E83" s="147">
        <f>+D83-C83</f>
        <v>16366607</v>
      </c>
      <c r="F83" s="148">
        <f>IF(C83=0,0,E83/C83)</f>
        <v>5.0973945281950803E-2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66420144</v>
      </c>
      <c r="D91" s="146">
        <v>69932664</v>
      </c>
      <c r="E91" s="146">
        <f t="shared" ref="E91:E109" si="4">D91-C91</f>
        <v>3512520</v>
      </c>
      <c r="F91" s="150">
        <f t="shared" ref="F91:F109" si="5">IF(C91=0,0,E91/C91)</f>
        <v>5.2883354182429954E-2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2714159</v>
      </c>
      <c r="D92" s="146">
        <v>2828786</v>
      </c>
      <c r="E92" s="146">
        <f t="shared" si="4"/>
        <v>114627</v>
      </c>
      <c r="F92" s="150">
        <f t="shared" si="5"/>
        <v>4.2232971612937931E-2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3855461</v>
      </c>
      <c r="D93" s="146">
        <v>4288022</v>
      </c>
      <c r="E93" s="146">
        <f t="shared" si="4"/>
        <v>432561</v>
      </c>
      <c r="F93" s="150">
        <f t="shared" si="5"/>
        <v>0.11219436534308089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1896944</v>
      </c>
      <c r="D94" s="146">
        <v>1937284</v>
      </c>
      <c r="E94" s="146">
        <f t="shared" si="4"/>
        <v>40340</v>
      </c>
      <c r="F94" s="150">
        <f t="shared" si="5"/>
        <v>2.1265783280898117E-2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7060335</v>
      </c>
      <c r="D95" s="146">
        <v>7519835</v>
      </c>
      <c r="E95" s="146">
        <f t="shared" si="4"/>
        <v>459500</v>
      </c>
      <c r="F95" s="150">
        <f t="shared" si="5"/>
        <v>6.5081897671994321E-2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197928</v>
      </c>
      <c r="D96" s="146">
        <v>206350</v>
      </c>
      <c r="E96" s="146">
        <f t="shared" si="4"/>
        <v>8422</v>
      </c>
      <c r="F96" s="150">
        <f t="shared" si="5"/>
        <v>4.2550826563194699E-2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3067328</v>
      </c>
      <c r="D97" s="146">
        <v>7360425</v>
      </c>
      <c r="E97" s="146">
        <f t="shared" si="4"/>
        <v>4293097</v>
      </c>
      <c r="F97" s="150">
        <f t="shared" si="5"/>
        <v>1.3996211034489954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3340226</v>
      </c>
      <c r="D98" s="146">
        <v>3475184</v>
      </c>
      <c r="E98" s="146">
        <f t="shared" si="4"/>
        <v>134958</v>
      </c>
      <c r="F98" s="150">
        <f t="shared" si="5"/>
        <v>4.0403852912946611E-2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1286034</v>
      </c>
      <c r="D99" s="146">
        <v>1218234</v>
      </c>
      <c r="E99" s="146">
        <f t="shared" si="4"/>
        <v>-67800</v>
      </c>
      <c r="F99" s="150">
        <f t="shared" si="5"/>
        <v>-5.2720223571071992E-2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4659824</v>
      </c>
      <c r="D100" s="146">
        <v>4718074</v>
      </c>
      <c r="E100" s="146">
        <f t="shared" si="4"/>
        <v>58250</v>
      </c>
      <c r="F100" s="150">
        <f t="shared" si="5"/>
        <v>1.2500472120835465E-2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4015993</v>
      </c>
      <c r="D101" s="146">
        <v>4110842</v>
      </c>
      <c r="E101" s="146">
        <f t="shared" si="4"/>
        <v>94849</v>
      </c>
      <c r="F101" s="150">
        <f t="shared" si="5"/>
        <v>2.3617820050981165E-2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1384638</v>
      </c>
      <c r="D102" s="146">
        <v>1339939</v>
      </c>
      <c r="E102" s="146">
        <f t="shared" si="4"/>
        <v>-44699</v>
      </c>
      <c r="F102" s="150">
        <f t="shared" si="5"/>
        <v>-3.2282083837075107E-2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6471959</v>
      </c>
      <c r="D103" s="146">
        <v>4944108</v>
      </c>
      <c r="E103" s="146">
        <f t="shared" si="4"/>
        <v>-1527851</v>
      </c>
      <c r="F103" s="150">
        <f t="shared" si="5"/>
        <v>-0.23607241640436843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1670025</v>
      </c>
      <c r="D104" s="146">
        <v>1655734</v>
      </c>
      <c r="E104" s="146">
        <f t="shared" si="4"/>
        <v>-14291</v>
      </c>
      <c r="F104" s="150">
        <f t="shared" si="5"/>
        <v>-8.5573569257945247E-3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4966921</v>
      </c>
      <c r="D105" s="146">
        <v>5578717</v>
      </c>
      <c r="E105" s="146">
        <f t="shared" si="4"/>
        <v>611796</v>
      </c>
      <c r="F105" s="150">
        <f t="shared" si="5"/>
        <v>0.12317409517888446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1577901</v>
      </c>
      <c r="D106" s="146">
        <v>1503719</v>
      </c>
      <c r="E106" s="146">
        <f t="shared" si="4"/>
        <v>-74182</v>
      </c>
      <c r="F106" s="150">
        <f t="shared" si="5"/>
        <v>-4.7013088907352237E-2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10624546</v>
      </c>
      <c r="D107" s="146">
        <v>10469531</v>
      </c>
      <c r="E107" s="146">
        <f t="shared" si="4"/>
        <v>-155015</v>
      </c>
      <c r="F107" s="150">
        <f t="shared" si="5"/>
        <v>-1.4590270492499162E-2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21019113</v>
      </c>
      <c r="D108" s="146">
        <v>23416212</v>
      </c>
      <c r="E108" s="146">
        <f t="shared" si="4"/>
        <v>2397099</v>
      </c>
      <c r="F108" s="150">
        <f t="shared" si="5"/>
        <v>0.11404377530107955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146229479</v>
      </c>
      <c r="D109" s="147">
        <f>SUM(D91:D108)</f>
        <v>156503660</v>
      </c>
      <c r="E109" s="147">
        <f t="shared" si="4"/>
        <v>10274181</v>
      </c>
      <c r="F109" s="148">
        <f t="shared" si="5"/>
        <v>7.0260668849131305E-2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8178851</v>
      </c>
      <c r="D112" s="146">
        <v>8725965</v>
      </c>
      <c r="E112" s="146">
        <f t="shared" ref="E112:E118" si="6">D112-C112</f>
        <v>547114</v>
      </c>
      <c r="F112" s="150">
        <f t="shared" ref="F112:F118" si="7">IF(C112=0,0,E112/C112)</f>
        <v>6.6893748278333956E-2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5195502</v>
      </c>
      <c r="D113" s="146">
        <v>5481895</v>
      </c>
      <c r="E113" s="146">
        <f t="shared" si="6"/>
        <v>286393</v>
      </c>
      <c r="F113" s="150">
        <f t="shared" si="7"/>
        <v>5.5123258541715507E-2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3257966</v>
      </c>
      <c r="D114" s="146">
        <v>3077814</v>
      </c>
      <c r="E114" s="146">
        <f t="shared" si="6"/>
        <v>-180152</v>
      </c>
      <c r="F114" s="150">
        <f t="shared" si="7"/>
        <v>-5.5295850232936747E-2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2723642</v>
      </c>
      <c r="D115" s="146">
        <v>2469256</v>
      </c>
      <c r="E115" s="146">
        <f t="shared" si="6"/>
        <v>-254386</v>
      </c>
      <c r="F115" s="150">
        <f t="shared" si="7"/>
        <v>-9.3399205916196035E-2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1899954</v>
      </c>
      <c r="D116" s="146">
        <v>2746018</v>
      </c>
      <c r="E116" s="146">
        <f t="shared" si="6"/>
        <v>846064</v>
      </c>
      <c r="F116" s="150">
        <f t="shared" si="7"/>
        <v>0.44530762323719414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953200</v>
      </c>
      <c r="D117" s="146">
        <v>1023642</v>
      </c>
      <c r="E117" s="146">
        <f t="shared" si="6"/>
        <v>70442</v>
      </c>
      <c r="F117" s="150">
        <f t="shared" si="7"/>
        <v>7.3900545530843478E-2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22209115</v>
      </c>
      <c r="D118" s="147">
        <f>SUM(D112:D117)</f>
        <v>23524590</v>
      </c>
      <c r="E118" s="147">
        <f t="shared" si="6"/>
        <v>1315475</v>
      </c>
      <c r="F118" s="148">
        <f t="shared" si="7"/>
        <v>5.9231311108074322E-2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10049884</v>
      </c>
      <c r="D121" s="146">
        <v>9862320</v>
      </c>
      <c r="E121" s="146">
        <f t="shared" ref="E121:E155" si="8">D121-C121</f>
        <v>-187564</v>
      </c>
      <c r="F121" s="150">
        <f t="shared" ref="F121:F155" si="9">IF(C121=0,0,E121/C121)</f>
        <v>-1.866329999430839E-2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1921132</v>
      </c>
      <c r="D122" s="146">
        <v>2114154</v>
      </c>
      <c r="E122" s="146">
        <f t="shared" si="8"/>
        <v>193022</v>
      </c>
      <c r="F122" s="150">
        <f t="shared" si="9"/>
        <v>0.10047305442832663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924294</v>
      </c>
      <c r="D123" s="146">
        <v>876580</v>
      </c>
      <c r="E123" s="146">
        <f t="shared" si="8"/>
        <v>-47714</v>
      </c>
      <c r="F123" s="150">
        <f t="shared" si="9"/>
        <v>-5.1622102923961424E-2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2726583</v>
      </c>
      <c r="D124" s="146">
        <v>2880373</v>
      </c>
      <c r="E124" s="146">
        <f t="shared" si="8"/>
        <v>153790</v>
      </c>
      <c r="F124" s="150">
        <f t="shared" si="9"/>
        <v>5.6403931220872422E-2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4389543</v>
      </c>
      <c r="D125" s="146">
        <v>4181436</v>
      </c>
      <c r="E125" s="146">
        <f t="shared" si="8"/>
        <v>-208107</v>
      </c>
      <c r="F125" s="150">
        <f t="shared" si="9"/>
        <v>-4.7409718961632222E-2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631721</v>
      </c>
      <c r="D126" s="146">
        <v>849126</v>
      </c>
      <c r="E126" s="146">
        <f t="shared" si="8"/>
        <v>217405</v>
      </c>
      <c r="F126" s="150">
        <f t="shared" si="9"/>
        <v>0.34414717889701307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1047241</v>
      </c>
      <c r="D127" s="146">
        <v>964435</v>
      </c>
      <c r="E127" s="146">
        <f t="shared" si="8"/>
        <v>-82806</v>
      </c>
      <c r="F127" s="150">
        <f t="shared" si="9"/>
        <v>-7.9070624622221627E-2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1004316</v>
      </c>
      <c r="D128" s="146">
        <v>938495</v>
      </c>
      <c r="E128" s="146">
        <f t="shared" si="8"/>
        <v>-65821</v>
      </c>
      <c r="F128" s="150">
        <f t="shared" si="9"/>
        <v>-6.5538137398985979E-2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1397002</v>
      </c>
      <c r="D129" s="146">
        <v>1457969</v>
      </c>
      <c r="E129" s="146">
        <f t="shared" si="8"/>
        <v>60967</v>
      </c>
      <c r="F129" s="150">
        <f t="shared" si="9"/>
        <v>4.3641311895043812E-2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10690742</v>
      </c>
      <c r="D130" s="146">
        <v>11741458</v>
      </c>
      <c r="E130" s="146">
        <f t="shared" si="8"/>
        <v>1050716</v>
      </c>
      <c r="F130" s="150">
        <f t="shared" si="9"/>
        <v>9.8282794589935857E-2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1166883</v>
      </c>
      <c r="D133" s="146">
        <v>1185496</v>
      </c>
      <c r="E133" s="146">
        <f t="shared" si="8"/>
        <v>18613</v>
      </c>
      <c r="F133" s="150">
        <f t="shared" si="9"/>
        <v>1.5951042221028156E-2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157536</v>
      </c>
      <c r="D134" s="146">
        <v>195096</v>
      </c>
      <c r="E134" s="146">
        <f t="shared" si="8"/>
        <v>37560</v>
      </c>
      <c r="F134" s="150">
        <f t="shared" si="9"/>
        <v>0.23842169408897013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207865</v>
      </c>
      <c r="D137" s="146">
        <v>241806</v>
      </c>
      <c r="E137" s="146">
        <f t="shared" si="8"/>
        <v>33941</v>
      </c>
      <c r="F137" s="150">
        <f t="shared" si="9"/>
        <v>0.16328386212205037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2043909</v>
      </c>
      <c r="D138" s="146">
        <v>1950612</v>
      </c>
      <c r="E138" s="146">
        <f t="shared" si="8"/>
        <v>-93297</v>
      </c>
      <c r="F138" s="150">
        <f t="shared" si="9"/>
        <v>-4.5646357054056709E-2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732700</v>
      </c>
      <c r="D139" s="146">
        <v>872581</v>
      </c>
      <c r="E139" s="146">
        <f t="shared" si="8"/>
        <v>139881</v>
      </c>
      <c r="F139" s="150">
        <f t="shared" si="9"/>
        <v>0.19091169646512898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1027150</v>
      </c>
      <c r="D140" s="146">
        <v>1156362</v>
      </c>
      <c r="E140" s="146">
        <f t="shared" si="8"/>
        <v>129212</v>
      </c>
      <c r="F140" s="150">
        <f t="shared" si="9"/>
        <v>0.12579662172029402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3473640</v>
      </c>
      <c r="D142" s="146">
        <v>3448400</v>
      </c>
      <c r="E142" s="146">
        <f t="shared" si="8"/>
        <v>-25240</v>
      </c>
      <c r="F142" s="150">
        <f t="shared" si="9"/>
        <v>-7.2661530843725888E-3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676321</v>
      </c>
      <c r="D143" s="146">
        <v>692865</v>
      </c>
      <c r="E143" s="146">
        <f t="shared" si="8"/>
        <v>16544</v>
      </c>
      <c r="F143" s="150">
        <f t="shared" si="9"/>
        <v>2.44617570650623E-2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11290959</v>
      </c>
      <c r="D144" s="146">
        <v>11362245</v>
      </c>
      <c r="E144" s="146">
        <f t="shared" si="8"/>
        <v>71286</v>
      </c>
      <c r="F144" s="150">
        <f t="shared" si="9"/>
        <v>6.3135469715194254E-3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5026364</v>
      </c>
      <c r="D145" s="146">
        <v>5070241</v>
      </c>
      <c r="E145" s="146">
        <f t="shared" si="8"/>
        <v>43877</v>
      </c>
      <c r="F145" s="150">
        <f t="shared" si="9"/>
        <v>8.7293717685388485E-3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675775</v>
      </c>
      <c r="D146" s="146">
        <v>491390</v>
      </c>
      <c r="E146" s="146">
        <f t="shared" si="8"/>
        <v>-184385</v>
      </c>
      <c r="F146" s="150">
        <f t="shared" si="9"/>
        <v>-0.27284969109540896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3343425</v>
      </c>
      <c r="D148" s="146">
        <v>2997291</v>
      </c>
      <c r="E148" s="146">
        <f t="shared" si="8"/>
        <v>-346134</v>
      </c>
      <c r="F148" s="150">
        <f t="shared" si="9"/>
        <v>-0.10352677269566388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1633649</v>
      </c>
      <c r="D149" s="146">
        <v>1511668</v>
      </c>
      <c r="E149" s="146">
        <f t="shared" si="8"/>
        <v>-121981</v>
      </c>
      <c r="F149" s="150">
        <f t="shared" si="9"/>
        <v>-7.4667814199990329E-2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4391700</v>
      </c>
      <c r="D151" s="146">
        <v>5782421</v>
      </c>
      <c r="E151" s="146">
        <f t="shared" si="8"/>
        <v>1390721</v>
      </c>
      <c r="F151" s="150">
        <f t="shared" si="9"/>
        <v>0.31667030990277112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5842201</v>
      </c>
      <c r="D152" s="146">
        <v>5906229</v>
      </c>
      <c r="E152" s="146">
        <f t="shared" si="8"/>
        <v>64028</v>
      </c>
      <c r="F152" s="150">
        <f t="shared" si="9"/>
        <v>1.0959568149058891E-2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338653</v>
      </c>
      <c r="D153" s="146">
        <v>303387</v>
      </c>
      <c r="E153" s="146">
        <f t="shared" si="8"/>
        <v>-35266</v>
      </c>
      <c r="F153" s="150">
        <f t="shared" si="9"/>
        <v>-0.10413609210607909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13223785</v>
      </c>
      <c r="D154" s="146">
        <v>13616377</v>
      </c>
      <c r="E154" s="146">
        <f t="shared" si="8"/>
        <v>392592</v>
      </c>
      <c r="F154" s="150">
        <f t="shared" si="9"/>
        <v>2.9688322972583114E-2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90034973</v>
      </c>
      <c r="D155" s="147">
        <f>SUM(D121:D154)</f>
        <v>92650813</v>
      </c>
      <c r="E155" s="147">
        <f t="shared" si="8"/>
        <v>2615840</v>
      </c>
      <c r="F155" s="148">
        <f t="shared" si="9"/>
        <v>2.9053598983141807E-2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14158637</v>
      </c>
      <c r="D158" s="146">
        <v>14371729</v>
      </c>
      <c r="E158" s="146">
        <f t="shared" ref="E158:E171" si="10">D158-C158</f>
        <v>213092</v>
      </c>
      <c r="F158" s="150">
        <f t="shared" ref="F158:F171" si="11">IF(C158=0,0,E158/C158)</f>
        <v>1.5050318755964999E-2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4677953</v>
      </c>
      <c r="D159" s="146">
        <v>4533737</v>
      </c>
      <c r="E159" s="146">
        <f t="shared" si="10"/>
        <v>-144216</v>
      </c>
      <c r="F159" s="150">
        <f t="shared" si="11"/>
        <v>-3.0828868951868479E-2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5511147</v>
      </c>
      <c r="D160" s="146">
        <v>5221996</v>
      </c>
      <c r="E160" s="146">
        <f t="shared" si="10"/>
        <v>-289151</v>
      </c>
      <c r="F160" s="150">
        <f t="shared" si="11"/>
        <v>-5.246657365517559E-2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2247441</v>
      </c>
      <c r="D161" s="146">
        <v>2318148</v>
      </c>
      <c r="E161" s="146">
        <f t="shared" si="10"/>
        <v>70707</v>
      </c>
      <c r="F161" s="150">
        <f t="shared" si="11"/>
        <v>3.1461115108249782E-2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1689604</v>
      </c>
      <c r="D162" s="146">
        <v>1378857</v>
      </c>
      <c r="E162" s="146">
        <f t="shared" si="10"/>
        <v>-310747</v>
      </c>
      <c r="F162" s="150">
        <f t="shared" si="11"/>
        <v>-0.18391705985544543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4747489</v>
      </c>
      <c r="D163" s="146">
        <v>4571321</v>
      </c>
      <c r="E163" s="146">
        <f t="shared" si="10"/>
        <v>-176168</v>
      </c>
      <c r="F163" s="150">
        <f t="shared" si="11"/>
        <v>-3.710761625777332E-2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51669</v>
      </c>
      <c r="D164" s="146">
        <v>111211</v>
      </c>
      <c r="E164" s="146">
        <f t="shared" si="10"/>
        <v>59542</v>
      </c>
      <c r="F164" s="150">
        <f t="shared" si="11"/>
        <v>1.1523737637655074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1555116</v>
      </c>
      <c r="D165" s="146">
        <v>1575394</v>
      </c>
      <c r="E165" s="146">
        <f t="shared" si="10"/>
        <v>20278</v>
      </c>
      <c r="F165" s="150">
        <f t="shared" si="11"/>
        <v>1.3039541744795886E-2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2520130</v>
      </c>
      <c r="D166" s="146">
        <v>2463928</v>
      </c>
      <c r="E166" s="146">
        <f t="shared" si="10"/>
        <v>-56202</v>
      </c>
      <c r="F166" s="150">
        <f t="shared" si="11"/>
        <v>-2.230123049207779E-2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3688608</v>
      </c>
      <c r="D167" s="146">
        <v>3438117</v>
      </c>
      <c r="E167" s="146">
        <f t="shared" si="10"/>
        <v>-250491</v>
      </c>
      <c r="F167" s="150">
        <f t="shared" si="11"/>
        <v>-6.7909357676391738E-2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755764</v>
      </c>
      <c r="D169" s="146">
        <v>1525305</v>
      </c>
      <c r="E169" s="146">
        <f t="shared" si="10"/>
        <v>769541</v>
      </c>
      <c r="F169" s="150">
        <f t="shared" si="11"/>
        <v>1.0182292355814777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41603558</v>
      </c>
      <c r="D171" s="147">
        <f>SUM(D158:D170)</f>
        <v>41509743</v>
      </c>
      <c r="E171" s="147">
        <f t="shared" si="10"/>
        <v>-93815</v>
      </c>
      <c r="F171" s="148">
        <f t="shared" si="11"/>
        <v>-2.2549754037863782E-3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21000769</v>
      </c>
      <c r="D174" s="146">
        <v>23255695</v>
      </c>
      <c r="E174" s="146">
        <f>D174-C174</f>
        <v>2254926</v>
      </c>
      <c r="F174" s="150">
        <f>IF(C174=0,0,E174/C174)</f>
        <v>0.10737349665624149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321077894</v>
      </c>
      <c r="D176" s="147">
        <f>+D174+D171+D155+D118+D109</f>
        <v>337444501</v>
      </c>
      <c r="E176" s="147">
        <f>D176-C176</f>
        <v>16366607</v>
      </c>
      <c r="F176" s="148">
        <f>IF(C176=0,0,E176/C176)</f>
        <v>5.0973945281950803E-2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FILING&amp;RNORWALK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298446744</v>
      </c>
      <c r="D11" s="164">
        <v>322749162</v>
      </c>
      <c r="E11" s="51">
        <v>326580262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14526110</v>
      </c>
      <c r="D12" s="49">
        <v>12251535</v>
      </c>
      <c r="E12" s="49">
        <v>13756910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312972854</v>
      </c>
      <c r="D13" s="51">
        <f>+D11+D12</f>
        <v>335000697</v>
      </c>
      <c r="E13" s="51">
        <f>+E11+E12</f>
        <v>340337172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306099959</v>
      </c>
      <c r="D14" s="49">
        <v>321077894</v>
      </c>
      <c r="E14" s="49">
        <v>337444501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6872895</v>
      </c>
      <c r="D15" s="51">
        <f>+D13-D14</f>
        <v>13922803</v>
      </c>
      <c r="E15" s="51">
        <f>+E13-E14</f>
        <v>2892671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1391372</v>
      </c>
      <c r="D16" s="49">
        <v>1080679</v>
      </c>
      <c r="E16" s="49">
        <v>2351981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8264267</v>
      </c>
      <c r="D17" s="51">
        <f>D15+D16</f>
        <v>15003482</v>
      </c>
      <c r="E17" s="51">
        <f>E15+E16</f>
        <v>5244652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2.1862840716487888E-2</v>
      </c>
      <c r="D20" s="169">
        <f>IF(+D27=0,0,+D24/+D27)</f>
        <v>4.1426880494562127E-2</v>
      </c>
      <c r="E20" s="169">
        <f>IF(+E27=0,0,+E24/+E27)</f>
        <v>8.4410929691725606E-3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4.4259870714424103E-3</v>
      </c>
      <c r="D21" s="169">
        <f>IF(D27=0,0,+D26/D27)</f>
        <v>3.2155277774154317E-3</v>
      </c>
      <c r="E21" s="169">
        <f>IF(E27=0,0,+E26/E27)</f>
        <v>6.8633074009202735E-3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2.6288827787930298E-2</v>
      </c>
      <c r="D22" s="169">
        <f>IF(D27=0,0,+D28/D27)</f>
        <v>4.464240827197756E-2</v>
      </c>
      <c r="E22" s="169">
        <f>IF(E27=0,0,+E28/E27)</f>
        <v>1.5304400370092834E-2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6872895</v>
      </c>
      <c r="D24" s="51">
        <f>+D15</f>
        <v>13922803</v>
      </c>
      <c r="E24" s="51">
        <f>+E15</f>
        <v>2892671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312972854</v>
      </c>
      <c r="D25" s="51">
        <f>+D13</f>
        <v>335000697</v>
      </c>
      <c r="E25" s="51">
        <f>+E13</f>
        <v>340337172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1391372</v>
      </c>
      <c r="D26" s="51">
        <f>+D16</f>
        <v>1080679</v>
      </c>
      <c r="E26" s="51">
        <f>+E16</f>
        <v>2351981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314364226</v>
      </c>
      <c r="D27" s="51">
        <f>+D25+D26</f>
        <v>336081376</v>
      </c>
      <c r="E27" s="51">
        <f>+E25+E26</f>
        <v>342689153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8264267</v>
      </c>
      <c r="D28" s="51">
        <f>+D17</f>
        <v>15003482</v>
      </c>
      <c r="E28" s="51">
        <f>+E17</f>
        <v>5244652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139898660</v>
      </c>
      <c r="D31" s="51">
        <v>125849836</v>
      </c>
      <c r="E31" s="51">
        <v>111900976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164271153</v>
      </c>
      <c r="D32" s="51">
        <v>148919922</v>
      </c>
      <c r="E32" s="51">
        <v>135176638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-13645453</v>
      </c>
      <c r="D33" s="51">
        <f>+D32-C32</f>
        <v>-15351231</v>
      </c>
      <c r="E33" s="51">
        <f>+E32-D32</f>
        <v>-13743284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0.92330000000000001</v>
      </c>
      <c r="D34" s="171">
        <f>IF(C32=0,0,+D33/C32)</f>
        <v>-9.345055854085349E-2</v>
      </c>
      <c r="E34" s="171">
        <f>IF(D32=0,0,+E33/D32)</f>
        <v>-9.2286403426937058E-2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0.46882875033446991</v>
      </c>
      <c r="D38" s="172">
        <f>IF((D40+D41)=0,0,+D39/(D40+D41))</f>
        <v>0.47614152297774587</v>
      </c>
      <c r="E38" s="172">
        <f>IF((E40+E41)=0,0,+E39/(E40+E41))</f>
        <v>0.4470710497208264</v>
      </c>
      <c r="F38" s="5"/>
    </row>
    <row r="39" spans="1:6" ht="24" customHeight="1" x14ac:dyDescent="0.2">
      <c r="A39" s="21">
        <v>2</v>
      </c>
      <c r="B39" s="48" t="s">
        <v>324</v>
      </c>
      <c r="C39" s="51">
        <v>284280175</v>
      </c>
      <c r="D39" s="51">
        <v>321077894</v>
      </c>
      <c r="E39" s="23">
        <v>337444501</v>
      </c>
      <c r="F39" s="5"/>
    </row>
    <row r="40" spans="1:6" ht="24" customHeight="1" x14ac:dyDescent="0.2">
      <c r="A40" s="21">
        <v>3</v>
      </c>
      <c r="B40" s="48" t="s">
        <v>325</v>
      </c>
      <c r="C40" s="51">
        <v>593088128</v>
      </c>
      <c r="D40" s="51">
        <v>662081365</v>
      </c>
      <c r="E40" s="23">
        <v>741032516</v>
      </c>
      <c r="F40" s="5"/>
    </row>
    <row r="41" spans="1:6" ht="24" customHeight="1" x14ac:dyDescent="0.2">
      <c r="A41" s="21">
        <v>4</v>
      </c>
      <c r="B41" s="48" t="s">
        <v>326</v>
      </c>
      <c r="C41" s="51">
        <v>13274376</v>
      </c>
      <c r="D41" s="51">
        <v>12251535</v>
      </c>
      <c r="E41" s="23">
        <v>13756910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1.4109919545597611</v>
      </c>
      <c r="D43" s="173">
        <f>IF(D38=0,0,IF((D46-D47)=0,0,((+D44-D45)/(D46-D47)/D38)))</f>
        <v>1.3149754792484336</v>
      </c>
      <c r="E43" s="173">
        <f>IF(E38=0,0,IF((E46-E47)=0,0,((+E44-E45)/(E46-E47)/E38)))</f>
        <v>1.2724347780732059</v>
      </c>
      <c r="F43" s="5"/>
    </row>
    <row r="44" spans="1:6" ht="24" customHeight="1" x14ac:dyDescent="0.2">
      <c r="A44" s="21">
        <v>6</v>
      </c>
      <c r="B44" s="48" t="s">
        <v>328</v>
      </c>
      <c r="C44" s="51">
        <v>162561770</v>
      </c>
      <c r="D44" s="51">
        <v>174745433</v>
      </c>
      <c r="E44" s="23">
        <v>168475827</v>
      </c>
      <c r="F44" s="5"/>
    </row>
    <row r="45" spans="1:6" ht="24" customHeight="1" x14ac:dyDescent="0.2">
      <c r="A45" s="21">
        <v>7</v>
      </c>
      <c r="B45" s="48" t="s">
        <v>329</v>
      </c>
      <c r="C45" s="51">
        <v>3015295</v>
      </c>
      <c r="D45" s="51">
        <v>3114640</v>
      </c>
      <c r="E45" s="23">
        <v>2534635</v>
      </c>
      <c r="F45" s="5"/>
    </row>
    <row r="46" spans="1:6" ht="24" customHeight="1" x14ac:dyDescent="0.2">
      <c r="A46" s="21">
        <v>8</v>
      </c>
      <c r="B46" s="48" t="s">
        <v>330</v>
      </c>
      <c r="C46" s="51">
        <v>274122370</v>
      </c>
      <c r="D46" s="51">
        <v>307382397</v>
      </c>
      <c r="E46" s="23">
        <v>325314726</v>
      </c>
      <c r="F46" s="5"/>
    </row>
    <row r="47" spans="1:6" ht="24" customHeight="1" x14ac:dyDescent="0.2">
      <c r="A47" s="21">
        <v>9</v>
      </c>
      <c r="B47" s="48" t="s">
        <v>331</v>
      </c>
      <c r="C47" s="51">
        <v>32938400</v>
      </c>
      <c r="D47" s="51">
        <v>33261908</v>
      </c>
      <c r="E47" s="174">
        <v>33610899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0.77779394285187498</v>
      </c>
      <c r="D49" s="175">
        <f>IF(D38=0,0,IF(D51=0,0,(D50/D51)/D38))</f>
        <v>0.74432920029412253</v>
      </c>
      <c r="E49" s="175">
        <f>IF(E38=0,0,IF(E51=0,0,(E50/E51)/E38))</f>
        <v>0.70179548799915026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94033543</v>
      </c>
      <c r="D50" s="176">
        <v>97923130</v>
      </c>
      <c r="E50" s="176">
        <v>99503449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257871892</v>
      </c>
      <c r="D51" s="176">
        <v>276302092</v>
      </c>
      <c r="E51" s="176">
        <v>317139995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0.64976570130823808</v>
      </c>
      <c r="D53" s="175">
        <f>IF(D38=0,0,IF(D55=0,0,(D54/D55)/D38))</f>
        <v>0.59692382064946126</v>
      </c>
      <c r="E53" s="175">
        <f>IF(E38=0,0,IF(E55=0,0,(E54/E55)/E38))</f>
        <v>0.57934194940872763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15238511</v>
      </c>
      <c r="D54" s="176">
        <v>17266767</v>
      </c>
      <c r="E54" s="176">
        <v>22926292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50023205</v>
      </c>
      <c r="D55" s="176">
        <v>60751368</v>
      </c>
      <c r="E55" s="176">
        <v>88516105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15740080.463071724</v>
      </c>
      <c r="D57" s="53">
        <f>+D60*D38</f>
        <v>18357526.429715183</v>
      </c>
      <c r="E57" s="53">
        <f>+E60*E38</f>
        <v>18455850.717904989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17183886</v>
      </c>
      <c r="D58" s="51">
        <v>17554000</v>
      </c>
      <c r="E58" s="52">
        <v>18026000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16389312</v>
      </c>
      <c r="D59" s="51">
        <v>21000769</v>
      </c>
      <c r="E59" s="52">
        <v>23255695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33573198</v>
      </c>
      <c r="D60" s="51">
        <v>38554769</v>
      </c>
      <c r="E60" s="52">
        <v>41281695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5.5368196051911553E-2</v>
      </c>
      <c r="D62" s="178">
        <f>IF(D63=0,0,+D57/D63)</f>
        <v>5.7174681822583472E-2</v>
      </c>
      <c r="E62" s="178">
        <f>IF(E63=0,0,+E57/E63)</f>
        <v>5.4692995924402361E-2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284280175</v>
      </c>
      <c r="D63" s="176">
        <v>321077894</v>
      </c>
      <c r="E63" s="176">
        <v>337444501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1.5888818929367783</v>
      </c>
      <c r="D67" s="179">
        <f>IF(D69=0,0,D68/D69)</f>
        <v>2.304775951862994</v>
      </c>
      <c r="E67" s="179">
        <f>IF(E69=0,0,E68/E69)</f>
        <v>2.0543075022142743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63417928</v>
      </c>
      <c r="D68" s="180">
        <v>81118604</v>
      </c>
      <c r="E68" s="180">
        <v>81491821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39913557</v>
      </c>
      <c r="D69" s="180">
        <v>35195874</v>
      </c>
      <c r="E69" s="180">
        <v>39668755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1.0310987014450623</v>
      </c>
      <c r="D71" s="181">
        <f>IF((D77/365)=0,0,+D74/(D77/365))</f>
        <v>29.433538405077368</v>
      </c>
      <c r="E71" s="181">
        <f>IF((E77/365)=0,0,+E74/(E77/365))</f>
        <v>40.189884733172747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788428</v>
      </c>
      <c r="D72" s="182">
        <v>15790395</v>
      </c>
      <c r="E72" s="182">
        <v>26310543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29387</v>
      </c>
      <c r="D73" s="184">
        <v>8601698</v>
      </c>
      <c r="E73" s="184">
        <v>8655334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817815</v>
      </c>
      <c r="D74" s="180">
        <f>+D72+D73</f>
        <v>24392093</v>
      </c>
      <c r="E74" s="180">
        <f>+E72+E73</f>
        <v>34965877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306099959</v>
      </c>
      <c r="D75" s="180">
        <f>+D14</f>
        <v>321077894</v>
      </c>
      <c r="E75" s="180">
        <f>+E14</f>
        <v>337444501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16600540</v>
      </c>
      <c r="D76" s="180">
        <v>18595949</v>
      </c>
      <c r="E76" s="180">
        <v>19888350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289499419</v>
      </c>
      <c r="D77" s="180">
        <f>+D75-D76</f>
        <v>302481945</v>
      </c>
      <c r="E77" s="180">
        <f>+E75-E76</f>
        <v>317556151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50.74191065726621</v>
      </c>
      <c r="D79" s="179">
        <f>IF((D84/365)=0,0,+D83/(D84/365))</f>
        <v>47.91886245083419</v>
      </c>
      <c r="E79" s="179">
        <f>IF((E84/365)=0,0,+E83/(E84/365))</f>
        <v>45.280218726139672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43332119</v>
      </c>
      <c r="D80" s="189">
        <v>42345864</v>
      </c>
      <c r="E80" s="189">
        <v>40941651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6164849</v>
      </c>
      <c r="D81" s="190">
        <v>1696670</v>
      </c>
      <c r="E81" s="190">
        <v>573584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8007220</v>
      </c>
      <c r="D82" s="190">
        <v>1670554</v>
      </c>
      <c r="E82" s="190">
        <v>1001192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41489748</v>
      </c>
      <c r="D83" s="191">
        <f>+D80+D81-D82</f>
        <v>42371980</v>
      </c>
      <c r="E83" s="191">
        <f>+E80+E81-E82</f>
        <v>40514043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298446744</v>
      </c>
      <c r="D84" s="191">
        <f>+D11</f>
        <v>322749162</v>
      </c>
      <c r="E84" s="191">
        <f>+E11</f>
        <v>326580262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50.322893065978832</v>
      </c>
      <c r="D86" s="179">
        <f>IF((D90/365)=0,0,+D87/(D90/365))</f>
        <v>42.470283672633748</v>
      </c>
      <c r="E86" s="179">
        <f>IF((E90/365)=0,0,+E87/(E90/365))</f>
        <v>45.595386924185256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39913557</v>
      </c>
      <c r="D87" s="51">
        <f>+D69</f>
        <v>35195874</v>
      </c>
      <c r="E87" s="51">
        <f>+E69</f>
        <v>39668755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306099959</v>
      </c>
      <c r="D88" s="51">
        <f t="shared" si="0"/>
        <v>321077894</v>
      </c>
      <c r="E88" s="51">
        <f t="shared" si="0"/>
        <v>337444501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16600540</v>
      </c>
      <c r="D89" s="52">
        <f t="shared" si="0"/>
        <v>18595949</v>
      </c>
      <c r="E89" s="52">
        <f t="shared" si="0"/>
        <v>19888350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289499419</v>
      </c>
      <c r="D90" s="51">
        <f>+D88-D89</f>
        <v>302481945</v>
      </c>
      <c r="E90" s="51">
        <f>+E88-E89</f>
        <v>317556151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62.582040681218196</v>
      </c>
      <c r="D94" s="192">
        <f>IF(D96=0,0,(D95/D96)*100)</f>
        <v>55.844770686109015</v>
      </c>
      <c r="E94" s="192">
        <f>IF(E96=0,0,(E95/E96)*100)</f>
        <v>51.387977294768703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164271153</v>
      </c>
      <c r="D95" s="51">
        <f>+D32</f>
        <v>148919922</v>
      </c>
      <c r="E95" s="51">
        <f>+E32</f>
        <v>135176638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262489288</v>
      </c>
      <c r="D96" s="51">
        <v>266667622</v>
      </c>
      <c r="E96" s="51">
        <v>263051097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42.054942735573398</v>
      </c>
      <c r="D98" s="192">
        <f>IF(D104=0,0,(D101/D104)*100)</f>
        <v>63.726880098556805</v>
      </c>
      <c r="E98" s="192">
        <f>IF(E104=0,0,(E101/E104)*100)</f>
        <v>45.356844899219581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8264267</v>
      </c>
      <c r="D99" s="51">
        <f>+D28</f>
        <v>15003482</v>
      </c>
      <c r="E99" s="51">
        <f>+E28</f>
        <v>5244652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16600540</v>
      </c>
      <c r="D100" s="52">
        <f>+D76</f>
        <v>18595949</v>
      </c>
      <c r="E100" s="52">
        <f>+E76</f>
        <v>19888350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24864807</v>
      </c>
      <c r="D101" s="51">
        <f>+D99+D100</f>
        <v>33599431</v>
      </c>
      <c r="E101" s="51">
        <f>+E99+E100</f>
        <v>25133002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39913557</v>
      </c>
      <c r="D102" s="180">
        <f>+D69</f>
        <v>35195874</v>
      </c>
      <c r="E102" s="180">
        <f>+E69</f>
        <v>39668755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19211020</v>
      </c>
      <c r="D103" s="194">
        <v>17528237</v>
      </c>
      <c r="E103" s="194">
        <v>15742952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59124577</v>
      </c>
      <c r="D104" s="180">
        <f>+D102+D103</f>
        <v>52724111</v>
      </c>
      <c r="E104" s="180">
        <f>+E102+E103</f>
        <v>55411707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10.470237890631479</v>
      </c>
      <c r="D106" s="197">
        <f>IF(D109=0,0,(D107/D109)*100)</f>
        <v>10.530748495692285</v>
      </c>
      <c r="E106" s="197">
        <f>IF(E109=0,0,(E107/E109)*100)</f>
        <v>10.431350893545364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19211020</v>
      </c>
      <c r="D107" s="180">
        <f>+D103</f>
        <v>17528237</v>
      </c>
      <c r="E107" s="180">
        <f>+E103</f>
        <v>15742952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164271153</v>
      </c>
      <c r="D108" s="180">
        <f>+D32</f>
        <v>148919922</v>
      </c>
      <c r="E108" s="180">
        <f>+E32</f>
        <v>135176638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183482173</v>
      </c>
      <c r="D109" s="180">
        <f>+D107+D108</f>
        <v>166448159</v>
      </c>
      <c r="E109" s="180">
        <f>+E107+E108</f>
        <v>150919590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45.805006162650734</v>
      </c>
      <c r="D111" s="197">
        <f>IF((+D113+D115)=0,0,((+D112+D113+D114)/(+D113+D115)))</f>
        <v>14.991468991440541</v>
      </c>
      <c r="E111" s="197">
        <f>IF((+E113+E115)=0,0,((+E112+E113+E114)/(+E113+E115)))</f>
        <v>10.535706987731215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8264267</v>
      </c>
      <c r="D112" s="180">
        <f>+D17</f>
        <v>15003482</v>
      </c>
      <c r="E112" s="180">
        <f>+E17</f>
        <v>5244652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554956</v>
      </c>
      <c r="D113" s="180">
        <v>651938</v>
      </c>
      <c r="E113" s="180">
        <v>646398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16600540</v>
      </c>
      <c r="D114" s="180">
        <v>18595949</v>
      </c>
      <c r="E114" s="180">
        <v>19888350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1632786</v>
      </c>
      <c r="E115" s="180">
        <v>1800462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13.870046396081092</v>
      </c>
      <c r="D119" s="197">
        <f>IF(+D121=0,0,(+D120)/(+D121))</f>
        <v>13.33573839119477</v>
      </c>
      <c r="E119" s="197">
        <f>IF(+E121=0,0,(+E120)/(+E121))</f>
        <v>13.130405488640335</v>
      </c>
    </row>
    <row r="120" spans="1:8" ht="24" customHeight="1" x14ac:dyDescent="0.25">
      <c r="A120" s="17">
        <v>21</v>
      </c>
      <c r="B120" s="48" t="s">
        <v>369</v>
      </c>
      <c r="C120" s="180">
        <v>230250260</v>
      </c>
      <c r="D120" s="180">
        <v>247990711</v>
      </c>
      <c r="E120" s="180">
        <v>261142100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16600540</v>
      </c>
      <c r="D121" s="180">
        <v>18595949</v>
      </c>
      <c r="E121" s="180">
        <v>19888350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77672</v>
      </c>
      <c r="D124" s="198">
        <v>71363</v>
      </c>
      <c r="E124" s="198">
        <v>69417</v>
      </c>
    </row>
    <row r="125" spans="1:8" ht="24" customHeight="1" x14ac:dyDescent="0.2">
      <c r="A125" s="44">
        <v>2</v>
      </c>
      <c r="B125" s="48" t="s">
        <v>373</v>
      </c>
      <c r="C125" s="198">
        <v>15301</v>
      </c>
      <c r="D125" s="198">
        <v>15332</v>
      </c>
      <c r="E125" s="198">
        <v>14483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5.0762695248676559</v>
      </c>
      <c r="D126" s="199">
        <f>IF(D125=0,0,D124/D125)</f>
        <v>4.6545134359509523</v>
      </c>
      <c r="E126" s="199">
        <f>IF(E125=0,0,E124/E125)</f>
        <v>4.7929986881171027</v>
      </c>
    </row>
    <row r="127" spans="1:8" ht="24" customHeight="1" x14ac:dyDescent="0.2">
      <c r="A127" s="44">
        <v>4</v>
      </c>
      <c r="B127" s="48" t="s">
        <v>375</v>
      </c>
      <c r="C127" s="198">
        <v>217</v>
      </c>
      <c r="D127" s="198">
        <v>200</v>
      </c>
      <c r="E127" s="198">
        <v>194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322</v>
      </c>
      <c r="E128" s="198">
        <v>312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366</v>
      </c>
      <c r="D129" s="198">
        <v>366</v>
      </c>
      <c r="E129" s="198">
        <v>366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0.98060000000000003</v>
      </c>
      <c r="D130" s="171">
        <v>0.97750000000000004</v>
      </c>
      <c r="E130" s="171">
        <v>0.98029999999999995</v>
      </c>
    </row>
    <row r="131" spans="1:8" ht="24" customHeight="1" x14ac:dyDescent="0.2">
      <c r="A131" s="44">
        <v>7</v>
      </c>
      <c r="B131" s="48" t="s">
        <v>379</v>
      </c>
      <c r="C131" s="171">
        <v>0.64480000000000004</v>
      </c>
      <c r="D131" s="171">
        <v>0.60709999999999997</v>
      </c>
      <c r="E131" s="171">
        <v>0.60950000000000004</v>
      </c>
    </row>
    <row r="132" spans="1:8" ht="24" customHeight="1" x14ac:dyDescent="0.2">
      <c r="A132" s="44">
        <v>8</v>
      </c>
      <c r="B132" s="48" t="s">
        <v>380</v>
      </c>
      <c r="C132" s="199">
        <v>1721.4</v>
      </c>
      <c r="D132" s="199">
        <v>1695.3</v>
      </c>
      <c r="E132" s="199">
        <v>1726.6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0.40665789553622628</v>
      </c>
      <c r="D135" s="203">
        <f>IF(D149=0,0,D143/D149)</f>
        <v>0.414028401176946</v>
      </c>
      <c r="E135" s="203">
        <f>IF(E149=0,0,E143/E149)</f>
        <v>0.3936451109791787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0.43479523501775441</v>
      </c>
      <c r="D136" s="203">
        <f>IF(D149=0,0,D144/D149)</f>
        <v>0.41732346899689587</v>
      </c>
      <c r="E136" s="203">
        <f>IF(E149=0,0,E144/E149)</f>
        <v>0.42797041715778095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8.4343628945477728E-2</v>
      </c>
      <c r="D137" s="203">
        <f>IF(D149=0,0,D145/D149)</f>
        <v>9.1758160267809377E-2</v>
      </c>
      <c r="E137" s="203">
        <f>IF(E149=0,0,E145/E149)</f>
        <v>0.11944969092287443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1.8165721907689239E-2</v>
      </c>
      <c r="D138" s="203">
        <f>IF(D149=0,0,D146/D149)</f>
        <v>2.5911806172040502E-2</v>
      </c>
      <c r="E138" s="203">
        <f>IF(E149=0,0,E146/E149)</f>
        <v>1.2857644967363349E-2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5.5537108980876444E-2</v>
      </c>
      <c r="D139" s="203">
        <f>IF(D149=0,0,D147/D149)</f>
        <v>5.0238399324228071E-2</v>
      </c>
      <c r="E139" s="203">
        <f>IF(E149=0,0,E147/E149)</f>
        <v>4.5356847741887751E-2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5.0040961197591195E-4</v>
      </c>
      <c r="D140" s="203">
        <f>IF(D149=0,0,D148/D149)</f>
        <v>7.3976406208019468E-4</v>
      </c>
      <c r="E140" s="203">
        <f>IF(E149=0,0,E148/E149)</f>
        <v>7.2028823091482266E-4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1.0000000000000002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241183970</v>
      </c>
      <c r="D143" s="205">
        <f>+D46-D147</f>
        <v>274120489</v>
      </c>
      <c r="E143" s="205">
        <f>+E46-E147</f>
        <v>291703827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257871892</v>
      </c>
      <c r="D144" s="205">
        <f>+D51</f>
        <v>276302092</v>
      </c>
      <c r="E144" s="205">
        <f>+E51</f>
        <v>317139995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50023205</v>
      </c>
      <c r="D145" s="205">
        <f>+D55</f>
        <v>60751368</v>
      </c>
      <c r="E145" s="205">
        <f>+E55</f>
        <v>88516105</v>
      </c>
    </row>
    <row r="146" spans="1:7" ht="20.100000000000001" customHeight="1" x14ac:dyDescent="0.2">
      <c r="A146" s="202">
        <v>11</v>
      </c>
      <c r="B146" s="201" t="s">
        <v>392</v>
      </c>
      <c r="C146" s="204">
        <v>10773874</v>
      </c>
      <c r="D146" s="205">
        <v>17155724</v>
      </c>
      <c r="E146" s="205">
        <v>9527933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32938400</v>
      </c>
      <c r="D147" s="205">
        <f>+D47</f>
        <v>33261908</v>
      </c>
      <c r="E147" s="205">
        <f>+E47</f>
        <v>33610899</v>
      </c>
    </row>
    <row r="148" spans="1:7" ht="20.100000000000001" customHeight="1" x14ac:dyDescent="0.2">
      <c r="A148" s="202">
        <v>13</v>
      </c>
      <c r="B148" s="201" t="s">
        <v>394</v>
      </c>
      <c r="C148" s="206">
        <v>296787</v>
      </c>
      <c r="D148" s="205">
        <v>489784</v>
      </c>
      <c r="E148" s="205">
        <v>533757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593088128</v>
      </c>
      <c r="D149" s="205">
        <f>SUM(D143:D148)</f>
        <v>662081365</v>
      </c>
      <c r="E149" s="205">
        <f>SUM(E143:E148)</f>
        <v>741032516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0.58145063560536725</v>
      </c>
      <c r="D152" s="203">
        <f>IF(D166=0,0,D160/D166)</f>
        <v>0.58586754866104518</v>
      </c>
      <c r="E152" s="203">
        <f>IF(E166=0,0,E160/E166)</f>
        <v>0.56562368326588341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0.34269552709061507</v>
      </c>
      <c r="D153" s="203">
        <f>IF(D166=0,0,D161/D166)</f>
        <v>0.33426393438802593</v>
      </c>
      <c r="E153" s="203">
        <f>IF(E166=0,0,E161/E166)</f>
        <v>0.33916537926905449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5.5535178114272853E-2</v>
      </c>
      <c r="D154" s="203">
        <f>IF(D166=0,0,D162/D166)</f>
        <v>5.8940696356226875E-2</v>
      </c>
      <c r="E154" s="203">
        <f>IF(E166=0,0,E162/E166)</f>
        <v>7.8146080357607395E-2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8.9393113352790824E-3</v>
      </c>
      <c r="D155" s="203">
        <f>IF(D166=0,0,D163/D166)</f>
        <v>9.4960727069362573E-3</v>
      </c>
      <c r="E155" s="203">
        <f>IF(E166=0,0,E163/E166)</f>
        <v>8.0337789918742738E-3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1.0988930932430103E-2</v>
      </c>
      <c r="D156" s="203">
        <f>IF(D166=0,0,D164/D166)</f>
        <v>1.0631929561507287E-2</v>
      </c>
      <c r="E156" s="203">
        <f>IF(E166=0,0,E164/E166)</f>
        <v>8.6395039541153993E-3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3.9041692203561245E-4</v>
      </c>
      <c r="D157" s="203">
        <f>IF(D166=0,0,D165/D166)</f>
        <v>7.998183262584598E-4</v>
      </c>
      <c r="E157" s="203">
        <f>IF(E166=0,0,E165/E166)</f>
        <v>3.9157416146499312E-4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159546475</v>
      </c>
      <c r="D160" s="208">
        <f>+D44-D164</f>
        <v>171630793</v>
      </c>
      <c r="E160" s="208">
        <f>+E44-E164</f>
        <v>165941192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94033543</v>
      </c>
      <c r="D161" s="208">
        <f>+D50</f>
        <v>97923130</v>
      </c>
      <c r="E161" s="208">
        <f>+E50</f>
        <v>99503449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15238511</v>
      </c>
      <c r="D162" s="208">
        <f>+D54</f>
        <v>17266767</v>
      </c>
      <c r="E162" s="208">
        <f>+E54</f>
        <v>22926292</v>
      </c>
    </row>
    <row r="163" spans="1:6" ht="20.100000000000001" customHeight="1" x14ac:dyDescent="0.2">
      <c r="A163" s="202">
        <v>11</v>
      </c>
      <c r="B163" s="201" t="s">
        <v>408</v>
      </c>
      <c r="C163" s="207">
        <v>2452892</v>
      </c>
      <c r="D163" s="208">
        <v>2781889</v>
      </c>
      <c r="E163" s="208">
        <v>2356929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3015295</v>
      </c>
      <c r="D164" s="208">
        <f>+D45</f>
        <v>3114640</v>
      </c>
      <c r="E164" s="208">
        <f>+E45</f>
        <v>2534635</v>
      </c>
    </row>
    <row r="165" spans="1:6" ht="20.100000000000001" customHeight="1" x14ac:dyDescent="0.2">
      <c r="A165" s="202">
        <v>13</v>
      </c>
      <c r="B165" s="201" t="s">
        <v>410</v>
      </c>
      <c r="C165" s="209">
        <v>107128</v>
      </c>
      <c r="D165" s="208">
        <v>234308</v>
      </c>
      <c r="E165" s="208">
        <v>114879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274393844</v>
      </c>
      <c r="D166" s="208">
        <f>SUM(D160:D165)</f>
        <v>292951527</v>
      </c>
      <c r="E166" s="208">
        <f>SUM(E160:E165)</f>
        <v>293377376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7137</v>
      </c>
      <c r="D169" s="198">
        <v>7052</v>
      </c>
      <c r="E169" s="198">
        <v>6117</v>
      </c>
    </row>
    <row r="170" spans="1:6" ht="20.100000000000001" customHeight="1" x14ac:dyDescent="0.2">
      <c r="A170" s="202">
        <v>2</v>
      </c>
      <c r="B170" s="201" t="s">
        <v>414</v>
      </c>
      <c r="C170" s="198">
        <v>5821</v>
      </c>
      <c r="D170" s="198">
        <v>5539</v>
      </c>
      <c r="E170" s="198">
        <v>5684</v>
      </c>
    </row>
    <row r="171" spans="1:6" ht="20.100000000000001" customHeight="1" x14ac:dyDescent="0.2">
      <c r="A171" s="202">
        <v>3</v>
      </c>
      <c r="B171" s="201" t="s">
        <v>415</v>
      </c>
      <c r="C171" s="198">
        <v>2335</v>
      </c>
      <c r="D171" s="198">
        <v>2730</v>
      </c>
      <c r="E171" s="198">
        <v>2673</v>
      </c>
    </row>
    <row r="172" spans="1:6" ht="20.100000000000001" customHeight="1" x14ac:dyDescent="0.2">
      <c r="A172" s="202">
        <v>4</v>
      </c>
      <c r="B172" s="201" t="s">
        <v>416</v>
      </c>
      <c r="C172" s="198">
        <v>1992</v>
      </c>
      <c r="D172" s="198">
        <v>2254</v>
      </c>
      <c r="E172" s="198">
        <v>2458</v>
      </c>
    </row>
    <row r="173" spans="1:6" ht="20.100000000000001" customHeight="1" x14ac:dyDescent="0.2">
      <c r="A173" s="202">
        <v>5</v>
      </c>
      <c r="B173" s="201" t="s">
        <v>417</v>
      </c>
      <c r="C173" s="198">
        <v>343</v>
      </c>
      <c r="D173" s="198">
        <v>476</v>
      </c>
      <c r="E173" s="198">
        <v>215</v>
      </c>
    </row>
    <row r="174" spans="1:6" ht="20.100000000000001" customHeight="1" x14ac:dyDescent="0.2">
      <c r="A174" s="202">
        <v>6</v>
      </c>
      <c r="B174" s="201" t="s">
        <v>418</v>
      </c>
      <c r="C174" s="198">
        <v>8</v>
      </c>
      <c r="D174" s="198">
        <v>11</v>
      </c>
      <c r="E174" s="198">
        <v>9</v>
      </c>
    </row>
    <row r="175" spans="1:6" ht="20.100000000000001" customHeight="1" x14ac:dyDescent="0.2">
      <c r="A175" s="202">
        <v>7</v>
      </c>
      <c r="B175" s="201" t="s">
        <v>419</v>
      </c>
      <c r="C175" s="198">
        <v>661</v>
      </c>
      <c r="D175" s="198">
        <v>527</v>
      </c>
      <c r="E175" s="198">
        <v>426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15301</v>
      </c>
      <c r="D176" s="198">
        <f>+D169+D170+D171+D174</f>
        <v>15332</v>
      </c>
      <c r="E176" s="198">
        <f>+E169+E170+E171+E174</f>
        <v>14483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0.9728</v>
      </c>
      <c r="D179" s="210">
        <v>0.9718</v>
      </c>
      <c r="E179" s="210">
        <v>1.00613</v>
      </c>
    </row>
    <row r="180" spans="1:6" ht="20.100000000000001" customHeight="1" x14ac:dyDescent="0.2">
      <c r="A180" s="202">
        <v>2</v>
      </c>
      <c r="B180" s="201" t="s">
        <v>414</v>
      </c>
      <c r="C180" s="210">
        <v>1.4188000000000001</v>
      </c>
      <c r="D180" s="210">
        <v>1.4787999999999999</v>
      </c>
      <c r="E180" s="210">
        <v>1.4781299999999999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0.81959800000000005</v>
      </c>
      <c r="D181" s="210">
        <v>0.83933199999999997</v>
      </c>
      <c r="E181" s="210">
        <v>0.90314399999999995</v>
      </c>
    </row>
    <row r="182" spans="1:6" ht="20.100000000000001" customHeight="1" x14ac:dyDescent="0.2">
      <c r="A182" s="202">
        <v>4</v>
      </c>
      <c r="B182" s="201" t="s">
        <v>416</v>
      </c>
      <c r="C182" s="210">
        <v>0.78639999999999999</v>
      </c>
      <c r="D182" s="210">
        <v>0.79590000000000005</v>
      </c>
      <c r="E182" s="210">
        <v>0.89512000000000003</v>
      </c>
    </row>
    <row r="183" spans="1:6" ht="20.100000000000001" customHeight="1" x14ac:dyDescent="0.2">
      <c r="A183" s="202">
        <v>5</v>
      </c>
      <c r="B183" s="201" t="s">
        <v>417</v>
      </c>
      <c r="C183" s="210">
        <v>1.0124</v>
      </c>
      <c r="D183" s="210">
        <v>1.0449999999999999</v>
      </c>
      <c r="E183" s="210">
        <v>0.99489000000000005</v>
      </c>
    </row>
    <row r="184" spans="1:6" ht="20.100000000000001" customHeight="1" x14ac:dyDescent="0.2">
      <c r="A184" s="202">
        <v>6</v>
      </c>
      <c r="B184" s="201" t="s">
        <v>418</v>
      </c>
      <c r="C184" s="210">
        <v>1.1319999999999999</v>
      </c>
      <c r="D184" s="210">
        <v>0.89129999999999998</v>
      </c>
      <c r="E184" s="210">
        <v>0.96191000000000004</v>
      </c>
    </row>
    <row r="185" spans="1:6" ht="20.100000000000001" customHeight="1" x14ac:dyDescent="0.2">
      <c r="A185" s="202">
        <v>7</v>
      </c>
      <c r="B185" s="201" t="s">
        <v>419</v>
      </c>
      <c r="C185" s="210">
        <v>1.0268999999999999</v>
      </c>
      <c r="D185" s="210">
        <v>1.0489999999999999</v>
      </c>
      <c r="E185" s="210">
        <v>1.0328200000000001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1.1191759999999999</v>
      </c>
      <c r="D186" s="210">
        <v>1.131319</v>
      </c>
      <c r="E186" s="210">
        <v>1.172336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9181</v>
      </c>
      <c r="D189" s="198">
        <v>9239</v>
      </c>
      <c r="E189" s="198">
        <v>9008</v>
      </c>
    </row>
    <row r="190" spans="1:6" ht="20.100000000000001" customHeight="1" x14ac:dyDescent="0.2">
      <c r="A190" s="202">
        <v>2</v>
      </c>
      <c r="B190" s="201" t="s">
        <v>427</v>
      </c>
      <c r="C190" s="198">
        <v>39632</v>
      </c>
      <c r="D190" s="198">
        <v>40491</v>
      </c>
      <c r="E190" s="198">
        <v>39491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48813</v>
      </c>
      <c r="D191" s="198">
        <f>+D190+D189</f>
        <v>49730</v>
      </c>
      <c r="E191" s="198">
        <f>+E190+E189</f>
        <v>48499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FILING&amp;RNORWALK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147862</v>
      </c>
      <c r="D14" s="237">
        <v>605096</v>
      </c>
      <c r="E14" s="237">
        <f t="shared" ref="E14:E24" si="0">D14-C14</f>
        <v>457234</v>
      </c>
      <c r="F14" s="238">
        <f t="shared" ref="F14:F24" si="1">IF(C14=0,0,E14/C14)</f>
        <v>3.0923022818574077</v>
      </c>
    </row>
    <row r="15" spans="1:7" ht="20.25" customHeight="1" x14ac:dyDescent="0.3">
      <c r="A15" s="235">
        <v>2</v>
      </c>
      <c r="B15" s="236" t="s">
        <v>435</v>
      </c>
      <c r="C15" s="237">
        <v>44764</v>
      </c>
      <c r="D15" s="237">
        <v>230348</v>
      </c>
      <c r="E15" s="237">
        <f t="shared" si="0"/>
        <v>185584</v>
      </c>
      <c r="F15" s="238">
        <f t="shared" si="1"/>
        <v>4.1458314717183455</v>
      </c>
    </row>
    <row r="16" spans="1:7" ht="20.25" customHeight="1" x14ac:dyDescent="0.3">
      <c r="A16" s="235">
        <v>3</v>
      </c>
      <c r="B16" s="236" t="s">
        <v>436</v>
      </c>
      <c r="C16" s="237">
        <v>47511</v>
      </c>
      <c r="D16" s="237">
        <v>79847</v>
      </c>
      <c r="E16" s="237">
        <f t="shared" si="0"/>
        <v>32336</v>
      </c>
      <c r="F16" s="238">
        <f t="shared" si="1"/>
        <v>0.6806002820399486</v>
      </c>
    </row>
    <row r="17" spans="1:6" ht="20.25" customHeight="1" x14ac:dyDescent="0.3">
      <c r="A17" s="235">
        <v>4</v>
      </c>
      <c r="B17" s="236" t="s">
        <v>437</v>
      </c>
      <c r="C17" s="237">
        <v>11722</v>
      </c>
      <c r="D17" s="237">
        <v>20401</v>
      </c>
      <c r="E17" s="237">
        <f t="shared" si="0"/>
        <v>8679</v>
      </c>
      <c r="F17" s="238">
        <f t="shared" si="1"/>
        <v>0.74040266166183244</v>
      </c>
    </row>
    <row r="18" spans="1:6" ht="20.25" customHeight="1" x14ac:dyDescent="0.3">
      <c r="A18" s="235">
        <v>5</v>
      </c>
      <c r="B18" s="236" t="s">
        <v>373</v>
      </c>
      <c r="C18" s="239">
        <v>6</v>
      </c>
      <c r="D18" s="239">
        <v>15</v>
      </c>
      <c r="E18" s="239">
        <f t="shared" si="0"/>
        <v>9</v>
      </c>
      <c r="F18" s="238">
        <f t="shared" si="1"/>
        <v>1.5</v>
      </c>
    </row>
    <row r="19" spans="1:6" ht="20.25" customHeight="1" x14ac:dyDescent="0.3">
      <c r="A19" s="235">
        <v>6</v>
      </c>
      <c r="B19" s="236" t="s">
        <v>372</v>
      </c>
      <c r="C19" s="239">
        <v>27</v>
      </c>
      <c r="D19" s="239">
        <v>99</v>
      </c>
      <c r="E19" s="239">
        <f t="shared" si="0"/>
        <v>72</v>
      </c>
      <c r="F19" s="238">
        <f t="shared" si="1"/>
        <v>2.6666666666666665</v>
      </c>
    </row>
    <row r="20" spans="1:6" ht="20.25" customHeight="1" x14ac:dyDescent="0.3">
      <c r="A20" s="235">
        <v>7</v>
      </c>
      <c r="B20" s="236" t="s">
        <v>438</v>
      </c>
      <c r="C20" s="239">
        <v>17</v>
      </c>
      <c r="D20" s="239">
        <v>29</v>
      </c>
      <c r="E20" s="239">
        <f t="shared" si="0"/>
        <v>12</v>
      </c>
      <c r="F20" s="238">
        <f t="shared" si="1"/>
        <v>0.70588235294117652</v>
      </c>
    </row>
    <row r="21" spans="1:6" ht="20.25" customHeight="1" x14ac:dyDescent="0.3">
      <c r="A21" s="235">
        <v>8</v>
      </c>
      <c r="B21" s="236" t="s">
        <v>439</v>
      </c>
      <c r="C21" s="239">
        <v>7</v>
      </c>
      <c r="D21" s="239">
        <v>16</v>
      </c>
      <c r="E21" s="239">
        <f t="shared" si="0"/>
        <v>9</v>
      </c>
      <c r="F21" s="238">
        <f t="shared" si="1"/>
        <v>1.2857142857142858</v>
      </c>
    </row>
    <row r="22" spans="1:6" ht="20.25" customHeight="1" x14ac:dyDescent="0.3">
      <c r="A22" s="235">
        <v>9</v>
      </c>
      <c r="B22" s="236" t="s">
        <v>440</v>
      </c>
      <c r="C22" s="239">
        <v>4</v>
      </c>
      <c r="D22" s="239">
        <v>12</v>
      </c>
      <c r="E22" s="239">
        <f t="shared" si="0"/>
        <v>8</v>
      </c>
      <c r="F22" s="238">
        <f t="shared" si="1"/>
        <v>2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195373</v>
      </c>
      <c r="D23" s="243">
        <f>+D14+D16</f>
        <v>684943</v>
      </c>
      <c r="E23" s="243">
        <f t="shared" si="0"/>
        <v>489570</v>
      </c>
      <c r="F23" s="244">
        <f t="shared" si="1"/>
        <v>2.5058221965164069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56486</v>
      </c>
      <c r="D24" s="243">
        <f>+D15+D17</f>
        <v>250749</v>
      </c>
      <c r="E24" s="243">
        <f t="shared" si="0"/>
        <v>194263</v>
      </c>
      <c r="F24" s="244">
        <f t="shared" si="1"/>
        <v>3.4391353609744009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126276</v>
      </c>
      <c r="D27" s="237">
        <v>0</v>
      </c>
      <c r="E27" s="237">
        <f t="shared" ref="E27:E37" si="2">D27-C27</f>
        <v>-126276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435</v>
      </c>
      <c r="C28" s="237">
        <v>55266</v>
      </c>
      <c r="D28" s="237">
        <v>0</v>
      </c>
      <c r="E28" s="237">
        <f t="shared" si="2"/>
        <v>-55266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6</v>
      </c>
      <c r="D31" s="239">
        <v>0</v>
      </c>
      <c r="E31" s="239">
        <f t="shared" si="2"/>
        <v>-6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372</v>
      </c>
      <c r="C32" s="239">
        <v>23</v>
      </c>
      <c r="D32" s="239">
        <v>0</v>
      </c>
      <c r="E32" s="239">
        <f t="shared" si="2"/>
        <v>-23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126276</v>
      </c>
      <c r="D36" s="243">
        <f>+D27+D29</f>
        <v>0</v>
      </c>
      <c r="E36" s="243">
        <f t="shared" si="2"/>
        <v>-126276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55266</v>
      </c>
      <c r="D37" s="243">
        <f>+D28+D30</f>
        <v>0</v>
      </c>
      <c r="E37" s="243">
        <f t="shared" si="2"/>
        <v>-55266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1113925</v>
      </c>
      <c r="E40" s="237">
        <f t="shared" ref="E40:E50" si="4">D40-C40</f>
        <v>1113925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269696</v>
      </c>
      <c r="E41" s="237">
        <f t="shared" si="4"/>
        <v>269696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95652</v>
      </c>
      <c r="D42" s="237">
        <v>396577</v>
      </c>
      <c r="E42" s="237">
        <f t="shared" si="4"/>
        <v>300925</v>
      </c>
      <c r="F42" s="238">
        <f t="shared" si="5"/>
        <v>3.1460398109814744</v>
      </c>
    </row>
    <row r="43" spans="1:6" ht="20.25" customHeight="1" x14ac:dyDescent="0.3">
      <c r="A43" s="235">
        <v>4</v>
      </c>
      <c r="B43" s="236" t="s">
        <v>437</v>
      </c>
      <c r="C43" s="237">
        <v>22735</v>
      </c>
      <c r="D43" s="237">
        <v>88666</v>
      </c>
      <c r="E43" s="237">
        <f t="shared" si="4"/>
        <v>65931</v>
      </c>
      <c r="F43" s="238">
        <f t="shared" si="5"/>
        <v>2.8999780074774577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16</v>
      </c>
      <c r="E44" s="239">
        <f t="shared" si="4"/>
        <v>16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158</v>
      </c>
      <c r="E45" s="239">
        <f t="shared" si="4"/>
        <v>158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60</v>
      </c>
      <c r="D46" s="239">
        <v>178</v>
      </c>
      <c r="E46" s="239">
        <f t="shared" si="4"/>
        <v>118</v>
      </c>
      <c r="F46" s="238">
        <f t="shared" si="5"/>
        <v>1.9666666666666666</v>
      </c>
    </row>
    <row r="47" spans="1:6" ht="20.25" customHeight="1" x14ac:dyDescent="0.3">
      <c r="A47" s="235">
        <v>8</v>
      </c>
      <c r="B47" s="236" t="s">
        <v>439</v>
      </c>
      <c r="C47" s="239">
        <v>20</v>
      </c>
      <c r="D47" s="239">
        <v>17</v>
      </c>
      <c r="E47" s="239">
        <f t="shared" si="4"/>
        <v>-3</v>
      </c>
      <c r="F47" s="238">
        <f t="shared" si="5"/>
        <v>-0.15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11</v>
      </c>
      <c r="E48" s="239">
        <f t="shared" si="4"/>
        <v>11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95652</v>
      </c>
      <c r="D49" s="243">
        <f>+D40+D42</f>
        <v>1510502</v>
      </c>
      <c r="E49" s="243">
        <f t="shared" si="4"/>
        <v>1414850</v>
      </c>
      <c r="F49" s="244">
        <f t="shared" si="5"/>
        <v>14.79164053025551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22735</v>
      </c>
      <c r="D50" s="243">
        <f>+D41+D43</f>
        <v>358362</v>
      </c>
      <c r="E50" s="243">
        <f t="shared" si="4"/>
        <v>335627</v>
      </c>
      <c r="F50" s="244">
        <f t="shared" si="5"/>
        <v>14.762568726632944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9787541</v>
      </c>
      <c r="D53" s="237">
        <v>12311689</v>
      </c>
      <c r="E53" s="237">
        <f t="shared" ref="E53:E63" si="6">D53-C53</f>
        <v>2524148</v>
      </c>
      <c r="F53" s="238">
        <f t="shared" ref="F53:F63" si="7">IF(C53=0,0,E53/C53)</f>
        <v>0.25789398992045093</v>
      </c>
    </row>
    <row r="54" spans="1:6" ht="20.25" customHeight="1" x14ac:dyDescent="0.3">
      <c r="A54" s="235">
        <v>2</v>
      </c>
      <c r="B54" s="236" t="s">
        <v>435</v>
      </c>
      <c r="C54" s="237">
        <v>3787524</v>
      </c>
      <c r="D54" s="237">
        <v>3865214</v>
      </c>
      <c r="E54" s="237">
        <f t="shared" si="6"/>
        <v>77690</v>
      </c>
      <c r="F54" s="238">
        <f t="shared" si="7"/>
        <v>2.0512081243577597E-2</v>
      </c>
    </row>
    <row r="55" spans="1:6" ht="20.25" customHeight="1" x14ac:dyDescent="0.3">
      <c r="A55" s="235">
        <v>3</v>
      </c>
      <c r="B55" s="236" t="s">
        <v>436</v>
      </c>
      <c r="C55" s="237">
        <v>4759754</v>
      </c>
      <c r="D55" s="237">
        <v>5947890</v>
      </c>
      <c r="E55" s="237">
        <f t="shared" si="6"/>
        <v>1188136</v>
      </c>
      <c r="F55" s="238">
        <f t="shared" si="7"/>
        <v>0.24962130395814575</v>
      </c>
    </row>
    <row r="56" spans="1:6" ht="20.25" customHeight="1" x14ac:dyDescent="0.3">
      <c r="A56" s="235">
        <v>4</v>
      </c>
      <c r="B56" s="236" t="s">
        <v>437</v>
      </c>
      <c r="C56" s="237">
        <v>1324414</v>
      </c>
      <c r="D56" s="237">
        <v>1271607</v>
      </c>
      <c r="E56" s="237">
        <f t="shared" si="6"/>
        <v>-52807</v>
      </c>
      <c r="F56" s="238">
        <f t="shared" si="7"/>
        <v>-3.9871973567177636E-2</v>
      </c>
    </row>
    <row r="57" spans="1:6" ht="20.25" customHeight="1" x14ac:dyDescent="0.3">
      <c r="A57" s="235">
        <v>5</v>
      </c>
      <c r="B57" s="236" t="s">
        <v>373</v>
      </c>
      <c r="C57" s="239">
        <v>292</v>
      </c>
      <c r="D57" s="239">
        <v>308</v>
      </c>
      <c r="E57" s="239">
        <f t="shared" si="6"/>
        <v>16</v>
      </c>
      <c r="F57" s="238">
        <f t="shared" si="7"/>
        <v>5.4794520547945202E-2</v>
      </c>
    </row>
    <row r="58" spans="1:6" ht="20.25" customHeight="1" x14ac:dyDescent="0.3">
      <c r="A58" s="235">
        <v>6</v>
      </c>
      <c r="B58" s="236" t="s">
        <v>372</v>
      </c>
      <c r="C58" s="239">
        <v>1842</v>
      </c>
      <c r="D58" s="239">
        <v>1997</v>
      </c>
      <c r="E58" s="239">
        <f t="shared" si="6"/>
        <v>155</v>
      </c>
      <c r="F58" s="238">
        <f t="shared" si="7"/>
        <v>8.4147665580890332E-2</v>
      </c>
    </row>
    <row r="59" spans="1:6" ht="20.25" customHeight="1" x14ac:dyDescent="0.3">
      <c r="A59" s="235">
        <v>7</v>
      </c>
      <c r="B59" s="236" t="s">
        <v>438</v>
      </c>
      <c r="C59" s="239">
        <v>2014</v>
      </c>
      <c r="D59" s="239">
        <v>2792</v>
      </c>
      <c r="E59" s="239">
        <f t="shared" si="6"/>
        <v>778</v>
      </c>
      <c r="F59" s="238">
        <f t="shared" si="7"/>
        <v>0.38629592850049654</v>
      </c>
    </row>
    <row r="60" spans="1:6" ht="20.25" customHeight="1" x14ac:dyDescent="0.3">
      <c r="A60" s="235">
        <v>8</v>
      </c>
      <c r="B60" s="236" t="s">
        <v>439</v>
      </c>
      <c r="C60" s="239">
        <v>275</v>
      </c>
      <c r="D60" s="239">
        <v>384</v>
      </c>
      <c r="E60" s="239">
        <f t="shared" si="6"/>
        <v>109</v>
      </c>
      <c r="F60" s="238">
        <f t="shared" si="7"/>
        <v>0.39636363636363636</v>
      </c>
    </row>
    <row r="61" spans="1:6" ht="20.25" customHeight="1" x14ac:dyDescent="0.3">
      <c r="A61" s="235">
        <v>9</v>
      </c>
      <c r="B61" s="236" t="s">
        <v>440</v>
      </c>
      <c r="C61" s="239">
        <v>212</v>
      </c>
      <c r="D61" s="239">
        <v>230</v>
      </c>
      <c r="E61" s="239">
        <f t="shared" si="6"/>
        <v>18</v>
      </c>
      <c r="F61" s="238">
        <f t="shared" si="7"/>
        <v>8.4905660377358486E-2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14547295</v>
      </c>
      <c r="D62" s="243">
        <f>+D53+D55</f>
        <v>18259579</v>
      </c>
      <c r="E62" s="243">
        <f t="shared" si="6"/>
        <v>3712284</v>
      </c>
      <c r="F62" s="244">
        <f t="shared" si="7"/>
        <v>0.25518723584006509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5111938</v>
      </c>
      <c r="D63" s="243">
        <f>+D54+D56</f>
        <v>5136821</v>
      </c>
      <c r="E63" s="243">
        <f t="shared" si="6"/>
        <v>24883</v>
      </c>
      <c r="F63" s="244">
        <f t="shared" si="7"/>
        <v>4.8676255463192238E-3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3043264</v>
      </c>
      <c r="D66" s="237">
        <v>2608304</v>
      </c>
      <c r="E66" s="237">
        <f t="shared" ref="E66:E76" si="8">D66-C66</f>
        <v>-434960</v>
      </c>
      <c r="F66" s="238">
        <f t="shared" ref="F66:F76" si="9">IF(C66=0,0,E66/C66)</f>
        <v>-0.1429254905259616</v>
      </c>
    </row>
    <row r="67" spans="1:6" ht="20.25" customHeight="1" x14ac:dyDescent="0.3">
      <c r="A67" s="235">
        <v>2</v>
      </c>
      <c r="B67" s="236" t="s">
        <v>435</v>
      </c>
      <c r="C67" s="237">
        <v>1127083</v>
      </c>
      <c r="D67" s="237">
        <v>910047</v>
      </c>
      <c r="E67" s="237">
        <f t="shared" si="8"/>
        <v>-217036</v>
      </c>
      <c r="F67" s="238">
        <f t="shared" si="9"/>
        <v>-0.19256434530553651</v>
      </c>
    </row>
    <row r="68" spans="1:6" ht="20.25" customHeight="1" x14ac:dyDescent="0.3">
      <c r="A68" s="235">
        <v>3</v>
      </c>
      <c r="B68" s="236" t="s">
        <v>436</v>
      </c>
      <c r="C68" s="237">
        <v>783060</v>
      </c>
      <c r="D68" s="237">
        <v>945893</v>
      </c>
      <c r="E68" s="237">
        <f t="shared" si="8"/>
        <v>162833</v>
      </c>
      <c r="F68" s="238">
        <f t="shared" si="9"/>
        <v>0.20794447424207596</v>
      </c>
    </row>
    <row r="69" spans="1:6" ht="20.25" customHeight="1" x14ac:dyDescent="0.3">
      <c r="A69" s="235">
        <v>4</v>
      </c>
      <c r="B69" s="236" t="s">
        <v>437</v>
      </c>
      <c r="C69" s="237">
        <v>241930</v>
      </c>
      <c r="D69" s="237">
        <v>160244</v>
      </c>
      <c r="E69" s="237">
        <f t="shared" si="8"/>
        <v>-81686</v>
      </c>
      <c r="F69" s="238">
        <f t="shared" si="9"/>
        <v>-0.33764311991071799</v>
      </c>
    </row>
    <row r="70" spans="1:6" ht="20.25" customHeight="1" x14ac:dyDescent="0.3">
      <c r="A70" s="235">
        <v>5</v>
      </c>
      <c r="B70" s="236" t="s">
        <v>373</v>
      </c>
      <c r="C70" s="239">
        <v>93</v>
      </c>
      <c r="D70" s="239">
        <v>80</v>
      </c>
      <c r="E70" s="239">
        <f t="shared" si="8"/>
        <v>-13</v>
      </c>
      <c r="F70" s="238">
        <f t="shared" si="9"/>
        <v>-0.13978494623655913</v>
      </c>
    </row>
    <row r="71" spans="1:6" ht="20.25" customHeight="1" x14ac:dyDescent="0.3">
      <c r="A71" s="235">
        <v>6</v>
      </c>
      <c r="B71" s="236" t="s">
        <v>372</v>
      </c>
      <c r="C71" s="239">
        <v>538</v>
      </c>
      <c r="D71" s="239">
        <v>448</v>
      </c>
      <c r="E71" s="239">
        <f t="shared" si="8"/>
        <v>-90</v>
      </c>
      <c r="F71" s="238">
        <f t="shared" si="9"/>
        <v>-0.16728624535315986</v>
      </c>
    </row>
    <row r="72" spans="1:6" ht="20.25" customHeight="1" x14ac:dyDescent="0.3">
      <c r="A72" s="235">
        <v>7</v>
      </c>
      <c r="B72" s="236" t="s">
        <v>438</v>
      </c>
      <c r="C72" s="239">
        <v>518</v>
      </c>
      <c r="D72" s="239">
        <v>483</v>
      </c>
      <c r="E72" s="239">
        <f t="shared" si="8"/>
        <v>-35</v>
      </c>
      <c r="F72" s="238">
        <f t="shared" si="9"/>
        <v>-6.7567567567567571E-2</v>
      </c>
    </row>
    <row r="73" spans="1:6" ht="20.25" customHeight="1" x14ac:dyDescent="0.3">
      <c r="A73" s="235">
        <v>8</v>
      </c>
      <c r="B73" s="236" t="s">
        <v>439</v>
      </c>
      <c r="C73" s="239">
        <v>123</v>
      </c>
      <c r="D73" s="239">
        <v>86</v>
      </c>
      <c r="E73" s="239">
        <f t="shared" si="8"/>
        <v>-37</v>
      </c>
      <c r="F73" s="238">
        <f t="shared" si="9"/>
        <v>-0.30081300813008133</v>
      </c>
    </row>
    <row r="74" spans="1:6" ht="20.25" customHeight="1" x14ac:dyDescent="0.3">
      <c r="A74" s="235">
        <v>9</v>
      </c>
      <c r="B74" s="236" t="s">
        <v>440</v>
      </c>
      <c r="C74" s="239">
        <v>82</v>
      </c>
      <c r="D74" s="239">
        <v>64</v>
      </c>
      <c r="E74" s="239">
        <f t="shared" si="8"/>
        <v>-18</v>
      </c>
      <c r="F74" s="238">
        <f t="shared" si="9"/>
        <v>-0.21951219512195122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3826324</v>
      </c>
      <c r="D75" s="243">
        <f>+D66+D68</f>
        <v>3554197</v>
      </c>
      <c r="E75" s="243">
        <f t="shared" si="8"/>
        <v>-272127</v>
      </c>
      <c r="F75" s="244">
        <f t="shared" si="9"/>
        <v>-7.1119696084283507E-2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1369013</v>
      </c>
      <c r="D76" s="243">
        <f>+D67+D69</f>
        <v>1070291</v>
      </c>
      <c r="E76" s="243">
        <f t="shared" si="8"/>
        <v>-298722</v>
      </c>
      <c r="F76" s="244">
        <f t="shared" si="9"/>
        <v>-0.21820245680647299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75154</v>
      </c>
      <c r="D79" s="237">
        <v>31243</v>
      </c>
      <c r="E79" s="237">
        <f t="shared" ref="E79:E89" si="10">D79-C79</f>
        <v>-43911</v>
      </c>
      <c r="F79" s="238">
        <f t="shared" ref="F79:F89" si="11">IF(C79=0,0,E79/C79)</f>
        <v>-0.58428027782952341</v>
      </c>
    </row>
    <row r="80" spans="1:6" ht="20.25" customHeight="1" x14ac:dyDescent="0.3">
      <c r="A80" s="235">
        <v>2</v>
      </c>
      <c r="B80" s="236" t="s">
        <v>435</v>
      </c>
      <c r="C80" s="237">
        <v>17809</v>
      </c>
      <c r="D80" s="237">
        <v>9422</v>
      </c>
      <c r="E80" s="237">
        <f t="shared" si="10"/>
        <v>-8387</v>
      </c>
      <c r="F80" s="238">
        <f t="shared" si="11"/>
        <v>-0.47094165871188726</v>
      </c>
    </row>
    <row r="81" spans="1:6" ht="20.25" customHeight="1" x14ac:dyDescent="0.3">
      <c r="A81" s="235">
        <v>3</v>
      </c>
      <c r="B81" s="236" t="s">
        <v>436</v>
      </c>
      <c r="C81" s="237">
        <v>15980</v>
      </c>
      <c r="D81" s="237">
        <v>30093</v>
      </c>
      <c r="E81" s="237">
        <f t="shared" si="10"/>
        <v>14113</v>
      </c>
      <c r="F81" s="238">
        <f t="shared" si="11"/>
        <v>0.88316645807259075</v>
      </c>
    </row>
    <row r="82" spans="1:6" ht="20.25" customHeight="1" x14ac:dyDescent="0.3">
      <c r="A82" s="235">
        <v>4</v>
      </c>
      <c r="B82" s="236" t="s">
        <v>437</v>
      </c>
      <c r="C82" s="237">
        <v>3690</v>
      </c>
      <c r="D82" s="237">
        <v>5345</v>
      </c>
      <c r="E82" s="237">
        <f t="shared" si="10"/>
        <v>1655</v>
      </c>
      <c r="F82" s="238">
        <f t="shared" si="11"/>
        <v>0.44850948509485095</v>
      </c>
    </row>
    <row r="83" spans="1:6" ht="20.25" customHeight="1" x14ac:dyDescent="0.3">
      <c r="A83" s="235">
        <v>5</v>
      </c>
      <c r="B83" s="236" t="s">
        <v>373</v>
      </c>
      <c r="C83" s="239">
        <v>2</v>
      </c>
      <c r="D83" s="239">
        <v>2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15</v>
      </c>
      <c r="D84" s="239">
        <v>5</v>
      </c>
      <c r="E84" s="239">
        <f t="shared" si="10"/>
        <v>-10</v>
      </c>
      <c r="F84" s="238">
        <f t="shared" si="11"/>
        <v>-0.66666666666666663</v>
      </c>
    </row>
    <row r="85" spans="1:6" ht="20.25" customHeight="1" x14ac:dyDescent="0.3">
      <c r="A85" s="235">
        <v>7</v>
      </c>
      <c r="B85" s="236" t="s">
        <v>438</v>
      </c>
      <c r="C85" s="239">
        <v>5</v>
      </c>
      <c r="D85" s="239">
        <v>17</v>
      </c>
      <c r="E85" s="239">
        <f t="shared" si="10"/>
        <v>12</v>
      </c>
      <c r="F85" s="238">
        <f t="shared" si="11"/>
        <v>2.4</v>
      </c>
    </row>
    <row r="86" spans="1:6" ht="20.25" customHeight="1" x14ac:dyDescent="0.3">
      <c r="A86" s="235">
        <v>8</v>
      </c>
      <c r="B86" s="236" t="s">
        <v>439</v>
      </c>
      <c r="C86" s="239">
        <v>5</v>
      </c>
      <c r="D86" s="239">
        <v>5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2</v>
      </c>
      <c r="D87" s="239">
        <v>1</v>
      </c>
      <c r="E87" s="239">
        <f t="shared" si="10"/>
        <v>-1</v>
      </c>
      <c r="F87" s="238">
        <f t="shared" si="11"/>
        <v>-0.5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91134</v>
      </c>
      <c r="D88" s="243">
        <f>+D79+D81</f>
        <v>61336</v>
      </c>
      <c r="E88" s="243">
        <f t="shared" si="10"/>
        <v>-29798</v>
      </c>
      <c r="F88" s="244">
        <f t="shared" si="11"/>
        <v>-0.32696907849979151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21499</v>
      </c>
      <c r="D89" s="243">
        <f>+D80+D82</f>
        <v>14767</v>
      </c>
      <c r="E89" s="243">
        <f t="shared" si="10"/>
        <v>-6732</v>
      </c>
      <c r="F89" s="244">
        <f t="shared" si="11"/>
        <v>-0.31313084329503699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108507</v>
      </c>
      <c r="D92" s="237">
        <v>623888</v>
      </c>
      <c r="E92" s="237">
        <f t="shared" ref="E92:E102" si="12">D92-C92</f>
        <v>515381</v>
      </c>
      <c r="F92" s="238">
        <f t="shared" ref="F92:F102" si="13">IF(C92=0,0,E92/C92)</f>
        <v>4.7497488641285814</v>
      </c>
    </row>
    <row r="93" spans="1:6" ht="20.25" customHeight="1" x14ac:dyDescent="0.3">
      <c r="A93" s="235">
        <v>2</v>
      </c>
      <c r="B93" s="236" t="s">
        <v>435</v>
      </c>
      <c r="C93" s="237">
        <v>23041</v>
      </c>
      <c r="D93" s="237">
        <v>210599</v>
      </c>
      <c r="E93" s="237">
        <f t="shared" si="12"/>
        <v>187558</v>
      </c>
      <c r="F93" s="238">
        <f t="shared" si="13"/>
        <v>8.1401848878086884</v>
      </c>
    </row>
    <row r="94" spans="1:6" ht="20.25" customHeight="1" x14ac:dyDescent="0.3">
      <c r="A94" s="235">
        <v>3</v>
      </c>
      <c r="B94" s="236" t="s">
        <v>436</v>
      </c>
      <c r="C94" s="237">
        <v>3727</v>
      </c>
      <c r="D94" s="237">
        <v>43843</v>
      </c>
      <c r="E94" s="237">
        <f t="shared" si="12"/>
        <v>40116</v>
      </c>
      <c r="F94" s="238">
        <f t="shared" si="13"/>
        <v>10.763616850013415</v>
      </c>
    </row>
    <row r="95" spans="1:6" ht="20.25" customHeight="1" x14ac:dyDescent="0.3">
      <c r="A95" s="235">
        <v>4</v>
      </c>
      <c r="B95" s="236" t="s">
        <v>437</v>
      </c>
      <c r="C95" s="237">
        <v>1310</v>
      </c>
      <c r="D95" s="237">
        <v>9312</v>
      </c>
      <c r="E95" s="237">
        <f t="shared" si="12"/>
        <v>8002</v>
      </c>
      <c r="F95" s="238">
        <f t="shared" si="13"/>
        <v>6.1083969465648851</v>
      </c>
    </row>
    <row r="96" spans="1:6" ht="20.25" customHeight="1" x14ac:dyDescent="0.3">
      <c r="A96" s="235">
        <v>5</v>
      </c>
      <c r="B96" s="236" t="s">
        <v>373</v>
      </c>
      <c r="C96" s="239">
        <v>4</v>
      </c>
      <c r="D96" s="239">
        <v>5</v>
      </c>
      <c r="E96" s="239">
        <f t="shared" si="12"/>
        <v>1</v>
      </c>
      <c r="F96" s="238">
        <f t="shared" si="13"/>
        <v>0.25</v>
      </c>
    </row>
    <row r="97" spans="1:6" ht="20.25" customHeight="1" x14ac:dyDescent="0.3">
      <c r="A97" s="235">
        <v>6</v>
      </c>
      <c r="B97" s="236" t="s">
        <v>372</v>
      </c>
      <c r="C97" s="239">
        <v>19</v>
      </c>
      <c r="D97" s="239">
        <v>79</v>
      </c>
      <c r="E97" s="239">
        <f t="shared" si="12"/>
        <v>60</v>
      </c>
      <c r="F97" s="238">
        <f t="shared" si="13"/>
        <v>3.1578947368421053</v>
      </c>
    </row>
    <row r="98" spans="1:6" ht="20.25" customHeight="1" x14ac:dyDescent="0.3">
      <c r="A98" s="235">
        <v>7</v>
      </c>
      <c r="B98" s="236" t="s">
        <v>438</v>
      </c>
      <c r="C98" s="239">
        <v>6</v>
      </c>
      <c r="D98" s="239">
        <v>25</v>
      </c>
      <c r="E98" s="239">
        <f t="shared" si="12"/>
        <v>19</v>
      </c>
      <c r="F98" s="238">
        <f t="shared" si="13"/>
        <v>3.1666666666666665</v>
      </c>
    </row>
    <row r="99" spans="1:6" ht="20.25" customHeight="1" x14ac:dyDescent="0.3">
      <c r="A99" s="235">
        <v>8</v>
      </c>
      <c r="B99" s="236" t="s">
        <v>439</v>
      </c>
      <c r="C99" s="239">
        <v>1</v>
      </c>
      <c r="D99" s="239">
        <v>7</v>
      </c>
      <c r="E99" s="239">
        <f t="shared" si="12"/>
        <v>6</v>
      </c>
      <c r="F99" s="238">
        <f t="shared" si="13"/>
        <v>6</v>
      </c>
    </row>
    <row r="100" spans="1:6" ht="20.25" customHeight="1" x14ac:dyDescent="0.3">
      <c r="A100" s="235">
        <v>9</v>
      </c>
      <c r="B100" s="236" t="s">
        <v>440</v>
      </c>
      <c r="C100" s="239">
        <v>4</v>
      </c>
      <c r="D100" s="239">
        <v>4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112234</v>
      </c>
      <c r="D101" s="243">
        <f>+D92+D94</f>
        <v>667731</v>
      </c>
      <c r="E101" s="243">
        <f t="shared" si="12"/>
        <v>555497</v>
      </c>
      <c r="F101" s="244">
        <f t="shared" si="13"/>
        <v>4.9494538196981308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24351</v>
      </c>
      <c r="D102" s="243">
        <f>+D93+D95</f>
        <v>219911</v>
      </c>
      <c r="E102" s="243">
        <f t="shared" si="12"/>
        <v>195560</v>
      </c>
      <c r="F102" s="244">
        <f t="shared" si="13"/>
        <v>8.0308816886370167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119382</v>
      </c>
      <c r="E105" s="237">
        <f t="shared" ref="E105:E115" si="14">D105-C105</f>
        <v>119382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107443</v>
      </c>
      <c r="E106" s="237">
        <f t="shared" si="14"/>
        <v>107443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8399</v>
      </c>
      <c r="D107" s="237">
        <v>24613</v>
      </c>
      <c r="E107" s="237">
        <f t="shared" si="14"/>
        <v>16214</v>
      </c>
      <c r="F107" s="238">
        <f t="shared" si="15"/>
        <v>1.9304679128467674</v>
      </c>
    </row>
    <row r="108" spans="1:6" ht="20.25" customHeight="1" x14ac:dyDescent="0.3">
      <c r="A108" s="235">
        <v>4</v>
      </c>
      <c r="B108" s="236" t="s">
        <v>437</v>
      </c>
      <c r="C108" s="237">
        <v>7564</v>
      </c>
      <c r="D108" s="237">
        <v>22241</v>
      </c>
      <c r="E108" s="237">
        <f t="shared" si="14"/>
        <v>14677</v>
      </c>
      <c r="F108" s="238">
        <f t="shared" si="15"/>
        <v>1.9403754627181387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2</v>
      </c>
      <c r="E109" s="239">
        <f t="shared" si="14"/>
        <v>2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29</v>
      </c>
      <c r="E110" s="239">
        <f t="shared" si="14"/>
        <v>29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6</v>
      </c>
      <c r="D111" s="239">
        <v>15</v>
      </c>
      <c r="E111" s="239">
        <f t="shared" si="14"/>
        <v>9</v>
      </c>
      <c r="F111" s="238">
        <f t="shared" si="15"/>
        <v>1.5</v>
      </c>
    </row>
    <row r="112" spans="1:6" ht="20.25" customHeight="1" x14ac:dyDescent="0.3">
      <c r="A112" s="235">
        <v>8</v>
      </c>
      <c r="B112" s="236" t="s">
        <v>439</v>
      </c>
      <c r="C112" s="239">
        <v>3</v>
      </c>
      <c r="D112" s="239">
        <v>4</v>
      </c>
      <c r="E112" s="239">
        <f t="shared" si="14"/>
        <v>1</v>
      </c>
      <c r="F112" s="238">
        <f t="shared" si="15"/>
        <v>0.33333333333333331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8399</v>
      </c>
      <c r="D114" s="243">
        <f>+D105+D107</f>
        <v>143995</v>
      </c>
      <c r="E114" s="243">
        <f t="shared" si="14"/>
        <v>135596</v>
      </c>
      <c r="F114" s="244">
        <f t="shared" si="15"/>
        <v>16.144302893201573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7564</v>
      </c>
      <c r="D115" s="243">
        <f>+D106+D108</f>
        <v>129684</v>
      </c>
      <c r="E115" s="243">
        <f t="shared" si="14"/>
        <v>122120</v>
      </c>
      <c r="F115" s="244">
        <f t="shared" si="15"/>
        <v>16.144896879957695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594985</v>
      </c>
      <c r="D118" s="237">
        <v>154116</v>
      </c>
      <c r="E118" s="237">
        <f t="shared" ref="E118:E128" si="16">D118-C118</f>
        <v>-440869</v>
      </c>
      <c r="F118" s="238">
        <f t="shared" ref="F118:F128" si="17">IF(C118=0,0,E118/C118)</f>
        <v>-0.74097498256258565</v>
      </c>
    </row>
    <row r="119" spans="1:6" ht="20.25" customHeight="1" x14ac:dyDescent="0.3">
      <c r="A119" s="235">
        <v>2</v>
      </c>
      <c r="B119" s="236" t="s">
        <v>435</v>
      </c>
      <c r="C119" s="237">
        <v>257972</v>
      </c>
      <c r="D119" s="237">
        <v>64173</v>
      </c>
      <c r="E119" s="237">
        <f t="shared" si="16"/>
        <v>-193799</v>
      </c>
      <c r="F119" s="238">
        <f t="shared" si="17"/>
        <v>-0.75124044469942475</v>
      </c>
    </row>
    <row r="120" spans="1:6" ht="20.25" customHeight="1" x14ac:dyDescent="0.3">
      <c r="A120" s="235">
        <v>3</v>
      </c>
      <c r="B120" s="236" t="s">
        <v>436</v>
      </c>
      <c r="C120" s="237">
        <v>138099</v>
      </c>
      <c r="D120" s="237">
        <v>306859</v>
      </c>
      <c r="E120" s="237">
        <f t="shared" si="16"/>
        <v>168760</v>
      </c>
      <c r="F120" s="238">
        <f t="shared" si="17"/>
        <v>1.2220218828521567</v>
      </c>
    </row>
    <row r="121" spans="1:6" ht="20.25" customHeight="1" x14ac:dyDescent="0.3">
      <c r="A121" s="235">
        <v>4</v>
      </c>
      <c r="B121" s="236" t="s">
        <v>437</v>
      </c>
      <c r="C121" s="237">
        <v>38479</v>
      </c>
      <c r="D121" s="237">
        <v>71233</v>
      </c>
      <c r="E121" s="237">
        <f t="shared" si="16"/>
        <v>32754</v>
      </c>
      <c r="F121" s="238">
        <f t="shared" si="17"/>
        <v>0.85121754723355592</v>
      </c>
    </row>
    <row r="122" spans="1:6" ht="20.25" customHeight="1" x14ac:dyDescent="0.3">
      <c r="A122" s="235">
        <v>5</v>
      </c>
      <c r="B122" s="236" t="s">
        <v>373</v>
      </c>
      <c r="C122" s="239">
        <v>17</v>
      </c>
      <c r="D122" s="239">
        <v>7</v>
      </c>
      <c r="E122" s="239">
        <f t="shared" si="16"/>
        <v>-10</v>
      </c>
      <c r="F122" s="238">
        <f t="shared" si="17"/>
        <v>-0.58823529411764708</v>
      </c>
    </row>
    <row r="123" spans="1:6" ht="20.25" customHeight="1" x14ac:dyDescent="0.3">
      <c r="A123" s="235">
        <v>6</v>
      </c>
      <c r="B123" s="236" t="s">
        <v>372</v>
      </c>
      <c r="C123" s="239">
        <v>121</v>
      </c>
      <c r="D123" s="239">
        <v>21</v>
      </c>
      <c r="E123" s="239">
        <f t="shared" si="16"/>
        <v>-100</v>
      </c>
      <c r="F123" s="238">
        <f t="shared" si="17"/>
        <v>-0.82644628099173556</v>
      </c>
    </row>
    <row r="124" spans="1:6" ht="20.25" customHeight="1" x14ac:dyDescent="0.3">
      <c r="A124" s="235">
        <v>7</v>
      </c>
      <c r="B124" s="236" t="s">
        <v>438</v>
      </c>
      <c r="C124" s="239">
        <v>95</v>
      </c>
      <c r="D124" s="239">
        <v>87</v>
      </c>
      <c r="E124" s="239">
        <f t="shared" si="16"/>
        <v>-8</v>
      </c>
      <c r="F124" s="238">
        <f t="shared" si="17"/>
        <v>-8.4210526315789472E-2</v>
      </c>
    </row>
    <row r="125" spans="1:6" ht="20.25" customHeight="1" x14ac:dyDescent="0.3">
      <c r="A125" s="235">
        <v>8</v>
      </c>
      <c r="B125" s="236" t="s">
        <v>439</v>
      </c>
      <c r="C125" s="239">
        <v>12</v>
      </c>
      <c r="D125" s="239">
        <v>16</v>
      </c>
      <c r="E125" s="239">
        <f t="shared" si="16"/>
        <v>4</v>
      </c>
      <c r="F125" s="238">
        <f t="shared" si="17"/>
        <v>0.33333333333333331</v>
      </c>
    </row>
    <row r="126" spans="1:6" ht="20.25" customHeight="1" x14ac:dyDescent="0.3">
      <c r="A126" s="235">
        <v>9</v>
      </c>
      <c r="B126" s="236" t="s">
        <v>440</v>
      </c>
      <c r="C126" s="239">
        <v>8</v>
      </c>
      <c r="D126" s="239">
        <v>5</v>
      </c>
      <c r="E126" s="239">
        <f t="shared" si="16"/>
        <v>-3</v>
      </c>
      <c r="F126" s="238">
        <f t="shared" si="17"/>
        <v>-0.375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733084</v>
      </c>
      <c r="D127" s="243">
        <f>+D118+D120</f>
        <v>460975</v>
      </c>
      <c r="E127" s="243">
        <f t="shared" si="16"/>
        <v>-272109</v>
      </c>
      <c r="F127" s="244">
        <f t="shared" si="17"/>
        <v>-0.37118392980886228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296451</v>
      </c>
      <c r="D128" s="243">
        <f>+D119+D121</f>
        <v>135406</v>
      </c>
      <c r="E128" s="243">
        <f t="shared" si="16"/>
        <v>-161045</v>
      </c>
      <c r="F128" s="244">
        <f t="shared" si="17"/>
        <v>-0.54324323412638176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175892</v>
      </c>
      <c r="D131" s="237">
        <v>160557</v>
      </c>
      <c r="E131" s="237">
        <f t="shared" ref="E131:E141" si="18">D131-C131</f>
        <v>-15335</v>
      </c>
      <c r="F131" s="238">
        <f t="shared" ref="F131:F141" si="19">IF(C131=0,0,E131/C131)</f>
        <v>-8.7184181202101294E-2</v>
      </c>
    </row>
    <row r="132" spans="1:6" ht="20.25" customHeight="1" x14ac:dyDescent="0.3">
      <c r="A132" s="235">
        <v>2</v>
      </c>
      <c r="B132" s="236" t="s">
        <v>435</v>
      </c>
      <c r="C132" s="237">
        <v>60139</v>
      </c>
      <c r="D132" s="237">
        <v>40459</v>
      </c>
      <c r="E132" s="237">
        <f t="shared" si="18"/>
        <v>-19680</v>
      </c>
      <c r="F132" s="238">
        <f t="shared" si="19"/>
        <v>-0.32724188962237483</v>
      </c>
    </row>
    <row r="133" spans="1:6" ht="20.25" customHeight="1" x14ac:dyDescent="0.3">
      <c r="A133" s="235">
        <v>3</v>
      </c>
      <c r="B133" s="236" t="s">
        <v>436</v>
      </c>
      <c r="C133" s="237">
        <v>134624</v>
      </c>
      <c r="D133" s="237">
        <v>40425</v>
      </c>
      <c r="E133" s="237">
        <f t="shared" si="18"/>
        <v>-94199</v>
      </c>
      <c r="F133" s="238">
        <f t="shared" si="19"/>
        <v>-0.69971921797004988</v>
      </c>
    </row>
    <row r="134" spans="1:6" ht="20.25" customHeight="1" x14ac:dyDescent="0.3">
      <c r="A134" s="235">
        <v>4</v>
      </c>
      <c r="B134" s="236" t="s">
        <v>437</v>
      </c>
      <c r="C134" s="237">
        <v>39509</v>
      </c>
      <c r="D134" s="237">
        <v>10846</v>
      </c>
      <c r="E134" s="237">
        <f t="shared" si="18"/>
        <v>-28663</v>
      </c>
      <c r="F134" s="238">
        <f t="shared" si="19"/>
        <v>-0.72548027031815532</v>
      </c>
    </row>
    <row r="135" spans="1:6" ht="20.25" customHeight="1" x14ac:dyDescent="0.3">
      <c r="A135" s="235">
        <v>5</v>
      </c>
      <c r="B135" s="236" t="s">
        <v>373</v>
      </c>
      <c r="C135" s="239">
        <v>6</v>
      </c>
      <c r="D135" s="239">
        <v>5</v>
      </c>
      <c r="E135" s="239">
        <f t="shared" si="18"/>
        <v>-1</v>
      </c>
      <c r="F135" s="238">
        <f t="shared" si="19"/>
        <v>-0.16666666666666666</v>
      </c>
    </row>
    <row r="136" spans="1:6" ht="20.25" customHeight="1" x14ac:dyDescent="0.3">
      <c r="A136" s="235">
        <v>6</v>
      </c>
      <c r="B136" s="236" t="s">
        <v>372</v>
      </c>
      <c r="C136" s="239">
        <v>37</v>
      </c>
      <c r="D136" s="239">
        <v>30</v>
      </c>
      <c r="E136" s="239">
        <f t="shared" si="18"/>
        <v>-7</v>
      </c>
      <c r="F136" s="238">
        <f t="shared" si="19"/>
        <v>-0.1891891891891892</v>
      </c>
    </row>
    <row r="137" spans="1:6" ht="20.25" customHeight="1" x14ac:dyDescent="0.3">
      <c r="A137" s="235">
        <v>7</v>
      </c>
      <c r="B137" s="236" t="s">
        <v>438</v>
      </c>
      <c r="C137" s="239">
        <v>24</v>
      </c>
      <c r="D137" s="239">
        <v>8</v>
      </c>
      <c r="E137" s="239">
        <f t="shared" si="18"/>
        <v>-16</v>
      </c>
      <c r="F137" s="238">
        <f t="shared" si="19"/>
        <v>-0.66666666666666663</v>
      </c>
    </row>
    <row r="138" spans="1:6" ht="20.25" customHeight="1" x14ac:dyDescent="0.3">
      <c r="A138" s="235">
        <v>8</v>
      </c>
      <c r="B138" s="236" t="s">
        <v>439</v>
      </c>
      <c r="C138" s="239">
        <v>7</v>
      </c>
      <c r="D138" s="239">
        <v>6</v>
      </c>
      <c r="E138" s="239">
        <f t="shared" si="18"/>
        <v>-1</v>
      </c>
      <c r="F138" s="238">
        <f t="shared" si="19"/>
        <v>-0.14285714285714285</v>
      </c>
    </row>
    <row r="139" spans="1:6" ht="20.25" customHeight="1" x14ac:dyDescent="0.3">
      <c r="A139" s="235">
        <v>9</v>
      </c>
      <c r="B139" s="236" t="s">
        <v>440</v>
      </c>
      <c r="C139" s="239">
        <v>5</v>
      </c>
      <c r="D139" s="239">
        <v>6</v>
      </c>
      <c r="E139" s="239">
        <f t="shared" si="18"/>
        <v>1</v>
      </c>
      <c r="F139" s="238">
        <f t="shared" si="19"/>
        <v>0.2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310516</v>
      </c>
      <c r="D140" s="243">
        <f>+D131+D133</f>
        <v>200982</v>
      </c>
      <c r="E140" s="243">
        <f t="shared" si="18"/>
        <v>-109534</v>
      </c>
      <c r="F140" s="244">
        <f t="shared" si="19"/>
        <v>-0.35274832858854294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99648</v>
      </c>
      <c r="D141" s="243">
        <f>+D132+D134</f>
        <v>51305</v>
      </c>
      <c r="E141" s="243">
        <f t="shared" si="18"/>
        <v>-48343</v>
      </c>
      <c r="F141" s="244">
        <f t="shared" si="19"/>
        <v>-0.48513768464996787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888825</v>
      </c>
      <c r="D183" s="237">
        <v>1332217</v>
      </c>
      <c r="E183" s="237">
        <f t="shared" ref="E183:E193" si="26">D183-C183</f>
        <v>443392</v>
      </c>
      <c r="F183" s="238">
        <f t="shared" ref="F183:F193" si="27">IF(C183=0,0,E183/C183)</f>
        <v>0.49885185497707646</v>
      </c>
    </row>
    <row r="184" spans="1:6" ht="20.25" customHeight="1" x14ac:dyDescent="0.3">
      <c r="A184" s="235">
        <v>2</v>
      </c>
      <c r="B184" s="236" t="s">
        <v>435</v>
      </c>
      <c r="C184" s="237">
        <v>274039</v>
      </c>
      <c r="D184" s="237">
        <v>358452</v>
      </c>
      <c r="E184" s="237">
        <f t="shared" si="26"/>
        <v>84413</v>
      </c>
      <c r="F184" s="238">
        <f t="shared" si="27"/>
        <v>0.30803279825134378</v>
      </c>
    </row>
    <row r="185" spans="1:6" ht="20.25" customHeight="1" x14ac:dyDescent="0.3">
      <c r="A185" s="235">
        <v>3</v>
      </c>
      <c r="B185" s="236" t="s">
        <v>436</v>
      </c>
      <c r="C185" s="237">
        <v>286532</v>
      </c>
      <c r="D185" s="237">
        <v>487889</v>
      </c>
      <c r="E185" s="237">
        <f t="shared" si="26"/>
        <v>201357</v>
      </c>
      <c r="F185" s="238">
        <f t="shared" si="27"/>
        <v>0.70273826309103349</v>
      </c>
    </row>
    <row r="186" spans="1:6" ht="20.25" customHeight="1" x14ac:dyDescent="0.3">
      <c r="A186" s="235">
        <v>4</v>
      </c>
      <c r="B186" s="236" t="s">
        <v>437</v>
      </c>
      <c r="C186" s="237">
        <v>76655</v>
      </c>
      <c r="D186" s="237">
        <v>140352</v>
      </c>
      <c r="E186" s="237">
        <f t="shared" si="26"/>
        <v>63697</v>
      </c>
      <c r="F186" s="238">
        <f t="shared" si="27"/>
        <v>0.83095688474333051</v>
      </c>
    </row>
    <row r="187" spans="1:6" ht="20.25" customHeight="1" x14ac:dyDescent="0.3">
      <c r="A187" s="235">
        <v>5</v>
      </c>
      <c r="B187" s="236" t="s">
        <v>373</v>
      </c>
      <c r="C187" s="239">
        <v>30</v>
      </c>
      <c r="D187" s="239">
        <v>36</v>
      </c>
      <c r="E187" s="239">
        <f t="shared" si="26"/>
        <v>6</v>
      </c>
      <c r="F187" s="238">
        <f t="shared" si="27"/>
        <v>0.2</v>
      </c>
    </row>
    <row r="188" spans="1:6" ht="20.25" customHeight="1" x14ac:dyDescent="0.3">
      <c r="A188" s="235">
        <v>6</v>
      </c>
      <c r="B188" s="236" t="s">
        <v>372</v>
      </c>
      <c r="C188" s="239">
        <v>161</v>
      </c>
      <c r="D188" s="239">
        <v>239</v>
      </c>
      <c r="E188" s="239">
        <f t="shared" si="26"/>
        <v>78</v>
      </c>
      <c r="F188" s="238">
        <f t="shared" si="27"/>
        <v>0.48447204968944102</v>
      </c>
    </row>
    <row r="189" spans="1:6" ht="20.25" customHeight="1" x14ac:dyDescent="0.3">
      <c r="A189" s="235">
        <v>7</v>
      </c>
      <c r="B189" s="236" t="s">
        <v>438</v>
      </c>
      <c r="C189" s="239">
        <v>98</v>
      </c>
      <c r="D189" s="239">
        <v>178</v>
      </c>
      <c r="E189" s="239">
        <f t="shared" si="26"/>
        <v>80</v>
      </c>
      <c r="F189" s="238">
        <f t="shared" si="27"/>
        <v>0.81632653061224492</v>
      </c>
    </row>
    <row r="190" spans="1:6" ht="20.25" customHeight="1" x14ac:dyDescent="0.3">
      <c r="A190" s="235">
        <v>8</v>
      </c>
      <c r="B190" s="236" t="s">
        <v>439</v>
      </c>
      <c r="C190" s="239">
        <v>21</v>
      </c>
      <c r="D190" s="239">
        <v>27</v>
      </c>
      <c r="E190" s="239">
        <f t="shared" si="26"/>
        <v>6</v>
      </c>
      <c r="F190" s="238">
        <f t="shared" si="27"/>
        <v>0.2857142857142857</v>
      </c>
    </row>
    <row r="191" spans="1:6" ht="20.25" customHeight="1" x14ac:dyDescent="0.3">
      <c r="A191" s="235">
        <v>9</v>
      </c>
      <c r="B191" s="236" t="s">
        <v>440</v>
      </c>
      <c r="C191" s="239">
        <v>31</v>
      </c>
      <c r="D191" s="239">
        <v>34</v>
      </c>
      <c r="E191" s="239">
        <f t="shared" si="26"/>
        <v>3</v>
      </c>
      <c r="F191" s="238">
        <f t="shared" si="27"/>
        <v>9.6774193548387094E-2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1175357</v>
      </c>
      <c r="D192" s="243">
        <f>+D183+D185</f>
        <v>1820106</v>
      </c>
      <c r="E192" s="243">
        <f t="shared" si="26"/>
        <v>644749</v>
      </c>
      <c r="F192" s="244">
        <f t="shared" si="27"/>
        <v>0.54855588557348955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350694</v>
      </c>
      <c r="D193" s="243">
        <f>+D184+D186</f>
        <v>498804</v>
      </c>
      <c r="E193" s="243">
        <f t="shared" si="26"/>
        <v>148110</v>
      </c>
      <c r="F193" s="244">
        <f t="shared" si="27"/>
        <v>0.42233400058170373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14948306</v>
      </c>
      <c r="D198" s="243">
        <f t="shared" si="28"/>
        <v>19060417</v>
      </c>
      <c r="E198" s="243">
        <f t="shared" ref="E198:E208" si="29">D198-C198</f>
        <v>4112111</v>
      </c>
      <c r="F198" s="251">
        <f t="shared" ref="F198:F208" si="30">IF(C198=0,0,E198/C198)</f>
        <v>0.27508876256613962</v>
      </c>
    </row>
    <row r="199" spans="1:9" ht="20.25" customHeight="1" x14ac:dyDescent="0.3">
      <c r="A199" s="249"/>
      <c r="B199" s="250" t="s">
        <v>461</v>
      </c>
      <c r="C199" s="243">
        <f t="shared" si="28"/>
        <v>5647637</v>
      </c>
      <c r="D199" s="243">
        <f t="shared" si="28"/>
        <v>6065853</v>
      </c>
      <c r="E199" s="243">
        <f t="shared" si="29"/>
        <v>418216</v>
      </c>
      <c r="F199" s="251">
        <f t="shared" si="30"/>
        <v>7.4051501539493414E-2</v>
      </c>
    </row>
    <row r="200" spans="1:9" ht="20.25" customHeight="1" x14ac:dyDescent="0.3">
      <c r="A200" s="249"/>
      <c r="B200" s="250" t="s">
        <v>462</v>
      </c>
      <c r="C200" s="243">
        <f t="shared" si="28"/>
        <v>6273338</v>
      </c>
      <c r="D200" s="243">
        <f t="shared" si="28"/>
        <v>8303929</v>
      </c>
      <c r="E200" s="243">
        <f t="shared" si="29"/>
        <v>2030591</v>
      </c>
      <c r="F200" s="251">
        <f t="shared" si="30"/>
        <v>0.32368589098817885</v>
      </c>
    </row>
    <row r="201" spans="1:9" ht="20.25" customHeight="1" x14ac:dyDescent="0.3">
      <c r="A201" s="249"/>
      <c r="B201" s="250" t="s">
        <v>463</v>
      </c>
      <c r="C201" s="243">
        <f t="shared" si="28"/>
        <v>1768008</v>
      </c>
      <c r="D201" s="243">
        <f t="shared" si="28"/>
        <v>1800247</v>
      </c>
      <c r="E201" s="243">
        <f t="shared" si="29"/>
        <v>32239</v>
      </c>
      <c r="F201" s="251">
        <f t="shared" si="30"/>
        <v>1.8234645997076936E-2</v>
      </c>
    </row>
    <row r="202" spans="1:9" ht="20.25" customHeight="1" x14ac:dyDescent="0.3">
      <c r="A202" s="249"/>
      <c r="B202" s="250" t="s">
        <v>464</v>
      </c>
      <c r="C202" s="252">
        <f t="shared" si="28"/>
        <v>456</v>
      </c>
      <c r="D202" s="252">
        <f t="shared" si="28"/>
        <v>476</v>
      </c>
      <c r="E202" s="252">
        <f t="shared" si="29"/>
        <v>20</v>
      </c>
      <c r="F202" s="251">
        <f t="shared" si="30"/>
        <v>4.3859649122807015E-2</v>
      </c>
    </row>
    <row r="203" spans="1:9" ht="20.25" customHeight="1" x14ac:dyDescent="0.3">
      <c r="A203" s="249"/>
      <c r="B203" s="250" t="s">
        <v>465</v>
      </c>
      <c r="C203" s="252">
        <f t="shared" si="28"/>
        <v>2783</v>
      </c>
      <c r="D203" s="252">
        <f t="shared" si="28"/>
        <v>3105</v>
      </c>
      <c r="E203" s="252">
        <f t="shared" si="29"/>
        <v>322</v>
      </c>
      <c r="F203" s="251">
        <f t="shared" si="30"/>
        <v>0.11570247933884298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2843</v>
      </c>
      <c r="D204" s="252">
        <f t="shared" si="28"/>
        <v>3812</v>
      </c>
      <c r="E204" s="252">
        <f t="shared" si="29"/>
        <v>969</v>
      </c>
      <c r="F204" s="251">
        <f t="shared" si="30"/>
        <v>0.3408371438621175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474</v>
      </c>
      <c r="D205" s="252">
        <f t="shared" si="28"/>
        <v>568</v>
      </c>
      <c r="E205" s="252">
        <f t="shared" si="29"/>
        <v>94</v>
      </c>
      <c r="F205" s="251">
        <f t="shared" si="30"/>
        <v>0.19831223628691982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348</v>
      </c>
      <c r="D206" s="252">
        <f t="shared" si="28"/>
        <v>367</v>
      </c>
      <c r="E206" s="252">
        <f t="shared" si="29"/>
        <v>19</v>
      </c>
      <c r="F206" s="251">
        <f t="shared" si="30"/>
        <v>5.459770114942529E-2</v>
      </c>
    </row>
    <row r="207" spans="1:9" ht="20.25" customHeight="1" x14ac:dyDescent="0.3">
      <c r="A207" s="249"/>
      <c r="B207" s="242" t="s">
        <v>469</v>
      </c>
      <c r="C207" s="243">
        <f>+C198+C200</f>
        <v>21221644</v>
      </c>
      <c r="D207" s="243">
        <f>+D198+D200</f>
        <v>27364346</v>
      </c>
      <c r="E207" s="243">
        <f t="shared" si="29"/>
        <v>6142702</v>
      </c>
      <c r="F207" s="251">
        <f t="shared" si="30"/>
        <v>0.28945457760011428</v>
      </c>
    </row>
    <row r="208" spans="1:9" ht="20.25" customHeight="1" x14ac:dyDescent="0.3">
      <c r="A208" s="249"/>
      <c r="B208" s="242" t="s">
        <v>470</v>
      </c>
      <c r="C208" s="243">
        <f>+C199+C201</f>
        <v>7415645</v>
      </c>
      <c r="D208" s="243">
        <f>+D199+D201</f>
        <v>7866100</v>
      </c>
      <c r="E208" s="243">
        <f t="shared" si="29"/>
        <v>450455</v>
      </c>
      <c r="F208" s="251">
        <f t="shared" si="30"/>
        <v>6.0743873257147557E-2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FILING&amp;RNORWALK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2051816</v>
      </c>
      <c r="D14" s="237">
        <v>0</v>
      </c>
      <c r="E14" s="237">
        <f t="shared" ref="E14:E24" si="0">D14-C14</f>
        <v>-2051816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521393</v>
      </c>
      <c r="D15" s="237">
        <v>0</v>
      </c>
      <c r="E15" s="237">
        <f t="shared" si="0"/>
        <v>-521393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1857430</v>
      </c>
      <c r="D16" s="237">
        <v>0</v>
      </c>
      <c r="E16" s="237">
        <f t="shared" si="0"/>
        <v>-1857430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572071</v>
      </c>
      <c r="D17" s="237">
        <v>0</v>
      </c>
      <c r="E17" s="237">
        <f t="shared" si="0"/>
        <v>-572071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131</v>
      </c>
      <c r="D18" s="239">
        <v>0</v>
      </c>
      <c r="E18" s="239">
        <f t="shared" si="0"/>
        <v>-131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452</v>
      </c>
      <c r="D19" s="239">
        <v>0</v>
      </c>
      <c r="E19" s="239">
        <f t="shared" si="0"/>
        <v>-452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905</v>
      </c>
      <c r="D20" s="239">
        <v>0</v>
      </c>
      <c r="E20" s="239">
        <f t="shared" si="0"/>
        <v>-905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662</v>
      </c>
      <c r="D21" s="239">
        <v>0</v>
      </c>
      <c r="E21" s="239">
        <f t="shared" si="0"/>
        <v>-662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35</v>
      </c>
      <c r="D22" s="239">
        <v>0</v>
      </c>
      <c r="E22" s="239">
        <f t="shared" si="0"/>
        <v>-35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3909246</v>
      </c>
      <c r="D23" s="243">
        <f>+D14+D16</f>
        <v>0</v>
      </c>
      <c r="E23" s="243">
        <f t="shared" si="0"/>
        <v>-3909246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1093464</v>
      </c>
      <c r="D24" s="243">
        <f>+D15+D17</f>
        <v>0</v>
      </c>
      <c r="E24" s="243">
        <f t="shared" si="0"/>
        <v>-1093464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7301991</v>
      </c>
      <c r="D26" s="237">
        <v>10477914</v>
      </c>
      <c r="E26" s="237">
        <f t="shared" ref="E26:E36" si="2">D26-C26</f>
        <v>3175923</v>
      </c>
      <c r="F26" s="238">
        <f t="shared" ref="F26:F36" si="3">IF(C26=0,0,E26/C26)</f>
        <v>0.43493931997451107</v>
      </c>
    </row>
    <row r="27" spans="1:6" ht="20.25" customHeight="1" x14ac:dyDescent="0.3">
      <c r="A27" s="235">
        <v>2</v>
      </c>
      <c r="B27" s="236" t="s">
        <v>435</v>
      </c>
      <c r="C27" s="237">
        <v>1758613</v>
      </c>
      <c r="D27" s="237">
        <v>2834169</v>
      </c>
      <c r="E27" s="237">
        <f t="shared" si="2"/>
        <v>1075556</v>
      </c>
      <c r="F27" s="238">
        <f t="shared" si="3"/>
        <v>0.61159334088852979</v>
      </c>
    </row>
    <row r="28" spans="1:6" ht="20.25" customHeight="1" x14ac:dyDescent="0.3">
      <c r="A28" s="235">
        <v>3</v>
      </c>
      <c r="B28" s="236" t="s">
        <v>436</v>
      </c>
      <c r="C28" s="237">
        <v>8746320</v>
      </c>
      <c r="D28" s="237">
        <v>12621462</v>
      </c>
      <c r="E28" s="237">
        <f t="shared" si="2"/>
        <v>3875142</v>
      </c>
      <c r="F28" s="238">
        <f t="shared" si="3"/>
        <v>0.44305970968361552</v>
      </c>
    </row>
    <row r="29" spans="1:6" ht="20.25" customHeight="1" x14ac:dyDescent="0.3">
      <c r="A29" s="235">
        <v>4</v>
      </c>
      <c r="B29" s="236" t="s">
        <v>437</v>
      </c>
      <c r="C29" s="237">
        <v>2420421</v>
      </c>
      <c r="D29" s="237">
        <v>3038423</v>
      </c>
      <c r="E29" s="237">
        <f t="shared" si="2"/>
        <v>618002</v>
      </c>
      <c r="F29" s="238">
        <f t="shared" si="3"/>
        <v>0.25532830858763828</v>
      </c>
    </row>
    <row r="30" spans="1:6" ht="20.25" customHeight="1" x14ac:dyDescent="0.3">
      <c r="A30" s="235">
        <v>5</v>
      </c>
      <c r="B30" s="236" t="s">
        <v>373</v>
      </c>
      <c r="C30" s="239">
        <v>632</v>
      </c>
      <c r="D30" s="239">
        <v>721</v>
      </c>
      <c r="E30" s="239">
        <f t="shared" si="2"/>
        <v>89</v>
      </c>
      <c r="F30" s="238">
        <f t="shared" si="3"/>
        <v>0.14082278481012658</v>
      </c>
    </row>
    <row r="31" spans="1:6" ht="20.25" customHeight="1" x14ac:dyDescent="0.3">
      <c r="A31" s="235">
        <v>6</v>
      </c>
      <c r="B31" s="236" t="s">
        <v>372</v>
      </c>
      <c r="C31" s="239">
        <v>1696</v>
      </c>
      <c r="D31" s="239">
        <v>2065</v>
      </c>
      <c r="E31" s="239">
        <f t="shared" si="2"/>
        <v>369</v>
      </c>
      <c r="F31" s="238">
        <f t="shared" si="3"/>
        <v>0.21757075471698112</v>
      </c>
    </row>
    <row r="32" spans="1:6" ht="20.25" customHeight="1" x14ac:dyDescent="0.3">
      <c r="A32" s="235">
        <v>7</v>
      </c>
      <c r="B32" s="236" t="s">
        <v>438</v>
      </c>
      <c r="C32" s="239">
        <v>6464</v>
      </c>
      <c r="D32" s="239">
        <v>7512</v>
      </c>
      <c r="E32" s="239">
        <f t="shared" si="2"/>
        <v>1048</v>
      </c>
      <c r="F32" s="238">
        <f t="shared" si="3"/>
        <v>0.16212871287128713</v>
      </c>
    </row>
    <row r="33" spans="1:6" ht="20.25" customHeight="1" x14ac:dyDescent="0.3">
      <c r="A33" s="235">
        <v>8</v>
      </c>
      <c r="B33" s="236" t="s">
        <v>439</v>
      </c>
      <c r="C33" s="239">
        <v>3016</v>
      </c>
      <c r="D33" s="239">
        <v>3830</v>
      </c>
      <c r="E33" s="239">
        <f t="shared" si="2"/>
        <v>814</v>
      </c>
      <c r="F33" s="238">
        <f t="shared" si="3"/>
        <v>0.26989389920424406</v>
      </c>
    </row>
    <row r="34" spans="1:6" ht="20.25" customHeight="1" x14ac:dyDescent="0.3">
      <c r="A34" s="235">
        <v>9</v>
      </c>
      <c r="B34" s="236" t="s">
        <v>440</v>
      </c>
      <c r="C34" s="239">
        <v>204</v>
      </c>
      <c r="D34" s="239">
        <v>233</v>
      </c>
      <c r="E34" s="239">
        <f t="shared" si="2"/>
        <v>29</v>
      </c>
      <c r="F34" s="238">
        <f t="shared" si="3"/>
        <v>0.14215686274509803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16048311</v>
      </c>
      <c r="D35" s="243">
        <f>+D26+D28</f>
        <v>23099376</v>
      </c>
      <c r="E35" s="243">
        <f t="shared" si="2"/>
        <v>7051065</v>
      </c>
      <c r="F35" s="244">
        <f t="shared" si="3"/>
        <v>0.43936492756153589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4179034</v>
      </c>
      <c r="D36" s="243">
        <f>+D27+D29</f>
        <v>5872592</v>
      </c>
      <c r="E36" s="243">
        <f t="shared" si="2"/>
        <v>1693558</v>
      </c>
      <c r="F36" s="244">
        <f t="shared" si="3"/>
        <v>0.40525106998411592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294223</v>
      </c>
      <c r="D50" s="237">
        <v>5127407</v>
      </c>
      <c r="E50" s="237">
        <f t="shared" ref="E50:E60" si="6">D50-C50</f>
        <v>4833184</v>
      </c>
      <c r="F50" s="238">
        <f t="shared" ref="F50:F60" si="7">IF(C50=0,0,E50/C50)</f>
        <v>16.426941469565602</v>
      </c>
    </row>
    <row r="51" spans="1:6" ht="20.25" customHeight="1" x14ac:dyDescent="0.3">
      <c r="A51" s="235">
        <v>2</v>
      </c>
      <c r="B51" s="236" t="s">
        <v>435</v>
      </c>
      <c r="C51" s="237">
        <v>86558</v>
      </c>
      <c r="D51" s="237">
        <v>1175366</v>
      </c>
      <c r="E51" s="237">
        <f t="shared" si="6"/>
        <v>1088808</v>
      </c>
      <c r="F51" s="238">
        <f t="shared" si="7"/>
        <v>12.578941287922548</v>
      </c>
    </row>
    <row r="52" spans="1:6" ht="20.25" customHeight="1" x14ac:dyDescent="0.3">
      <c r="A52" s="235">
        <v>3</v>
      </c>
      <c r="B52" s="236" t="s">
        <v>436</v>
      </c>
      <c r="C52" s="237">
        <v>551461</v>
      </c>
      <c r="D52" s="237">
        <v>4535746</v>
      </c>
      <c r="E52" s="237">
        <f t="shared" si="6"/>
        <v>3984285</v>
      </c>
      <c r="F52" s="238">
        <f t="shared" si="7"/>
        <v>7.2249624180132415</v>
      </c>
    </row>
    <row r="53" spans="1:6" ht="20.25" customHeight="1" x14ac:dyDescent="0.3">
      <c r="A53" s="235">
        <v>4</v>
      </c>
      <c r="B53" s="236" t="s">
        <v>437</v>
      </c>
      <c r="C53" s="237">
        <v>57867</v>
      </c>
      <c r="D53" s="237">
        <v>1326699</v>
      </c>
      <c r="E53" s="237">
        <f t="shared" si="6"/>
        <v>1268832</v>
      </c>
      <c r="F53" s="238">
        <f t="shared" si="7"/>
        <v>21.926693970656849</v>
      </c>
    </row>
    <row r="54" spans="1:6" ht="20.25" customHeight="1" x14ac:dyDescent="0.3">
      <c r="A54" s="235">
        <v>5</v>
      </c>
      <c r="B54" s="236" t="s">
        <v>373</v>
      </c>
      <c r="C54" s="239">
        <v>20</v>
      </c>
      <c r="D54" s="239">
        <v>204</v>
      </c>
      <c r="E54" s="239">
        <f t="shared" si="6"/>
        <v>184</v>
      </c>
      <c r="F54" s="238">
        <f t="shared" si="7"/>
        <v>9.1999999999999993</v>
      </c>
    </row>
    <row r="55" spans="1:6" ht="20.25" customHeight="1" x14ac:dyDescent="0.3">
      <c r="A55" s="235">
        <v>6</v>
      </c>
      <c r="B55" s="236" t="s">
        <v>372</v>
      </c>
      <c r="C55" s="239">
        <v>70</v>
      </c>
      <c r="D55" s="239">
        <v>875</v>
      </c>
      <c r="E55" s="239">
        <f t="shared" si="6"/>
        <v>805</v>
      </c>
      <c r="F55" s="238">
        <f t="shared" si="7"/>
        <v>11.5</v>
      </c>
    </row>
    <row r="56" spans="1:6" ht="20.25" customHeight="1" x14ac:dyDescent="0.3">
      <c r="A56" s="235">
        <v>7</v>
      </c>
      <c r="B56" s="236" t="s">
        <v>438</v>
      </c>
      <c r="C56" s="239">
        <v>1092</v>
      </c>
      <c r="D56" s="239">
        <v>4240</v>
      </c>
      <c r="E56" s="239">
        <f t="shared" si="6"/>
        <v>3148</v>
      </c>
      <c r="F56" s="238">
        <f t="shared" si="7"/>
        <v>2.8827838827838828</v>
      </c>
    </row>
    <row r="57" spans="1:6" ht="20.25" customHeight="1" x14ac:dyDescent="0.3">
      <c r="A57" s="235">
        <v>8</v>
      </c>
      <c r="B57" s="236" t="s">
        <v>439</v>
      </c>
      <c r="C57" s="239">
        <v>62</v>
      </c>
      <c r="D57" s="239">
        <v>1166</v>
      </c>
      <c r="E57" s="239">
        <f t="shared" si="6"/>
        <v>1104</v>
      </c>
      <c r="F57" s="238">
        <f t="shared" si="7"/>
        <v>17.806451612903224</v>
      </c>
    </row>
    <row r="58" spans="1:6" ht="20.25" customHeight="1" x14ac:dyDescent="0.3">
      <c r="A58" s="235">
        <v>9</v>
      </c>
      <c r="B58" s="236" t="s">
        <v>440</v>
      </c>
      <c r="C58" s="239">
        <v>13</v>
      </c>
      <c r="D58" s="239">
        <v>94</v>
      </c>
      <c r="E58" s="239">
        <f t="shared" si="6"/>
        <v>81</v>
      </c>
      <c r="F58" s="238">
        <f t="shared" si="7"/>
        <v>6.2307692307692308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845684</v>
      </c>
      <c r="D59" s="243">
        <f>+D50+D52</f>
        <v>9663153</v>
      </c>
      <c r="E59" s="243">
        <f t="shared" si="6"/>
        <v>8817469</v>
      </c>
      <c r="F59" s="244">
        <f t="shared" si="7"/>
        <v>10.42643469664792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144425</v>
      </c>
      <c r="D60" s="243">
        <f>+D51+D53</f>
        <v>2502065</v>
      </c>
      <c r="E60" s="243">
        <f t="shared" si="6"/>
        <v>2357640</v>
      </c>
      <c r="F60" s="244">
        <f t="shared" si="7"/>
        <v>16.324320581616757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2569168</v>
      </c>
      <c r="D86" s="237">
        <v>0</v>
      </c>
      <c r="E86" s="237">
        <f t="shared" ref="E86:E96" si="12">D86-C86</f>
        <v>-2569168</v>
      </c>
      <c r="F86" s="238">
        <f t="shared" ref="F86:F96" si="13">IF(C86=0,0,E86/C86)</f>
        <v>-1</v>
      </c>
    </row>
    <row r="87" spans="1:6" ht="20.25" customHeight="1" x14ac:dyDescent="0.3">
      <c r="A87" s="235">
        <v>2</v>
      </c>
      <c r="B87" s="236" t="s">
        <v>435</v>
      </c>
      <c r="C87" s="237">
        <v>690407</v>
      </c>
      <c r="D87" s="237">
        <v>0</v>
      </c>
      <c r="E87" s="237">
        <f t="shared" si="12"/>
        <v>-690407</v>
      </c>
      <c r="F87" s="238">
        <f t="shared" si="13"/>
        <v>-1</v>
      </c>
    </row>
    <row r="88" spans="1:6" ht="20.25" customHeight="1" x14ac:dyDescent="0.3">
      <c r="A88" s="235">
        <v>3</v>
      </c>
      <c r="B88" s="236" t="s">
        <v>436</v>
      </c>
      <c r="C88" s="237">
        <v>2077192</v>
      </c>
      <c r="D88" s="237">
        <v>0</v>
      </c>
      <c r="E88" s="237">
        <f t="shared" si="12"/>
        <v>-2077192</v>
      </c>
      <c r="F88" s="238">
        <f t="shared" si="13"/>
        <v>-1</v>
      </c>
    </row>
    <row r="89" spans="1:6" ht="20.25" customHeight="1" x14ac:dyDescent="0.3">
      <c r="A89" s="235">
        <v>4</v>
      </c>
      <c r="B89" s="236" t="s">
        <v>437</v>
      </c>
      <c r="C89" s="237">
        <v>570962</v>
      </c>
      <c r="D89" s="237">
        <v>0</v>
      </c>
      <c r="E89" s="237">
        <f t="shared" si="12"/>
        <v>-570962</v>
      </c>
      <c r="F89" s="238">
        <f t="shared" si="13"/>
        <v>-1</v>
      </c>
    </row>
    <row r="90" spans="1:6" ht="20.25" customHeight="1" x14ac:dyDescent="0.3">
      <c r="A90" s="235">
        <v>5</v>
      </c>
      <c r="B90" s="236" t="s">
        <v>373</v>
      </c>
      <c r="C90" s="239">
        <v>159</v>
      </c>
      <c r="D90" s="239">
        <v>0</v>
      </c>
      <c r="E90" s="239">
        <f t="shared" si="12"/>
        <v>-159</v>
      </c>
      <c r="F90" s="238">
        <f t="shared" si="13"/>
        <v>-1</v>
      </c>
    </row>
    <row r="91" spans="1:6" ht="20.25" customHeight="1" x14ac:dyDescent="0.3">
      <c r="A91" s="235">
        <v>6</v>
      </c>
      <c r="B91" s="236" t="s">
        <v>372</v>
      </c>
      <c r="C91" s="239">
        <v>540</v>
      </c>
      <c r="D91" s="239">
        <v>0</v>
      </c>
      <c r="E91" s="239">
        <f t="shared" si="12"/>
        <v>-540</v>
      </c>
      <c r="F91" s="238">
        <f t="shared" si="13"/>
        <v>-1</v>
      </c>
    </row>
    <row r="92" spans="1:6" ht="20.25" customHeight="1" x14ac:dyDescent="0.3">
      <c r="A92" s="235">
        <v>7</v>
      </c>
      <c r="B92" s="236" t="s">
        <v>438</v>
      </c>
      <c r="C92" s="239">
        <v>1316</v>
      </c>
      <c r="D92" s="239">
        <v>0</v>
      </c>
      <c r="E92" s="239">
        <f t="shared" si="12"/>
        <v>-1316</v>
      </c>
      <c r="F92" s="238">
        <f t="shared" si="13"/>
        <v>-1</v>
      </c>
    </row>
    <row r="93" spans="1:6" ht="20.25" customHeight="1" x14ac:dyDescent="0.3">
      <c r="A93" s="235">
        <v>8</v>
      </c>
      <c r="B93" s="236" t="s">
        <v>439</v>
      </c>
      <c r="C93" s="239">
        <v>649</v>
      </c>
      <c r="D93" s="239">
        <v>0</v>
      </c>
      <c r="E93" s="239">
        <f t="shared" si="12"/>
        <v>-649</v>
      </c>
      <c r="F93" s="238">
        <f t="shared" si="13"/>
        <v>-1</v>
      </c>
    </row>
    <row r="94" spans="1:6" ht="20.25" customHeight="1" x14ac:dyDescent="0.3">
      <c r="A94" s="235">
        <v>9</v>
      </c>
      <c r="B94" s="236" t="s">
        <v>440</v>
      </c>
      <c r="C94" s="239">
        <v>60</v>
      </c>
      <c r="D94" s="239">
        <v>0</v>
      </c>
      <c r="E94" s="239">
        <f t="shared" si="12"/>
        <v>-60</v>
      </c>
      <c r="F94" s="238">
        <f t="shared" si="13"/>
        <v>-1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4646360</v>
      </c>
      <c r="D95" s="243">
        <f>+D86+D88</f>
        <v>0</v>
      </c>
      <c r="E95" s="243">
        <f t="shared" si="12"/>
        <v>-4646360</v>
      </c>
      <c r="F95" s="244">
        <f t="shared" si="13"/>
        <v>-1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1261369</v>
      </c>
      <c r="D96" s="243">
        <f>+D87+D89</f>
        <v>0</v>
      </c>
      <c r="E96" s="243">
        <f t="shared" si="12"/>
        <v>-1261369</v>
      </c>
      <c r="F96" s="244">
        <f t="shared" si="13"/>
        <v>-1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2790843</v>
      </c>
      <c r="D98" s="237">
        <v>3221781</v>
      </c>
      <c r="E98" s="237">
        <f t="shared" ref="E98:E108" si="14">D98-C98</f>
        <v>430938</v>
      </c>
      <c r="F98" s="238">
        <f t="shared" ref="F98:F108" si="15">IF(C98=0,0,E98/C98)</f>
        <v>0.15441140902587497</v>
      </c>
    </row>
    <row r="99" spans="1:7" ht="20.25" customHeight="1" x14ac:dyDescent="0.3">
      <c r="A99" s="235">
        <v>2</v>
      </c>
      <c r="B99" s="236" t="s">
        <v>435</v>
      </c>
      <c r="C99" s="237">
        <v>783366</v>
      </c>
      <c r="D99" s="237">
        <v>892939</v>
      </c>
      <c r="E99" s="237">
        <f t="shared" si="14"/>
        <v>109573</v>
      </c>
      <c r="F99" s="238">
        <f t="shared" si="15"/>
        <v>0.13987459246380363</v>
      </c>
    </row>
    <row r="100" spans="1:7" ht="20.25" customHeight="1" x14ac:dyDescent="0.3">
      <c r="A100" s="235">
        <v>3</v>
      </c>
      <c r="B100" s="236" t="s">
        <v>436</v>
      </c>
      <c r="C100" s="237">
        <v>2428249</v>
      </c>
      <c r="D100" s="237">
        <v>3068328</v>
      </c>
      <c r="E100" s="237">
        <f t="shared" si="14"/>
        <v>640079</v>
      </c>
      <c r="F100" s="238">
        <f t="shared" si="15"/>
        <v>0.26359693754635544</v>
      </c>
    </row>
    <row r="101" spans="1:7" ht="20.25" customHeight="1" x14ac:dyDescent="0.3">
      <c r="A101" s="235">
        <v>4</v>
      </c>
      <c r="B101" s="236" t="s">
        <v>437</v>
      </c>
      <c r="C101" s="237">
        <v>663804</v>
      </c>
      <c r="D101" s="237">
        <v>747047</v>
      </c>
      <c r="E101" s="237">
        <f t="shared" si="14"/>
        <v>83243</v>
      </c>
      <c r="F101" s="238">
        <f t="shared" si="15"/>
        <v>0.12540298039782827</v>
      </c>
    </row>
    <row r="102" spans="1:7" ht="20.25" customHeight="1" x14ac:dyDescent="0.3">
      <c r="A102" s="235">
        <v>5</v>
      </c>
      <c r="B102" s="236" t="s">
        <v>373</v>
      </c>
      <c r="C102" s="239">
        <v>229</v>
      </c>
      <c r="D102" s="239">
        <v>229</v>
      </c>
      <c r="E102" s="239">
        <f t="shared" si="14"/>
        <v>0</v>
      </c>
      <c r="F102" s="238">
        <f t="shared" si="15"/>
        <v>0</v>
      </c>
    </row>
    <row r="103" spans="1:7" ht="20.25" customHeight="1" x14ac:dyDescent="0.3">
      <c r="A103" s="235">
        <v>6</v>
      </c>
      <c r="B103" s="236" t="s">
        <v>372</v>
      </c>
      <c r="C103" s="239">
        <v>648</v>
      </c>
      <c r="D103" s="239">
        <v>660</v>
      </c>
      <c r="E103" s="239">
        <f t="shared" si="14"/>
        <v>12</v>
      </c>
      <c r="F103" s="238">
        <f t="shared" si="15"/>
        <v>1.8518518518518517E-2</v>
      </c>
    </row>
    <row r="104" spans="1:7" ht="20.25" customHeight="1" x14ac:dyDescent="0.3">
      <c r="A104" s="235">
        <v>7</v>
      </c>
      <c r="B104" s="236" t="s">
        <v>438</v>
      </c>
      <c r="C104" s="239">
        <v>1417</v>
      </c>
      <c r="D104" s="239">
        <v>1525</v>
      </c>
      <c r="E104" s="239">
        <f t="shared" si="14"/>
        <v>108</v>
      </c>
      <c r="F104" s="238">
        <f t="shared" si="15"/>
        <v>7.621736062103035E-2</v>
      </c>
    </row>
    <row r="105" spans="1:7" ht="20.25" customHeight="1" x14ac:dyDescent="0.3">
      <c r="A105" s="235">
        <v>8</v>
      </c>
      <c r="B105" s="236" t="s">
        <v>439</v>
      </c>
      <c r="C105" s="239">
        <v>879</v>
      </c>
      <c r="D105" s="239">
        <v>943</v>
      </c>
      <c r="E105" s="239">
        <f t="shared" si="14"/>
        <v>64</v>
      </c>
      <c r="F105" s="238">
        <f t="shared" si="15"/>
        <v>7.2810011376564274E-2</v>
      </c>
    </row>
    <row r="106" spans="1:7" ht="20.25" customHeight="1" x14ac:dyDescent="0.3">
      <c r="A106" s="235">
        <v>9</v>
      </c>
      <c r="B106" s="236" t="s">
        <v>440</v>
      </c>
      <c r="C106" s="239">
        <v>55</v>
      </c>
      <c r="D106" s="239">
        <v>60</v>
      </c>
      <c r="E106" s="239">
        <f t="shared" si="14"/>
        <v>5</v>
      </c>
      <c r="F106" s="238">
        <f t="shared" si="15"/>
        <v>9.0909090909090912E-2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5219092</v>
      </c>
      <c r="D107" s="243">
        <f>+D98+D100</f>
        <v>6290109</v>
      </c>
      <c r="E107" s="243">
        <f t="shared" si="14"/>
        <v>1071017</v>
      </c>
      <c r="F107" s="244">
        <f t="shared" si="15"/>
        <v>0.20521136626830874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1447170</v>
      </c>
      <c r="D108" s="243">
        <f>+D99+D101</f>
        <v>1639986</v>
      </c>
      <c r="E108" s="243">
        <f t="shared" si="14"/>
        <v>192816</v>
      </c>
      <c r="F108" s="244">
        <f t="shared" si="15"/>
        <v>0.13323659279835817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15008041</v>
      </c>
      <c r="D112" s="243">
        <f t="shared" si="16"/>
        <v>18827102</v>
      </c>
      <c r="E112" s="243">
        <f t="shared" ref="E112:E122" si="17">D112-C112</f>
        <v>3819061</v>
      </c>
      <c r="F112" s="244">
        <f t="shared" ref="F112:F122" si="18">IF(C112=0,0,E112/C112)</f>
        <v>0.25446765503905538</v>
      </c>
    </row>
    <row r="113" spans="1:6" ht="20.25" customHeight="1" x14ac:dyDescent="0.3">
      <c r="A113" s="249"/>
      <c r="B113" s="250" t="s">
        <v>461</v>
      </c>
      <c r="C113" s="243">
        <f t="shared" si="16"/>
        <v>3840337</v>
      </c>
      <c r="D113" s="243">
        <f t="shared" si="16"/>
        <v>4902474</v>
      </c>
      <c r="E113" s="243">
        <f t="shared" si="17"/>
        <v>1062137</v>
      </c>
      <c r="F113" s="244">
        <f t="shared" si="18"/>
        <v>0.27657390484220523</v>
      </c>
    </row>
    <row r="114" spans="1:6" ht="20.25" customHeight="1" x14ac:dyDescent="0.3">
      <c r="A114" s="249"/>
      <c r="B114" s="250" t="s">
        <v>462</v>
      </c>
      <c r="C114" s="243">
        <f t="shared" si="16"/>
        <v>15660652</v>
      </c>
      <c r="D114" s="243">
        <f t="shared" si="16"/>
        <v>20225536</v>
      </c>
      <c r="E114" s="243">
        <f t="shared" si="17"/>
        <v>4564884</v>
      </c>
      <c r="F114" s="244">
        <f t="shared" si="18"/>
        <v>0.29148748085328757</v>
      </c>
    </row>
    <row r="115" spans="1:6" ht="20.25" customHeight="1" x14ac:dyDescent="0.3">
      <c r="A115" s="249"/>
      <c r="B115" s="250" t="s">
        <v>463</v>
      </c>
      <c r="C115" s="243">
        <f t="shared" si="16"/>
        <v>4285125</v>
      </c>
      <c r="D115" s="243">
        <f t="shared" si="16"/>
        <v>5112169</v>
      </c>
      <c r="E115" s="243">
        <f t="shared" si="17"/>
        <v>827044</v>
      </c>
      <c r="F115" s="244">
        <f t="shared" si="18"/>
        <v>0.19300347131063855</v>
      </c>
    </row>
    <row r="116" spans="1:6" ht="20.25" customHeight="1" x14ac:dyDescent="0.3">
      <c r="A116" s="249"/>
      <c r="B116" s="250" t="s">
        <v>464</v>
      </c>
      <c r="C116" s="252">
        <f t="shared" si="16"/>
        <v>1171</v>
      </c>
      <c r="D116" s="252">
        <f t="shared" si="16"/>
        <v>1154</v>
      </c>
      <c r="E116" s="252">
        <f t="shared" si="17"/>
        <v>-17</v>
      </c>
      <c r="F116" s="244">
        <f t="shared" si="18"/>
        <v>-1.4517506404782237E-2</v>
      </c>
    </row>
    <row r="117" spans="1:6" ht="20.25" customHeight="1" x14ac:dyDescent="0.3">
      <c r="A117" s="249"/>
      <c r="B117" s="250" t="s">
        <v>465</v>
      </c>
      <c r="C117" s="252">
        <f t="shared" si="16"/>
        <v>3406</v>
      </c>
      <c r="D117" s="252">
        <f t="shared" si="16"/>
        <v>3600</v>
      </c>
      <c r="E117" s="252">
        <f t="shared" si="17"/>
        <v>194</v>
      </c>
      <c r="F117" s="244">
        <f t="shared" si="18"/>
        <v>5.695830886670581E-2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11194</v>
      </c>
      <c r="D118" s="252">
        <f t="shared" si="16"/>
        <v>13277</v>
      </c>
      <c r="E118" s="252">
        <f t="shared" si="17"/>
        <v>2083</v>
      </c>
      <c r="F118" s="244">
        <f t="shared" si="18"/>
        <v>0.18608182955154548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5268</v>
      </c>
      <c r="D119" s="252">
        <f t="shared" si="16"/>
        <v>5939</v>
      </c>
      <c r="E119" s="252">
        <f t="shared" si="17"/>
        <v>671</v>
      </c>
      <c r="F119" s="244">
        <f t="shared" si="18"/>
        <v>0.12737281700835232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367</v>
      </c>
      <c r="D120" s="252">
        <f t="shared" si="16"/>
        <v>387</v>
      </c>
      <c r="E120" s="252">
        <f t="shared" si="17"/>
        <v>20</v>
      </c>
      <c r="F120" s="244">
        <f t="shared" si="18"/>
        <v>5.4495912806539509E-2</v>
      </c>
    </row>
    <row r="121" spans="1:6" ht="39.950000000000003" customHeight="1" x14ac:dyDescent="0.3">
      <c r="A121" s="249"/>
      <c r="B121" s="242" t="s">
        <v>441</v>
      </c>
      <c r="C121" s="243">
        <f>+C112+C114</f>
        <v>30668693</v>
      </c>
      <c r="D121" s="243">
        <f>+D112+D114</f>
        <v>39052638</v>
      </c>
      <c r="E121" s="243">
        <f t="shared" si="17"/>
        <v>8383945</v>
      </c>
      <c r="F121" s="244">
        <f t="shared" si="18"/>
        <v>0.2733714475540252</v>
      </c>
    </row>
    <row r="122" spans="1:6" ht="39.950000000000003" customHeight="1" x14ac:dyDescent="0.3">
      <c r="A122" s="249"/>
      <c r="B122" s="242" t="s">
        <v>470</v>
      </c>
      <c r="C122" s="243">
        <f>+C113+C115</f>
        <v>8125462</v>
      </c>
      <c r="D122" s="243">
        <f>+D113+D115</f>
        <v>10014643</v>
      </c>
      <c r="E122" s="243">
        <f t="shared" si="17"/>
        <v>1889181</v>
      </c>
      <c r="F122" s="244">
        <f t="shared" si="18"/>
        <v>0.23250136423012008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FILING&amp;RNORWALK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17551919</v>
      </c>
      <c r="D13" s="23">
        <v>28741901</v>
      </c>
      <c r="E13" s="23">
        <f t="shared" ref="E13:E22" si="0">D13-C13</f>
        <v>11189982</v>
      </c>
      <c r="F13" s="24">
        <f t="shared" ref="F13:F22" si="1">IF(C13=0,0,E13/C13)</f>
        <v>0.63753610075342759</v>
      </c>
    </row>
    <row r="14" spans="1:8" ht="24" customHeight="1" x14ac:dyDescent="0.2">
      <c r="A14" s="21">
        <v>2</v>
      </c>
      <c r="B14" s="22" t="s">
        <v>17</v>
      </c>
      <c r="C14" s="23">
        <v>16173831</v>
      </c>
      <c r="D14" s="23">
        <v>31620264</v>
      </c>
      <c r="E14" s="23">
        <f t="shared" si="0"/>
        <v>15446433</v>
      </c>
      <c r="F14" s="24">
        <f t="shared" si="1"/>
        <v>0.95502623960890898</v>
      </c>
    </row>
    <row r="15" spans="1:8" ht="35.1" customHeight="1" x14ac:dyDescent="0.2">
      <c r="A15" s="21">
        <v>3</v>
      </c>
      <c r="B15" s="22" t="s">
        <v>18</v>
      </c>
      <c r="C15" s="23">
        <v>45676015</v>
      </c>
      <c r="D15" s="23">
        <v>42567297</v>
      </c>
      <c r="E15" s="23">
        <f t="shared" si="0"/>
        <v>-3108718</v>
      </c>
      <c r="F15" s="24">
        <f t="shared" si="1"/>
        <v>-6.8060184322121797E-2</v>
      </c>
    </row>
    <row r="16" spans="1:8" ht="35.1" customHeight="1" x14ac:dyDescent="0.2">
      <c r="A16" s="21">
        <v>4</v>
      </c>
      <c r="B16" s="22" t="s">
        <v>19</v>
      </c>
      <c r="C16" s="23">
        <v>570997</v>
      </c>
      <c r="D16" s="23">
        <v>713491</v>
      </c>
      <c r="E16" s="23">
        <f t="shared" si="0"/>
        <v>142494</v>
      </c>
      <c r="F16" s="24">
        <f t="shared" si="1"/>
        <v>0.24955297488428135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313892</v>
      </c>
      <c r="D18" s="23">
        <v>0</v>
      </c>
      <c r="E18" s="23">
        <f t="shared" si="0"/>
        <v>-313892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2793225</v>
      </c>
      <c r="D19" s="23">
        <v>2823407</v>
      </c>
      <c r="E19" s="23">
        <f t="shared" si="0"/>
        <v>30182</v>
      </c>
      <c r="F19" s="24">
        <f t="shared" si="1"/>
        <v>1.0805430998218905E-2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5951888</v>
      </c>
      <c r="D21" s="23">
        <v>4186065</v>
      </c>
      <c r="E21" s="23">
        <f t="shared" si="0"/>
        <v>-1765823</v>
      </c>
      <c r="F21" s="24">
        <f t="shared" si="1"/>
        <v>-0.29668283408558765</v>
      </c>
    </row>
    <row r="22" spans="1:11" ht="24" customHeight="1" x14ac:dyDescent="0.25">
      <c r="A22" s="25"/>
      <c r="B22" s="26" t="s">
        <v>25</v>
      </c>
      <c r="C22" s="27">
        <f>SUM(C13:C21)</f>
        <v>89031767</v>
      </c>
      <c r="D22" s="27">
        <f>SUM(D13:D21)</f>
        <v>110652425</v>
      </c>
      <c r="E22" s="27">
        <f t="shared" si="0"/>
        <v>21620658</v>
      </c>
      <c r="F22" s="28">
        <f t="shared" si="1"/>
        <v>0.24284206332780073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3650949</v>
      </c>
      <c r="D25" s="23">
        <v>2663939</v>
      </c>
      <c r="E25" s="23">
        <f>D25-C25</f>
        <v>-987010</v>
      </c>
      <c r="F25" s="24">
        <f>IF(C25=0,0,E25/C25)</f>
        <v>-0.2703434093437076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12329432</v>
      </c>
      <c r="D28" s="23">
        <v>12651908</v>
      </c>
      <c r="E28" s="23">
        <f>D28-C28</f>
        <v>322476</v>
      </c>
      <c r="F28" s="24">
        <f>IF(C28=0,0,E28/C28)</f>
        <v>2.6154976157863559E-2</v>
      </c>
    </row>
    <row r="29" spans="1:11" ht="35.1" customHeight="1" x14ac:dyDescent="0.25">
      <c r="A29" s="25"/>
      <c r="B29" s="26" t="s">
        <v>32</v>
      </c>
      <c r="C29" s="27">
        <f>SUM(C25:C28)</f>
        <v>15980381</v>
      </c>
      <c r="D29" s="27">
        <f>SUM(D25:D28)</f>
        <v>15315847</v>
      </c>
      <c r="E29" s="27">
        <f>D29-C29</f>
        <v>-664534</v>
      </c>
      <c r="F29" s="28">
        <f>IF(C29=0,0,E29/C29)</f>
        <v>-4.1584365228839036E-2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86977157</v>
      </c>
      <c r="D32" s="23">
        <v>81001828</v>
      </c>
      <c r="E32" s="23">
        <f>D32-C32</f>
        <v>-5975329</v>
      </c>
      <c r="F32" s="24">
        <f>IF(C32=0,0,E32/C32)</f>
        <v>-6.8699980616749756E-2</v>
      </c>
    </row>
    <row r="33" spans="1:8" ht="24" customHeight="1" x14ac:dyDescent="0.2">
      <c r="A33" s="21">
        <v>7</v>
      </c>
      <c r="B33" s="22" t="s">
        <v>35</v>
      </c>
      <c r="C33" s="23">
        <v>13215691</v>
      </c>
      <c r="D33" s="23">
        <v>13569024</v>
      </c>
      <c r="E33" s="23">
        <f>D33-C33</f>
        <v>353333</v>
      </c>
      <c r="F33" s="24">
        <f>IF(C33=0,0,E33/C33)</f>
        <v>2.6735870262099802E-2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375427563</v>
      </c>
      <c r="D36" s="23">
        <v>382139876</v>
      </c>
      <c r="E36" s="23">
        <f>D36-C36</f>
        <v>6712313</v>
      </c>
      <c r="F36" s="24">
        <f>IF(C36=0,0,E36/C36)</f>
        <v>1.7879116137245361E-2</v>
      </c>
    </row>
    <row r="37" spans="1:8" ht="24" customHeight="1" x14ac:dyDescent="0.2">
      <c r="A37" s="21">
        <v>2</v>
      </c>
      <c r="B37" s="22" t="s">
        <v>39</v>
      </c>
      <c r="C37" s="23">
        <v>254935027</v>
      </c>
      <c r="D37" s="23">
        <v>268542864</v>
      </c>
      <c r="E37" s="23">
        <f>D37-C37</f>
        <v>13607837</v>
      </c>
      <c r="F37" s="23">
        <f>IF(C37=0,0,E37/C37)</f>
        <v>5.3377667086916228E-2</v>
      </c>
    </row>
    <row r="38" spans="1:8" ht="24" customHeight="1" x14ac:dyDescent="0.25">
      <c r="A38" s="25"/>
      <c r="B38" s="26" t="s">
        <v>40</v>
      </c>
      <c r="C38" s="27">
        <f>C36-C37</f>
        <v>120492536</v>
      </c>
      <c r="D38" s="27">
        <f>D36-D37</f>
        <v>113597012</v>
      </c>
      <c r="E38" s="27">
        <f>D38-C38</f>
        <v>-6895524</v>
      </c>
      <c r="F38" s="28">
        <f>IF(C38=0,0,E38/C38)</f>
        <v>-5.7227810359971175E-2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3130487</v>
      </c>
      <c r="D40" s="23">
        <v>5544843</v>
      </c>
      <c r="E40" s="23">
        <f>D40-C40</f>
        <v>2414356</v>
      </c>
      <c r="F40" s="24">
        <f>IF(C40=0,0,E40/C40)</f>
        <v>0.77123974640367454</v>
      </c>
    </row>
    <row r="41" spans="1:8" ht="24" customHeight="1" x14ac:dyDescent="0.25">
      <c r="A41" s="25"/>
      <c r="B41" s="26" t="s">
        <v>42</v>
      </c>
      <c r="C41" s="27">
        <f>+C38+C40</f>
        <v>123623023</v>
      </c>
      <c r="D41" s="27">
        <f>+D38+D40</f>
        <v>119141855</v>
      </c>
      <c r="E41" s="27">
        <f>D41-C41</f>
        <v>-4481168</v>
      </c>
      <c r="F41" s="28">
        <f>IF(C41=0,0,E41/C41)</f>
        <v>-3.6248652486034094E-2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328828019</v>
      </c>
      <c r="D43" s="27">
        <f>D22+D29+D31+D32+D33+D41</f>
        <v>339680979</v>
      </c>
      <c r="E43" s="27">
        <f>D43-C43</f>
        <v>10852960</v>
      </c>
      <c r="F43" s="28">
        <f>IF(C43=0,0,E43/C43)</f>
        <v>3.3004973338357765E-2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19012621</v>
      </c>
      <c r="D49" s="23">
        <v>20867614</v>
      </c>
      <c r="E49" s="23">
        <f t="shared" ref="E49:E56" si="2">D49-C49</f>
        <v>1854993</v>
      </c>
      <c r="F49" s="24">
        <f t="shared" ref="F49:F56" si="3">IF(C49=0,0,E49/C49)</f>
        <v>9.756640076084197E-2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16799188</v>
      </c>
      <c r="D50" s="23">
        <v>19944515</v>
      </c>
      <c r="E50" s="23">
        <f t="shared" si="2"/>
        <v>3145327</v>
      </c>
      <c r="F50" s="24">
        <f t="shared" si="3"/>
        <v>0.18723089473134058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1785662</v>
      </c>
      <c r="D51" s="23">
        <v>1116300</v>
      </c>
      <c r="E51" s="23">
        <f t="shared" si="2"/>
        <v>-669362</v>
      </c>
      <c r="F51" s="24">
        <f t="shared" si="3"/>
        <v>-0.37485369571621058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2192783</v>
      </c>
      <c r="D53" s="23">
        <v>2197606</v>
      </c>
      <c r="E53" s="23">
        <f t="shared" si="2"/>
        <v>4823</v>
      </c>
      <c r="F53" s="24">
        <f t="shared" si="3"/>
        <v>2.199488047836927E-3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1040126</v>
      </c>
      <c r="D55" s="23">
        <v>1304478</v>
      </c>
      <c r="E55" s="23">
        <f t="shared" si="2"/>
        <v>264352</v>
      </c>
      <c r="F55" s="24">
        <f t="shared" si="3"/>
        <v>0.25415382367136291</v>
      </c>
    </row>
    <row r="56" spans="1:6" ht="24" customHeight="1" x14ac:dyDescent="0.25">
      <c r="A56" s="25"/>
      <c r="B56" s="26" t="s">
        <v>54</v>
      </c>
      <c r="C56" s="27">
        <f>SUM(C49:C55)</f>
        <v>40830380</v>
      </c>
      <c r="D56" s="27">
        <f>SUM(D49:D55)</f>
        <v>45430513</v>
      </c>
      <c r="E56" s="27">
        <f t="shared" si="2"/>
        <v>4600133</v>
      </c>
      <c r="F56" s="28">
        <f t="shared" si="3"/>
        <v>0.11266446699736814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25863237</v>
      </c>
      <c r="D60" s="23">
        <v>23547952</v>
      </c>
      <c r="E60" s="23">
        <f>D60-C60</f>
        <v>-2315285</v>
      </c>
      <c r="F60" s="24">
        <f>IF(C60=0,0,E60/C60)</f>
        <v>-8.9520310238041745E-2</v>
      </c>
    </row>
    <row r="61" spans="1:6" ht="24" customHeight="1" x14ac:dyDescent="0.25">
      <c r="A61" s="25"/>
      <c r="B61" s="26" t="s">
        <v>58</v>
      </c>
      <c r="C61" s="27">
        <f>SUM(C59:C60)</f>
        <v>25863237</v>
      </c>
      <c r="D61" s="27">
        <f>SUM(D59:D60)</f>
        <v>23547952</v>
      </c>
      <c r="E61" s="27">
        <f>D61-C61</f>
        <v>-2315285</v>
      </c>
      <c r="F61" s="28">
        <f>IF(C61=0,0,E61/C61)</f>
        <v>-8.9520310238041745E-2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31230209</v>
      </c>
      <c r="D63" s="23">
        <v>37851799</v>
      </c>
      <c r="E63" s="23">
        <f>D63-C63</f>
        <v>6621590</v>
      </c>
      <c r="F63" s="24">
        <f>IF(C63=0,0,E63/C63)</f>
        <v>0.212025158076912</v>
      </c>
    </row>
    <row r="64" spans="1:6" ht="24" customHeight="1" x14ac:dyDescent="0.2">
      <c r="A64" s="21">
        <v>4</v>
      </c>
      <c r="B64" s="22" t="s">
        <v>60</v>
      </c>
      <c r="C64" s="23">
        <v>50761459</v>
      </c>
      <c r="D64" s="23">
        <v>58155585</v>
      </c>
      <c r="E64" s="23">
        <f>D64-C64</f>
        <v>7394126</v>
      </c>
      <c r="F64" s="24">
        <f>IF(C64=0,0,E64/C64)</f>
        <v>0.14566417407348359</v>
      </c>
    </row>
    <row r="65" spans="1:6" ht="24" customHeight="1" x14ac:dyDescent="0.25">
      <c r="A65" s="25"/>
      <c r="B65" s="26" t="s">
        <v>61</v>
      </c>
      <c r="C65" s="27">
        <f>SUM(C61:C64)</f>
        <v>107854905</v>
      </c>
      <c r="D65" s="27">
        <f>SUM(D61:D64)</f>
        <v>119555336</v>
      </c>
      <c r="E65" s="27">
        <f>D65-C65</f>
        <v>11700431</v>
      </c>
      <c r="F65" s="28">
        <f>IF(C65=0,0,E65/C65)</f>
        <v>0.10848306806259762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145071590</v>
      </c>
      <c r="D70" s="23">
        <v>138968662</v>
      </c>
      <c r="E70" s="23">
        <f>D70-C70</f>
        <v>-6102928</v>
      </c>
      <c r="F70" s="24">
        <f>IF(C70=0,0,E70/C70)</f>
        <v>-4.2068388441872044E-2</v>
      </c>
    </row>
    <row r="71" spans="1:6" ht="24" customHeight="1" x14ac:dyDescent="0.2">
      <c r="A71" s="21">
        <v>2</v>
      </c>
      <c r="B71" s="22" t="s">
        <v>65</v>
      </c>
      <c r="C71" s="23">
        <v>25727502</v>
      </c>
      <c r="D71" s="23">
        <v>26297760</v>
      </c>
      <c r="E71" s="23">
        <f>D71-C71</f>
        <v>570258</v>
      </c>
      <c r="F71" s="24">
        <f>IF(C71=0,0,E71/C71)</f>
        <v>2.2165307770649477E-2</v>
      </c>
    </row>
    <row r="72" spans="1:6" ht="24" customHeight="1" x14ac:dyDescent="0.2">
      <c r="A72" s="21">
        <v>3</v>
      </c>
      <c r="B72" s="22" t="s">
        <v>66</v>
      </c>
      <c r="C72" s="23">
        <v>9343642</v>
      </c>
      <c r="D72" s="23">
        <v>9428708</v>
      </c>
      <c r="E72" s="23">
        <f>D72-C72</f>
        <v>85066</v>
      </c>
      <c r="F72" s="24">
        <f>IF(C72=0,0,E72/C72)</f>
        <v>9.1041587423833226E-3</v>
      </c>
    </row>
    <row r="73" spans="1:6" ht="24" customHeight="1" x14ac:dyDescent="0.25">
      <c r="A73" s="21"/>
      <c r="B73" s="26" t="s">
        <v>67</v>
      </c>
      <c r="C73" s="27">
        <f>SUM(C70:C72)</f>
        <v>180142734</v>
      </c>
      <c r="D73" s="27">
        <f>SUM(D70:D72)</f>
        <v>174695130</v>
      </c>
      <c r="E73" s="27">
        <f>D73-C73</f>
        <v>-5447604</v>
      </c>
      <c r="F73" s="28">
        <f>IF(C73=0,0,E73/C73)</f>
        <v>-3.0240486968516864E-2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328828019</v>
      </c>
      <c r="D75" s="27">
        <f>D56+D65+D67+D73</f>
        <v>339680979</v>
      </c>
      <c r="E75" s="27">
        <f>D75-C75</f>
        <v>10852960</v>
      </c>
      <c r="F75" s="28">
        <f>IF(C75=0,0,E75/C75)</f>
        <v>3.3004973338357765E-2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FILING&amp;RNORWALK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690583729</v>
      </c>
      <c r="D12" s="51">
        <v>770351995</v>
      </c>
      <c r="E12" s="51">
        <f t="shared" ref="E12:E19" si="0">D12-C12</f>
        <v>79768266</v>
      </c>
      <c r="F12" s="70">
        <f t="shared" ref="F12:F19" si="1">IF(C12=0,0,E12/C12)</f>
        <v>0.11550846428934615</v>
      </c>
    </row>
    <row r="13" spans="1:8" ht="23.1" customHeight="1" x14ac:dyDescent="0.2">
      <c r="A13" s="25">
        <v>2</v>
      </c>
      <c r="B13" s="48" t="s">
        <v>72</v>
      </c>
      <c r="C13" s="51">
        <v>327515091</v>
      </c>
      <c r="D13" s="51">
        <v>401630622</v>
      </c>
      <c r="E13" s="51">
        <f t="shared" si="0"/>
        <v>74115531</v>
      </c>
      <c r="F13" s="70">
        <f t="shared" si="1"/>
        <v>0.22629653727925472</v>
      </c>
    </row>
    <row r="14" spans="1:8" ht="23.1" customHeight="1" x14ac:dyDescent="0.2">
      <c r="A14" s="25">
        <v>3</v>
      </c>
      <c r="B14" s="48" t="s">
        <v>73</v>
      </c>
      <c r="C14" s="51">
        <v>17554000</v>
      </c>
      <c r="D14" s="51">
        <v>18026000</v>
      </c>
      <c r="E14" s="51">
        <f t="shared" si="0"/>
        <v>472000</v>
      </c>
      <c r="F14" s="70">
        <f t="shared" si="1"/>
        <v>2.6888458471003761E-2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345514638</v>
      </c>
      <c r="D16" s="27">
        <f>D12-D13-D14-D15</f>
        <v>350695373</v>
      </c>
      <c r="E16" s="27">
        <f t="shared" si="0"/>
        <v>5180735</v>
      </c>
      <c r="F16" s="28">
        <f t="shared" si="1"/>
        <v>1.4994256191252888E-2</v>
      </c>
    </row>
    <row r="17" spans="1:7" ht="23.1" customHeight="1" x14ac:dyDescent="0.2">
      <c r="A17" s="25">
        <v>5</v>
      </c>
      <c r="B17" s="48" t="s">
        <v>76</v>
      </c>
      <c r="C17" s="51">
        <v>19852793</v>
      </c>
      <c r="D17" s="51">
        <v>19687788</v>
      </c>
      <c r="E17" s="51">
        <f t="shared" si="0"/>
        <v>-165005</v>
      </c>
      <c r="F17" s="70">
        <f t="shared" si="1"/>
        <v>-8.3114249969764957E-3</v>
      </c>
      <c r="G17" s="64"/>
    </row>
    <row r="18" spans="1:7" ht="33" customHeight="1" x14ac:dyDescent="0.2">
      <c r="A18" s="25">
        <v>6</v>
      </c>
      <c r="B18" s="45" t="s">
        <v>77</v>
      </c>
      <c r="C18" s="51">
        <v>3689378</v>
      </c>
      <c r="D18" s="51">
        <v>4999683</v>
      </c>
      <c r="E18" s="51">
        <f t="shared" si="0"/>
        <v>1310305</v>
      </c>
      <c r="F18" s="70">
        <f t="shared" si="1"/>
        <v>0.35515607237859609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369056809</v>
      </c>
      <c r="D19" s="27">
        <f>SUM(D16:D18)</f>
        <v>375382844</v>
      </c>
      <c r="E19" s="27">
        <f t="shared" si="0"/>
        <v>6326035</v>
      </c>
      <c r="F19" s="28">
        <f t="shared" si="1"/>
        <v>1.7141087349508838E-2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149272654</v>
      </c>
      <c r="D22" s="51">
        <v>152067280</v>
      </c>
      <c r="E22" s="51">
        <f t="shared" ref="E22:E31" si="2">D22-C22</f>
        <v>2794626</v>
      </c>
      <c r="F22" s="70">
        <f t="shared" ref="F22:F31" si="3">IF(C22=0,0,E22/C22)</f>
        <v>1.8721620639236439E-2</v>
      </c>
    </row>
    <row r="23" spans="1:7" ht="23.1" customHeight="1" x14ac:dyDescent="0.2">
      <c r="A23" s="25">
        <v>2</v>
      </c>
      <c r="B23" s="48" t="s">
        <v>81</v>
      </c>
      <c r="C23" s="51">
        <v>45831688</v>
      </c>
      <c r="D23" s="51">
        <v>52172621</v>
      </c>
      <c r="E23" s="51">
        <f t="shared" si="2"/>
        <v>6340933</v>
      </c>
      <c r="F23" s="70">
        <f t="shared" si="3"/>
        <v>0.13835259569754446</v>
      </c>
    </row>
    <row r="24" spans="1:7" ht="23.1" customHeight="1" x14ac:dyDescent="0.2">
      <c r="A24" s="25">
        <v>3</v>
      </c>
      <c r="B24" s="48" t="s">
        <v>82</v>
      </c>
      <c r="C24" s="51">
        <v>4762491</v>
      </c>
      <c r="D24" s="51">
        <v>5787394</v>
      </c>
      <c r="E24" s="51">
        <f t="shared" si="2"/>
        <v>1024903</v>
      </c>
      <c r="F24" s="70">
        <f t="shared" si="3"/>
        <v>0.21520313634188495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37052777</v>
      </c>
      <c r="D25" s="51">
        <v>37821229</v>
      </c>
      <c r="E25" s="51">
        <f t="shared" si="2"/>
        <v>768452</v>
      </c>
      <c r="F25" s="70">
        <f t="shared" si="3"/>
        <v>2.0739390194694448E-2</v>
      </c>
    </row>
    <row r="26" spans="1:7" ht="23.1" customHeight="1" x14ac:dyDescent="0.2">
      <c r="A26" s="25">
        <v>5</v>
      </c>
      <c r="B26" s="48" t="s">
        <v>84</v>
      </c>
      <c r="C26" s="51">
        <v>19204640</v>
      </c>
      <c r="D26" s="51">
        <v>20478576</v>
      </c>
      <c r="E26" s="51">
        <f t="shared" si="2"/>
        <v>1273936</v>
      </c>
      <c r="F26" s="70">
        <f t="shared" si="3"/>
        <v>6.6334802422747835E-2</v>
      </c>
    </row>
    <row r="27" spans="1:7" ht="23.1" customHeight="1" x14ac:dyDescent="0.2">
      <c r="A27" s="25">
        <v>6</v>
      </c>
      <c r="B27" s="48" t="s">
        <v>85</v>
      </c>
      <c r="C27" s="51">
        <v>22354212</v>
      </c>
      <c r="D27" s="51">
        <v>23735717</v>
      </c>
      <c r="E27" s="51">
        <f t="shared" si="2"/>
        <v>1381505</v>
      </c>
      <c r="F27" s="70">
        <f t="shared" si="3"/>
        <v>6.180065752261811E-2</v>
      </c>
    </row>
    <row r="28" spans="1:7" ht="23.1" customHeight="1" x14ac:dyDescent="0.2">
      <c r="A28" s="25">
        <v>7</v>
      </c>
      <c r="B28" s="48" t="s">
        <v>86</v>
      </c>
      <c r="C28" s="51">
        <v>1092603</v>
      </c>
      <c r="D28" s="51">
        <v>1083619</v>
      </c>
      <c r="E28" s="51">
        <f t="shared" si="2"/>
        <v>-8984</v>
      </c>
      <c r="F28" s="70">
        <f t="shared" si="3"/>
        <v>-8.2225657443737565E-3</v>
      </c>
    </row>
    <row r="29" spans="1:7" ht="23.1" customHeight="1" x14ac:dyDescent="0.2">
      <c r="A29" s="25">
        <v>8</v>
      </c>
      <c r="B29" s="48" t="s">
        <v>87</v>
      </c>
      <c r="C29" s="51">
        <v>8832025</v>
      </c>
      <c r="D29" s="51">
        <v>5923238</v>
      </c>
      <c r="E29" s="51">
        <f t="shared" si="2"/>
        <v>-2908787</v>
      </c>
      <c r="F29" s="70">
        <f t="shared" si="3"/>
        <v>-0.32934542191626498</v>
      </c>
    </row>
    <row r="30" spans="1:7" ht="23.1" customHeight="1" x14ac:dyDescent="0.2">
      <c r="A30" s="25">
        <v>9</v>
      </c>
      <c r="B30" s="48" t="s">
        <v>88</v>
      </c>
      <c r="C30" s="51">
        <v>68820078</v>
      </c>
      <c r="D30" s="51">
        <v>78130679</v>
      </c>
      <c r="E30" s="51">
        <f t="shared" si="2"/>
        <v>9310601</v>
      </c>
      <c r="F30" s="70">
        <f t="shared" si="3"/>
        <v>0.13528902132310863</v>
      </c>
    </row>
    <row r="31" spans="1:7" ht="23.1" customHeight="1" x14ac:dyDescent="0.25">
      <c r="A31" s="29"/>
      <c r="B31" s="71" t="s">
        <v>89</v>
      </c>
      <c r="C31" s="27">
        <f>SUM(C22:C30)</f>
        <v>357223168</v>
      </c>
      <c r="D31" s="27">
        <f>SUM(D22:D30)</f>
        <v>377200353</v>
      </c>
      <c r="E31" s="27">
        <f t="shared" si="2"/>
        <v>19977185</v>
      </c>
      <c r="F31" s="28">
        <f t="shared" si="3"/>
        <v>5.5923542450639706E-2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11833641</v>
      </c>
      <c r="D33" s="27">
        <f>+D19-D31</f>
        <v>-1817509</v>
      </c>
      <c r="E33" s="27">
        <f>D33-C33</f>
        <v>-13651150</v>
      </c>
      <c r="F33" s="28">
        <f>IF(C33=0,0,E33/C33)</f>
        <v>-1.1535883165629244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905595</v>
      </c>
      <c r="D36" s="51">
        <v>868234</v>
      </c>
      <c r="E36" s="51">
        <f>D36-C36</f>
        <v>-37361</v>
      </c>
      <c r="F36" s="70">
        <f>IF(C36=0,0,E36/C36)</f>
        <v>-4.1255748982713024E-2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-1317039</v>
      </c>
      <c r="D38" s="51">
        <v>0</v>
      </c>
      <c r="E38" s="51">
        <f>D38-C38</f>
        <v>1317039</v>
      </c>
      <c r="F38" s="70">
        <f>IF(C38=0,0,E38/C38)</f>
        <v>-1</v>
      </c>
    </row>
    <row r="39" spans="1:6" ht="23.1" customHeight="1" x14ac:dyDescent="0.25">
      <c r="A39" s="20"/>
      <c r="B39" s="71" t="s">
        <v>95</v>
      </c>
      <c r="C39" s="27">
        <f>SUM(C36:C38)</f>
        <v>-411444</v>
      </c>
      <c r="D39" s="27">
        <f>SUM(D36:D38)</f>
        <v>868234</v>
      </c>
      <c r="E39" s="27">
        <f>D39-C39</f>
        <v>1279678</v>
      </c>
      <c r="F39" s="28">
        <f>IF(C39=0,0,E39/C39)</f>
        <v>-3.1102118392782492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11422197</v>
      </c>
      <c r="D41" s="27">
        <f>D33+D39</f>
        <v>-949275</v>
      </c>
      <c r="E41" s="27">
        <f>D41-C41</f>
        <v>-12371472</v>
      </c>
      <c r="F41" s="28">
        <f>IF(C41=0,0,E41/C41)</f>
        <v>-1.0831079169795443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1220852</v>
      </c>
      <c r="D44" s="51">
        <v>2726888</v>
      </c>
      <c r="E44" s="51">
        <f>D44-C44</f>
        <v>1506036</v>
      </c>
      <c r="F44" s="70">
        <f>IF(C44=0,0,E44/C44)</f>
        <v>1.23359424401975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1220852</v>
      </c>
      <c r="D46" s="27">
        <f>SUM(D44:D45)</f>
        <v>2726888</v>
      </c>
      <c r="E46" s="27">
        <f>D46-C46</f>
        <v>1506036</v>
      </c>
      <c r="F46" s="28">
        <f>IF(C46=0,0,E46/C46)</f>
        <v>1.23359424401975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12643049</v>
      </c>
      <c r="D48" s="27">
        <f>D41+D46</f>
        <v>1777613</v>
      </c>
      <c r="E48" s="27">
        <f>D48-C48</f>
        <v>-10865436</v>
      </c>
      <c r="F48" s="28">
        <f>IF(C48=0,0,E48/C48)</f>
        <v>-0.85939997543314117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FILING&amp;R&amp;8NORWALK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2011-07-19T12:41:42Z</cp:lastPrinted>
  <dcterms:created xsi:type="dcterms:W3CDTF">2006-08-03T13:49:12Z</dcterms:created>
  <dcterms:modified xsi:type="dcterms:W3CDTF">2011-08-08T14:17:27Z</dcterms:modified>
</cp:coreProperties>
</file>