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85" i="14"/>
  <c r="D203" i="14"/>
  <c r="D205" i="14"/>
  <c r="D198" i="14"/>
  <c r="D290" i="14"/>
  <c r="D191" i="14"/>
  <c r="D264" i="14"/>
  <c r="D189" i="14"/>
  <c r="D278" i="14"/>
  <c r="D188" i="14"/>
  <c r="D206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1" i="14"/>
  <c r="D20" i="14"/>
  <c r="D17" i="14"/>
  <c r="E97" i="19"/>
  <c r="E98" i="19"/>
  <c r="D97" i="19"/>
  <c r="C97" i="19"/>
  <c r="E96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E103" i="19"/>
  <c r="E102" i="19"/>
  <c r="D83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D23" i="19"/>
  <c r="D46" i="19"/>
  <c r="C23" i="19"/>
  <c r="C111" i="19"/>
  <c r="D22" i="19"/>
  <c r="D53" i="19"/>
  <c r="C22" i="19"/>
  <c r="C45" i="19"/>
  <c r="E21" i="19"/>
  <c r="D21" i="19"/>
  <c r="C21" i="19"/>
  <c r="E12" i="19"/>
  <c r="E34" i="19"/>
  <c r="D12" i="19"/>
  <c r="D33" i="19"/>
  <c r="C12" i="19"/>
  <c r="C34" i="19"/>
  <c r="C33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F45" i="17"/>
  <c r="D44" i="17"/>
  <c r="E44" i="17"/>
  <c r="C44" i="17"/>
  <c r="F44" i="17"/>
  <c r="D43" i="17"/>
  <c r="E43" i="17"/>
  <c r="E46" i="17"/>
  <c r="D46" i="17"/>
  <c r="C43" i="17"/>
  <c r="C46" i="17"/>
  <c r="F46" i="17"/>
  <c r="D36" i="17"/>
  <c r="D40" i="17"/>
  <c r="E40" i="17"/>
  <c r="C36" i="17"/>
  <c r="C40" i="17"/>
  <c r="E35" i="17"/>
  <c r="F35" i="17"/>
  <c r="E34" i="17"/>
  <c r="F34" i="17"/>
  <c r="E33" i="17"/>
  <c r="E36" i="17"/>
  <c r="F36" i="17"/>
  <c r="F30" i="17"/>
  <c r="E30" i="17"/>
  <c r="E29" i="17"/>
  <c r="F29" i="17"/>
  <c r="F28" i="17"/>
  <c r="E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E20" i="17"/>
  <c r="C19" i="17"/>
  <c r="C20" i="17"/>
  <c r="E18" i="17"/>
  <c r="F18" i="17"/>
  <c r="D16" i="17"/>
  <c r="E16" i="17"/>
  <c r="C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36" i="16"/>
  <c r="C32" i="16"/>
  <c r="C33" i="16"/>
  <c r="C21" i="16"/>
  <c r="C37" i="16"/>
  <c r="E328" i="15"/>
  <c r="E325" i="15"/>
  <c r="D324" i="15"/>
  <c r="E324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E301" i="15"/>
  <c r="D293" i="15"/>
  <c r="C293" i="15"/>
  <c r="E293" i="15"/>
  <c r="D292" i="15"/>
  <c r="C292" i="15"/>
  <c r="E292" i="15"/>
  <c r="D291" i="15"/>
  <c r="E291" i="15"/>
  <c r="C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C279" i="15"/>
  <c r="E279" i="15"/>
  <c r="D278" i="15"/>
  <c r="E278" i="15"/>
  <c r="C278" i="15"/>
  <c r="D277" i="15"/>
  <c r="E277" i="15"/>
  <c r="C277" i="15"/>
  <c r="D276" i="15"/>
  <c r="E276" i="15"/>
  <c r="C276" i="15"/>
  <c r="E270" i="15"/>
  <c r="D265" i="15"/>
  <c r="D302" i="15"/>
  <c r="C265" i="15"/>
  <c r="E265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E230" i="15"/>
  <c r="C230" i="15"/>
  <c r="D228" i="15"/>
  <c r="C228" i="15"/>
  <c r="E228" i="15"/>
  <c r="D227" i="15"/>
  <c r="C227" i="15"/>
  <c r="E227" i="15"/>
  <c r="D221" i="15"/>
  <c r="D245" i="15"/>
  <c r="C221" i="15"/>
  <c r="C245" i="15"/>
  <c r="D220" i="15"/>
  <c r="D244" i="15"/>
  <c r="E244" i="15"/>
  <c r="C220" i="15"/>
  <c r="C244" i="15"/>
  <c r="D219" i="15"/>
  <c r="E219" i="15"/>
  <c r="C219" i="15"/>
  <c r="C243" i="15"/>
  <c r="D218" i="15"/>
  <c r="D242" i="15"/>
  <c r="C218" i="15"/>
  <c r="D216" i="15"/>
  <c r="D240" i="15"/>
  <c r="C216" i="15"/>
  <c r="D215" i="15"/>
  <c r="C215" i="15"/>
  <c r="E209" i="15"/>
  <c r="E208" i="15"/>
  <c r="E207" i="15"/>
  <c r="E206" i="15"/>
  <c r="D205" i="15"/>
  <c r="C205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D189" i="15"/>
  <c r="C188" i="15"/>
  <c r="C189" i="15"/>
  <c r="E186" i="15"/>
  <c r="E185" i="15"/>
  <c r="D179" i="15"/>
  <c r="C179" i="15"/>
  <c r="E179" i="15"/>
  <c r="D178" i="15"/>
  <c r="E178" i="15"/>
  <c r="C178" i="15"/>
  <c r="D177" i="15"/>
  <c r="E177" i="15"/>
  <c r="C177" i="15"/>
  <c r="D176" i="15"/>
  <c r="E176" i="15"/>
  <c r="C176" i="15"/>
  <c r="D174" i="15"/>
  <c r="C174" i="15"/>
  <c r="E174" i="15"/>
  <c r="D173" i="15"/>
  <c r="E173" i="15"/>
  <c r="C173" i="15"/>
  <c r="D167" i="15"/>
  <c r="C167" i="15"/>
  <c r="E167" i="15"/>
  <c r="D166" i="15"/>
  <c r="E166" i="15"/>
  <c r="C166" i="15"/>
  <c r="D165" i="15"/>
  <c r="E165" i="15"/>
  <c r="C165" i="15"/>
  <c r="D164" i="15"/>
  <c r="C164" i="15"/>
  <c r="E164" i="15"/>
  <c r="D162" i="15"/>
  <c r="E162" i="15"/>
  <c r="C162" i="15"/>
  <c r="D161" i="15"/>
  <c r="E161" i="15"/>
  <c r="C161" i="15"/>
  <c r="E155" i="15"/>
  <c r="E154" i="15"/>
  <c r="E153" i="15"/>
  <c r="E152" i="15"/>
  <c r="D151" i="15"/>
  <c r="D156" i="15"/>
  <c r="C151" i="15"/>
  <c r="C156" i="15"/>
  <c r="C157" i="15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E75" i="15"/>
  <c r="C75" i="15"/>
  <c r="D74" i="15"/>
  <c r="E74" i="15"/>
  <c r="C74" i="15"/>
  <c r="D73" i="15"/>
  <c r="C73" i="15"/>
  <c r="E73" i="15"/>
  <c r="D72" i="15"/>
  <c r="C72" i="15"/>
  <c r="E72" i="15"/>
  <c r="D70" i="15"/>
  <c r="C70" i="15"/>
  <c r="D69" i="15"/>
  <c r="C69" i="15"/>
  <c r="E69" i="15"/>
  <c r="E64" i="15"/>
  <c r="E63" i="15"/>
  <c r="E62" i="15"/>
  <c r="E61" i="15"/>
  <c r="D60" i="15"/>
  <c r="C60" i="15"/>
  <c r="E59" i="15"/>
  <c r="E58" i="15"/>
  <c r="D54" i="15"/>
  <c r="E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E39" i="15"/>
  <c r="C39" i="15"/>
  <c r="D38" i="15"/>
  <c r="E38" i="15"/>
  <c r="C38" i="15"/>
  <c r="D37" i="15"/>
  <c r="C37" i="15"/>
  <c r="D36" i="15"/>
  <c r="C36" i="15"/>
  <c r="E36" i="15"/>
  <c r="D32" i="15"/>
  <c r="D33" i="15"/>
  <c r="C32" i="15"/>
  <c r="E31" i="15"/>
  <c r="E30" i="15"/>
  <c r="E29" i="15"/>
  <c r="E28" i="15"/>
  <c r="E27" i="15"/>
  <c r="E26" i="15"/>
  <c r="E25" i="15"/>
  <c r="D21" i="15"/>
  <c r="C21" i="15"/>
  <c r="C283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C311" i="14"/>
  <c r="F308" i="14"/>
  <c r="E308" i="14"/>
  <c r="C307" i="14"/>
  <c r="E307" i="14"/>
  <c r="C299" i="14"/>
  <c r="E299" i="14"/>
  <c r="C298" i="14"/>
  <c r="C297" i="14"/>
  <c r="E297" i="14"/>
  <c r="E296" i="14"/>
  <c r="C296" i="14"/>
  <c r="F296" i="14"/>
  <c r="C295" i="14"/>
  <c r="E295" i="14"/>
  <c r="C294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F234" i="14"/>
  <c r="E234" i="14"/>
  <c r="E233" i="14"/>
  <c r="F233" i="14"/>
  <c r="C230" i="14"/>
  <c r="E230" i="14"/>
  <c r="C229" i="14"/>
  <c r="E229" i="14"/>
  <c r="F229" i="14"/>
  <c r="E228" i="14"/>
  <c r="F228" i="14"/>
  <c r="C226" i="14"/>
  <c r="E226" i="14"/>
  <c r="E225" i="14"/>
  <c r="F225" i="14"/>
  <c r="E224" i="14"/>
  <c r="F224" i="14"/>
  <c r="C223" i="14"/>
  <c r="E223" i="14"/>
  <c r="E222" i="14"/>
  <c r="F222" i="14"/>
  <c r="E221" i="14"/>
  <c r="F221" i="14"/>
  <c r="C204" i="14"/>
  <c r="C285" i="14"/>
  <c r="E285" i="14"/>
  <c r="C269" i="14"/>
  <c r="C203" i="14"/>
  <c r="E203" i="14"/>
  <c r="C198" i="14"/>
  <c r="E198" i="14"/>
  <c r="F198" i="14"/>
  <c r="C191" i="14"/>
  <c r="C264" i="14"/>
  <c r="C189" i="14"/>
  <c r="C188" i="14"/>
  <c r="E180" i="14"/>
  <c r="C180" i="14"/>
  <c r="C179" i="14"/>
  <c r="E179" i="14"/>
  <c r="F179" i="14"/>
  <c r="C171" i="14"/>
  <c r="E171" i="14"/>
  <c r="C170" i="14"/>
  <c r="E170" i="14"/>
  <c r="E169" i="14"/>
  <c r="F169" i="14"/>
  <c r="E168" i="14"/>
  <c r="F168" i="14"/>
  <c r="C165" i="14"/>
  <c r="E165" i="14"/>
  <c r="F165" i="14"/>
  <c r="C164" i="14"/>
  <c r="E164" i="14"/>
  <c r="E163" i="14"/>
  <c r="F163" i="14"/>
  <c r="C158" i="14"/>
  <c r="E158" i="14"/>
  <c r="F158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C144" i="14"/>
  <c r="E144" i="14"/>
  <c r="F144" i="14"/>
  <c r="C136" i="14"/>
  <c r="C137" i="14"/>
  <c r="C135" i="14"/>
  <c r="E135" i="14"/>
  <c r="F135" i="14"/>
  <c r="E134" i="14"/>
  <c r="F134" i="14"/>
  <c r="E133" i="14"/>
  <c r="F133" i="14"/>
  <c r="C130" i="14"/>
  <c r="E130" i="14"/>
  <c r="C129" i="14"/>
  <c r="E129" i="14"/>
  <c r="E128" i="14"/>
  <c r="F128" i="14"/>
  <c r="C123" i="14"/>
  <c r="C193" i="14"/>
  <c r="C194" i="14"/>
  <c r="E122" i="14"/>
  <c r="F122" i="14"/>
  <c r="E121" i="14"/>
  <c r="F121" i="14"/>
  <c r="C120" i="14"/>
  <c r="E120" i="14"/>
  <c r="E119" i="14"/>
  <c r="F119" i="14"/>
  <c r="E118" i="14"/>
  <c r="F118" i="14"/>
  <c r="C110" i="14"/>
  <c r="E110" i="14"/>
  <c r="C109" i="14"/>
  <c r="C111" i="14"/>
  <c r="C101" i="14"/>
  <c r="E101" i="14"/>
  <c r="E100" i="14"/>
  <c r="C100" i="14"/>
  <c r="E99" i="14"/>
  <c r="F99" i="14"/>
  <c r="E98" i="14"/>
  <c r="F98" i="14"/>
  <c r="C95" i="14"/>
  <c r="E95" i="14"/>
  <c r="C94" i="14"/>
  <c r="F93" i="14"/>
  <c r="E93" i="14"/>
  <c r="C88" i="14"/>
  <c r="C89" i="14"/>
  <c r="E89" i="14"/>
  <c r="E87" i="14"/>
  <c r="F87" i="14"/>
  <c r="E86" i="14"/>
  <c r="F86" i="14"/>
  <c r="C85" i="14"/>
  <c r="E85" i="14"/>
  <c r="F85" i="14"/>
  <c r="E84" i="14"/>
  <c r="F84" i="14"/>
  <c r="E83" i="14"/>
  <c r="F83" i="14"/>
  <c r="C76" i="14"/>
  <c r="C77" i="14"/>
  <c r="E74" i="14"/>
  <c r="F74" i="14"/>
  <c r="E73" i="14"/>
  <c r="F73" i="14"/>
  <c r="C67" i="14"/>
  <c r="E67" i="14"/>
  <c r="F67" i="14"/>
  <c r="C66" i="14"/>
  <c r="E66" i="14"/>
  <c r="C60" i="14"/>
  <c r="C61" i="14"/>
  <c r="E59" i="14"/>
  <c r="C59" i="14"/>
  <c r="C58" i="14"/>
  <c r="E58" i="14"/>
  <c r="E57" i="14"/>
  <c r="F57" i="14"/>
  <c r="E56" i="14"/>
  <c r="F56" i="14"/>
  <c r="C53" i="14"/>
  <c r="C52" i="14"/>
  <c r="E52" i="14"/>
  <c r="E51" i="14"/>
  <c r="F51" i="14"/>
  <c r="C47" i="14"/>
  <c r="E47" i="14"/>
  <c r="E46" i="14"/>
  <c r="F46" i="14"/>
  <c r="E45" i="14"/>
  <c r="F45" i="14"/>
  <c r="C44" i="14"/>
  <c r="E44" i="14"/>
  <c r="F44" i="14"/>
  <c r="F43" i="14"/>
  <c r="E43" i="14"/>
  <c r="F42" i="14"/>
  <c r="E42" i="14"/>
  <c r="E36" i="14"/>
  <c r="C36" i="14"/>
  <c r="C35" i="14"/>
  <c r="C30" i="14"/>
  <c r="C31" i="14"/>
  <c r="C32" i="14"/>
  <c r="C29" i="14"/>
  <c r="E29" i="14"/>
  <c r="E28" i="14"/>
  <c r="F28" i="14"/>
  <c r="E27" i="14"/>
  <c r="F27" i="14"/>
  <c r="C24" i="14"/>
  <c r="E24" i="14"/>
  <c r="F24" i="14"/>
  <c r="C23" i="14"/>
  <c r="E23" i="14"/>
  <c r="F23" i="14"/>
  <c r="E22" i="14"/>
  <c r="F22" i="14"/>
  <c r="C20" i="14"/>
  <c r="C282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C37" i="12"/>
  <c r="F36" i="12"/>
  <c r="E36" i="12"/>
  <c r="F35" i="12"/>
  <c r="E35" i="12"/>
  <c r="E34" i="12"/>
  <c r="F34" i="12"/>
  <c r="F33" i="12"/>
  <c r="E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G33" i="11"/>
  <c r="F17" i="11"/>
  <c r="F31" i="11"/>
  <c r="E17" i="11"/>
  <c r="E31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E46" i="10"/>
  <c r="E59" i="10"/>
  <c r="E61" i="10"/>
  <c r="E57" i="10"/>
  <c r="D46" i="10"/>
  <c r="D48" i="10"/>
  <c r="D42" i="10"/>
  <c r="C46" i="10"/>
  <c r="C48" i="10"/>
  <c r="C42" i="10"/>
  <c r="E45" i="10"/>
  <c r="D45" i="10"/>
  <c r="C45" i="10"/>
  <c r="E38" i="10"/>
  <c r="D38" i="10"/>
  <c r="C38" i="10"/>
  <c r="E34" i="10"/>
  <c r="E33" i="10"/>
  <c r="D33" i="10"/>
  <c r="D34" i="10"/>
  <c r="E26" i="10"/>
  <c r="D26" i="10"/>
  <c r="C26" i="10"/>
  <c r="C25" i="10"/>
  <c r="C27" i="10"/>
  <c r="C21" i="10"/>
  <c r="C15" i="10"/>
  <c r="E13" i="10"/>
  <c r="E25" i="10"/>
  <c r="E27" i="10"/>
  <c r="E21" i="10"/>
  <c r="D13" i="10"/>
  <c r="C13" i="10"/>
  <c r="F46" i="9"/>
  <c r="D46" i="9"/>
  <c r="E46" i="9"/>
  <c r="C46" i="9"/>
  <c r="F45" i="9"/>
  <c r="E45" i="9"/>
  <c r="F44" i="9"/>
  <c r="E44" i="9"/>
  <c r="D39" i="9"/>
  <c r="E39" i="9"/>
  <c r="F39" i="9"/>
  <c r="C39" i="9"/>
  <c r="F38" i="9"/>
  <c r="E38" i="9"/>
  <c r="F37" i="9"/>
  <c r="E37" i="9"/>
  <c r="F36" i="9"/>
  <c r="E36" i="9"/>
  <c r="D31" i="9"/>
  <c r="E31" i="9"/>
  <c r="F31" i="9"/>
  <c r="C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18" i="9"/>
  <c r="E18" i="9"/>
  <c r="F17" i="9"/>
  <c r="E17" i="9"/>
  <c r="D16" i="9"/>
  <c r="E16" i="9"/>
  <c r="F16" i="9"/>
  <c r="C16" i="9"/>
  <c r="C19" i="9"/>
  <c r="C33" i="9"/>
  <c r="C41" i="9"/>
  <c r="C48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/>
  <c r="F61" i="8"/>
  <c r="C61" i="8"/>
  <c r="C65" i="8"/>
  <c r="E60" i="8"/>
  <c r="F60" i="8"/>
  <c r="F59" i="8"/>
  <c r="E59" i="8"/>
  <c r="D56" i="8"/>
  <c r="E56" i="8"/>
  <c r="C56" i="8"/>
  <c r="F56" i="8"/>
  <c r="F55" i="8"/>
  <c r="E55" i="8"/>
  <c r="F54" i="8"/>
  <c r="E54" i="8"/>
  <c r="F53" i="8"/>
  <c r="E53" i="8"/>
  <c r="F52" i="8"/>
  <c r="E52" i="8"/>
  <c r="E51" i="8"/>
  <c r="F51" i="8"/>
  <c r="E50" i="8"/>
  <c r="F50" i="8"/>
  <c r="A50" i="8"/>
  <c r="A51" i="8"/>
  <c r="A52" i="8"/>
  <c r="A53" i="8"/>
  <c r="A54" i="8"/>
  <c r="A55" i="8"/>
  <c r="F49" i="8"/>
  <c r="E49" i="8"/>
  <c r="E40" i="8"/>
  <c r="F40" i="8"/>
  <c r="D38" i="8"/>
  <c r="C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F27" i="8"/>
  <c r="E27" i="8"/>
  <c r="F26" i="8"/>
  <c r="E26" i="8"/>
  <c r="E25" i="8"/>
  <c r="F25" i="8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F120" i="7"/>
  <c r="C120" i="7"/>
  <c r="D119" i="7"/>
  <c r="E119" i="7"/>
  <c r="F119" i="7"/>
  <c r="C119" i="7"/>
  <c r="D118" i="7"/>
  <c r="E118" i="7"/>
  <c r="F118" i="7"/>
  <c r="C118" i="7"/>
  <c r="D117" i="7"/>
  <c r="E117" i="7"/>
  <c r="F117" i="7"/>
  <c r="C117" i="7"/>
  <c r="D116" i="7"/>
  <c r="E116" i="7"/>
  <c r="F116" i="7"/>
  <c r="C116" i="7"/>
  <c r="D115" i="7"/>
  <c r="E115" i="7"/>
  <c r="F115" i="7"/>
  <c r="C115" i="7"/>
  <c r="D114" i="7"/>
  <c r="C114" i="7"/>
  <c r="D113" i="7"/>
  <c r="E113" i="7"/>
  <c r="C113" i="7"/>
  <c r="D112" i="7"/>
  <c r="E112" i="7"/>
  <c r="C112" i="7"/>
  <c r="D108" i="7"/>
  <c r="E108" i="7"/>
  <c r="F108" i="7"/>
  <c r="C108" i="7"/>
  <c r="D107" i="7"/>
  <c r="E107" i="7"/>
  <c r="F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/>
  <c r="F96" i="7"/>
  <c r="C96" i="7"/>
  <c r="D95" i="7"/>
  <c r="E95" i="7"/>
  <c r="F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0" i="7"/>
  <c r="D60" i="7"/>
  <c r="E60" i="7"/>
  <c r="C60" i="7"/>
  <c r="F59" i="7"/>
  <c r="D59" i="7"/>
  <c r="E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/>
  <c r="C205" i="6"/>
  <c r="F205" i="6"/>
  <c r="D204" i="6"/>
  <c r="C204" i="6"/>
  <c r="D203" i="6"/>
  <c r="E203" i="6"/>
  <c r="C203" i="6"/>
  <c r="F203" i="6"/>
  <c r="D202" i="6"/>
  <c r="C202" i="6"/>
  <c r="D201" i="6"/>
  <c r="E201" i="6"/>
  <c r="C201" i="6"/>
  <c r="F201" i="6"/>
  <c r="D200" i="6"/>
  <c r="C200" i="6"/>
  <c r="D199" i="6"/>
  <c r="E199" i="6"/>
  <c r="C199" i="6"/>
  <c r="F199" i="6"/>
  <c r="D198" i="6"/>
  <c r="E198" i="6"/>
  <c r="F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E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C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F115" i="6"/>
  <c r="D114" i="6"/>
  <c r="E114" i="6"/>
  <c r="C114" i="6"/>
  <c r="F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/>
  <c r="C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F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C79" i="5"/>
  <c r="E75" i="5"/>
  <c r="E88" i="5"/>
  <c r="E90" i="5"/>
  <c r="E86" i="5"/>
  <c r="D75" i="5"/>
  <c r="C75" i="5"/>
  <c r="C77" i="5"/>
  <c r="C71" i="5"/>
  <c r="E74" i="5"/>
  <c r="D74" i="5"/>
  <c r="C74" i="5"/>
  <c r="E67" i="5"/>
  <c r="D67" i="5"/>
  <c r="C67" i="5"/>
  <c r="E38" i="5"/>
  <c r="E49" i="5"/>
  <c r="D38" i="5"/>
  <c r="D53" i="5"/>
  <c r="D49" i="5"/>
  <c r="C38" i="5"/>
  <c r="C57" i="5"/>
  <c r="C62" i="5"/>
  <c r="E33" i="5"/>
  <c r="E34" i="5"/>
  <c r="D33" i="5"/>
  <c r="D34" i="5"/>
  <c r="E26" i="5"/>
  <c r="D26" i="5"/>
  <c r="C26" i="5"/>
  <c r="E13" i="5"/>
  <c r="E15" i="5"/>
  <c r="D13" i="5"/>
  <c r="C13" i="5"/>
  <c r="C25" i="5"/>
  <c r="C27" i="5"/>
  <c r="E186" i="4"/>
  <c r="F186" i="4"/>
  <c r="D183" i="4"/>
  <c r="C183" i="4"/>
  <c r="E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D167" i="4"/>
  <c r="C167" i="4"/>
  <c r="E166" i="4"/>
  <c r="F166" i="4"/>
  <c r="F165" i="4"/>
  <c r="E165" i="4"/>
  <c r="E164" i="4"/>
  <c r="F164" i="4"/>
  <c r="E163" i="4"/>
  <c r="F163" i="4"/>
  <c r="E162" i="4"/>
  <c r="F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F155" i="4"/>
  <c r="E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F147" i="4"/>
  <c r="E147" i="4"/>
  <c r="F146" i="4"/>
  <c r="E146" i="4"/>
  <c r="E145" i="4"/>
  <c r="F145" i="4"/>
  <c r="E144" i="4"/>
  <c r="F144" i="4"/>
  <c r="E143" i="4"/>
  <c r="F143" i="4"/>
  <c r="E142" i="4"/>
  <c r="F142" i="4"/>
  <c r="E141" i="4"/>
  <c r="F141" i="4"/>
  <c r="E140" i="4"/>
  <c r="F140" i="4"/>
  <c r="E139" i="4"/>
  <c r="F139" i="4"/>
  <c r="F138" i="4"/>
  <c r="E138" i="4"/>
  <c r="E137" i="4"/>
  <c r="F137" i="4"/>
  <c r="F136" i="4"/>
  <c r="E136" i="4"/>
  <c r="E135" i="4"/>
  <c r="F135" i="4"/>
  <c r="E134" i="4"/>
  <c r="F134" i="4"/>
  <c r="E133" i="4"/>
  <c r="F133" i="4"/>
  <c r="D130" i="4"/>
  <c r="C130" i="4"/>
  <c r="E129" i="4"/>
  <c r="F129" i="4"/>
  <c r="E128" i="4"/>
  <c r="F128" i="4"/>
  <c r="E127" i="4"/>
  <c r="F127" i="4"/>
  <c r="E126" i="4"/>
  <c r="F126" i="4"/>
  <c r="F125" i="4"/>
  <c r="E125" i="4"/>
  <c r="E124" i="4"/>
  <c r="F124" i="4"/>
  <c r="D121" i="4"/>
  <c r="E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/>
  <c r="F153" i="3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/>
  <c r="F137" i="3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F93" i="3"/>
  <c r="D93" i="3"/>
  <c r="E93" i="3"/>
  <c r="C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E95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C68" i="3"/>
  <c r="F67" i="3"/>
  <c r="E67" i="3"/>
  <c r="F66" i="3"/>
  <c r="E66" i="3"/>
  <c r="F65" i="3"/>
  <c r="E65" i="3"/>
  <c r="E64" i="3"/>
  <c r="F64" i="3"/>
  <c r="F63" i="3"/>
  <c r="E63" i="3"/>
  <c r="E62" i="3"/>
  <c r="F62" i="3"/>
  <c r="F61" i="3"/>
  <c r="E61" i="3"/>
  <c r="E60" i="3"/>
  <c r="F60" i="3"/>
  <c r="F59" i="3"/>
  <c r="E59" i="3"/>
  <c r="E58" i="3"/>
  <c r="F58" i="3"/>
  <c r="F57" i="3"/>
  <c r="E57" i="3"/>
  <c r="D51" i="3"/>
  <c r="E51" i="3"/>
  <c r="F51" i="3"/>
  <c r="C51" i="3"/>
  <c r="F50" i="3"/>
  <c r="D50" i="3"/>
  <c r="E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C41" i="3"/>
  <c r="C52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C25" i="3"/>
  <c r="F24" i="3"/>
  <c r="E24" i="3"/>
  <c r="F23" i="3"/>
  <c r="E23" i="3"/>
  <c r="F22" i="3"/>
  <c r="E22" i="3"/>
  <c r="E21" i="3"/>
  <c r="F21" i="3"/>
  <c r="F20" i="3"/>
  <c r="E20" i="3"/>
  <c r="E19" i="3"/>
  <c r="F19" i="3"/>
  <c r="F18" i="3"/>
  <c r="E18" i="3"/>
  <c r="E17" i="3"/>
  <c r="F17" i="3"/>
  <c r="F16" i="3"/>
  <c r="E16" i="3"/>
  <c r="E15" i="3"/>
  <c r="F15" i="3"/>
  <c r="F14" i="3"/>
  <c r="E14" i="3"/>
  <c r="E49" i="2"/>
  <c r="F49" i="2"/>
  <c r="F46" i="2"/>
  <c r="D46" i="2"/>
  <c r="E46" i="2"/>
  <c r="C46" i="2"/>
  <c r="F45" i="2"/>
  <c r="E45" i="2"/>
  <c r="F44" i="2"/>
  <c r="E44" i="2"/>
  <c r="D39" i="2"/>
  <c r="C39" i="2"/>
  <c r="E38" i="2"/>
  <c r="F38" i="2"/>
  <c r="E37" i="2"/>
  <c r="F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C19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F64" i="1"/>
  <c r="E64" i="1"/>
  <c r="E63" i="1"/>
  <c r="F63" i="1"/>
  <c r="D61" i="1"/>
  <c r="D65" i="1"/>
  <c r="C61" i="1"/>
  <c r="C65" i="1"/>
  <c r="E60" i="1"/>
  <c r="F60" i="1"/>
  <c r="F59" i="1"/>
  <c r="E59" i="1"/>
  <c r="D56" i="1"/>
  <c r="C56" i="1"/>
  <c r="E55" i="1"/>
  <c r="F55" i="1"/>
  <c r="F54" i="1"/>
  <c r="E54" i="1"/>
  <c r="E53" i="1"/>
  <c r="F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F40" i="1"/>
  <c r="E40" i="1"/>
  <c r="D38" i="1"/>
  <c r="D41" i="1"/>
  <c r="C38" i="1"/>
  <c r="E37" i="1"/>
  <c r="F37" i="1"/>
  <c r="E36" i="1"/>
  <c r="F36" i="1"/>
  <c r="E33" i="1"/>
  <c r="F33" i="1"/>
  <c r="E32" i="1"/>
  <c r="F32" i="1"/>
  <c r="E31" i="1"/>
  <c r="F31" i="1"/>
  <c r="D29" i="1"/>
  <c r="E29" i="1"/>
  <c r="C29" i="1"/>
  <c r="F29" i="1"/>
  <c r="F28" i="1"/>
  <c r="E28" i="1"/>
  <c r="F27" i="1"/>
  <c r="E27" i="1"/>
  <c r="F26" i="1"/>
  <c r="E26" i="1"/>
  <c r="F25" i="1"/>
  <c r="E25" i="1"/>
  <c r="D22" i="1"/>
  <c r="C22" i="1"/>
  <c r="F21" i="1"/>
  <c r="E21" i="1"/>
  <c r="E20" i="1"/>
  <c r="F20" i="1"/>
  <c r="E19" i="1"/>
  <c r="F19" i="1"/>
  <c r="F18" i="1"/>
  <c r="E18" i="1"/>
  <c r="F17" i="1"/>
  <c r="E17" i="1"/>
  <c r="E16" i="1"/>
  <c r="F16" i="1"/>
  <c r="E15" i="1"/>
  <c r="F15" i="1"/>
  <c r="F14" i="1"/>
  <c r="E14" i="1"/>
  <c r="E13" i="1"/>
  <c r="F13" i="1"/>
  <c r="D49" i="14"/>
  <c r="D50" i="14"/>
  <c r="F17" i="14"/>
  <c r="F36" i="14"/>
  <c r="D91" i="14"/>
  <c r="D92" i="14"/>
  <c r="D239" i="14"/>
  <c r="D269" i="14"/>
  <c r="E269" i="14"/>
  <c r="F269" i="14"/>
  <c r="D190" i="14"/>
  <c r="D214" i="14"/>
  <c r="D261" i="14"/>
  <c r="F59" i="14"/>
  <c r="E77" i="14"/>
  <c r="D192" i="14"/>
  <c r="D199" i="14"/>
  <c r="D215" i="14"/>
  <c r="D255" i="14"/>
  <c r="E255" i="14"/>
  <c r="F255" i="14"/>
  <c r="C33" i="2"/>
  <c r="E19" i="2"/>
  <c r="F19" i="2"/>
  <c r="D33" i="2"/>
  <c r="C75" i="1"/>
  <c r="E65" i="1"/>
  <c r="C21" i="5"/>
  <c r="E139" i="5"/>
  <c r="E135" i="5"/>
  <c r="E137" i="5"/>
  <c r="E140" i="5"/>
  <c r="E138" i="5"/>
  <c r="E136" i="5"/>
  <c r="C137" i="5"/>
  <c r="C139" i="5"/>
  <c r="C135" i="5"/>
  <c r="C138" i="5"/>
  <c r="C136" i="5"/>
  <c r="C140" i="5"/>
  <c r="C154" i="5"/>
  <c r="C156" i="5"/>
  <c r="C152" i="5"/>
  <c r="C153" i="5"/>
  <c r="C157" i="5"/>
  <c r="C155" i="5"/>
  <c r="F65" i="1"/>
  <c r="D75" i="1"/>
  <c r="C24" i="10"/>
  <c r="C17" i="10"/>
  <c r="C28" i="10"/>
  <c r="I33" i="11"/>
  <c r="I36" i="11"/>
  <c r="I38" i="11"/>
  <c r="I40" i="11"/>
  <c r="G36" i="11"/>
  <c r="G38" i="11"/>
  <c r="G40" i="11"/>
  <c r="D188" i="4"/>
  <c r="D149" i="5"/>
  <c r="D207" i="6"/>
  <c r="E207" i="6"/>
  <c r="F207" i="6"/>
  <c r="D19" i="9"/>
  <c r="D15" i="5"/>
  <c r="D25" i="5"/>
  <c r="D27" i="5"/>
  <c r="E53" i="5"/>
  <c r="E43" i="5"/>
  <c r="D77" i="5"/>
  <c r="D71" i="5"/>
  <c r="D88" i="5"/>
  <c r="D90" i="5"/>
  <c r="D86" i="5"/>
  <c r="E61" i="14"/>
  <c r="F61" i="14"/>
  <c r="E22" i="1"/>
  <c r="F22" i="1"/>
  <c r="E56" i="1"/>
  <c r="F56" i="1"/>
  <c r="E61" i="1"/>
  <c r="F61" i="1"/>
  <c r="E16" i="2"/>
  <c r="F16" i="2"/>
  <c r="E41" i="3"/>
  <c r="F41" i="3"/>
  <c r="E68" i="3"/>
  <c r="F68" i="3"/>
  <c r="D166" i="5"/>
  <c r="D121" i="7"/>
  <c r="D41" i="8"/>
  <c r="C20" i="10"/>
  <c r="E24" i="5"/>
  <c r="E17" i="5"/>
  <c r="E156" i="5"/>
  <c r="E152" i="5"/>
  <c r="E154" i="5"/>
  <c r="D25" i="10"/>
  <c r="D27" i="10"/>
  <c r="D15" i="10"/>
  <c r="D95" i="4"/>
  <c r="D65" i="8"/>
  <c r="E65" i="8"/>
  <c r="F65" i="8"/>
  <c r="C43" i="5"/>
  <c r="C53" i="5"/>
  <c r="E32" i="14"/>
  <c r="F32" i="14"/>
  <c r="C62" i="14"/>
  <c r="E25" i="3"/>
  <c r="F25" i="3"/>
  <c r="E84" i="3"/>
  <c r="F84" i="3"/>
  <c r="C49" i="5"/>
  <c r="E79" i="5"/>
  <c r="D109" i="5"/>
  <c r="D106" i="5"/>
  <c r="E155" i="5"/>
  <c r="D122" i="7"/>
  <c r="D43" i="8"/>
  <c r="C278" i="14"/>
  <c r="C215" i="14"/>
  <c r="C239" i="14"/>
  <c r="E237" i="14"/>
  <c r="F237" i="14"/>
  <c r="D22" i="15"/>
  <c r="D283" i="15"/>
  <c r="E283" i="15"/>
  <c r="D289" i="15"/>
  <c r="E60" i="15"/>
  <c r="C168" i="15"/>
  <c r="C145" i="15"/>
  <c r="E260" i="15"/>
  <c r="D303" i="15"/>
  <c r="D104" i="14"/>
  <c r="D174" i="14"/>
  <c r="H17" i="11"/>
  <c r="F33" i="11"/>
  <c r="F52" i="14"/>
  <c r="F66" i="14"/>
  <c r="C68" i="14"/>
  <c r="F95" i="14"/>
  <c r="F120" i="14"/>
  <c r="F129" i="14"/>
  <c r="C146" i="14"/>
  <c r="C206" i="14"/>
  <c r="C255" i="14"/>
  <c r="D71" i="15"/>
  <c r="E206" i="14"/>
  <c r="F250" i="14"/>
  <c r="F311" i="14"/>
  <c r="E311" i="14"/>
  <c r="E32" i="15"/>
  <c r="C71" i="15"/>
  <c r="C65" i="15"/>
  <c r="C66" i="15"/>
  <c r="C289" i="15"/>
  <c r="E70" i="15"/>
  <c r="D57" i="5"/>
  <c r="D62" i="5"/>
  <c r="D59" i="10"/>
  <c r="D61" i="10"/>
  <c r="D57" i="10"/>
  <c r="D31" i="11"/>
  <c r="E20" i="14"/>
  <c r="F20" i="14"/>
  <c r="E31" i="14"/>
  <c r="F31" i="14"/>
  <c r="C48" i="14"/>
  <c r="E60" i="14"/>
  <c r="F60" i="14"/>
  <c r="E76" i="14"/>
  <c r="F76" i="14"/>
  <c r="E88" i="14"/>
  <c r="F88" i="14"/>
  <c r="F145" i="14"/>
  <c r="F180" i="14"/>
  <c r="F299" i="14"/>
  <c r="D43" i="15"/>
  <c r="D44" i="15"/>
  <c r="D55" i="15"/>
  <c r="E55" i="15"/>
  <c r="C214" i="14"/>
  <c r="C261" i="14"/>
  <c r="C254" i="14"/>
  <c r="E188" i="14"/>
  <c r="F188" i="14"/>
  <c r="C283" i="14"/>
  <c r="C205" i="14"/>
  <c r="F203" i="14"/>
  <c r="E298" i="14"/>
  <c r="F298" i="14"/>
  <c r="C33" i="15"/>
  <c r="C295" i="15"/>
  <c r="C294" i="15"/>
  <c r="D320" i="15"/>
  <c r="E320" i="15"/>
  <c r="E316" i="15"/>
  <c r="D41" i="17"/>
  <c r="E109" i="19"/>
  <c r="E108" i="19"/>
  <c r="D254" i="14"/>
  <c r="D216" i="14"/>
  <c r="F29" i="14"/>
  <c r="C37" i="14"/>
  <c r="F47" i="14"/>
  <c r="F58" i="14"/>
  <c r="F89" i="14"/>
  <c r="C102" i="14"/>
  <c r="C190" i="14"/>
  <c r="C262" i="14"/>
  <c r="C267" i="14"/>
  <c r="C277" i="14"/>
  <c r="F285" i="14"/>
  <c r="F295" i="14"/>
  <c r="C76" i="15"/>
  <c r="C77" i="15"/>
  <c r="E245" i="15"/>
  <c r="E111" i="14"/>
  <c r="F111" i="14"/>
  <c r="C290" i="14"/>
  <c r="C199" i="14"/>
  <c r="E294" i="14"/>
  <c r="F294" i="14"/>
  <c r="C43" i="15"/>
  <c r="C259" i="15"/>
  <c r="E37" i="15"/>
  <c r="E156" i="15"/>
  <c r="D157" i="15"/>
  <c r="E157" i="15"/>
  <c r="D109" i="19"/>
  <c r="D108" i="19"/>
  <c r="D175" i="14"/>
  <c r="D62" i="14"/>
  <c r="D105" i="14"/>
  <c r="D207" i="14"/>
  <c r="D138" i="14"/>
  <c r="I17" i="11"/>
  <c r="C21" i="14"/>
  <c r="E35" i="14"/>
  <c r="F35" i="14"/>
  <c r="E94" i="14"/>
  <c r="F94" i="14"/>
  <c r="F101" i="14"/>
  <c r="C159" i="14"/>
  <c r="F170" i="14"/>
  <c r="F171" i="14"/>
  <c r="C181" i="14"/>
  <c r="E189" i="14"/>
  <c r="F189" i="14"/>
  <c r="C200" i="14"/>
  <c r="F223" i="14"/>
  <c r="F238" i="14"/>
  <c r="C266" i="14"/>
  <c r="C274" i="14"/>
  <c r="C300" i="14"/>
  <c r="C306" i="14"/>
  <c r="E21" i="15"/>
  <c r="E33" i="15"/>
  <c r="D65" i="15"/>
  <c r="D294" i="15"/>
  <c r="E294" i="15"/>
  <c r="E189" i="15"/>
  <c r="C38" i="16"/>
  <c r="C127" i="16"/>
  <c r="C129" i="16"/>
  <c r="C133" i="16"/>
  <c r="C65" i="16"/>
  <c r="C114" i="16"/>
  <c r="C116" i="16"/>
  <c r="C119" i="16"/>
  <c r="C123" i="16"/>
  <c r="F20" i="17"/>
  <c r="F40" i="17"/>
  <c r="D288" i="14"/>
  <c r="C265" i="14"/>
  <c r="C22" i="15"/>
  <c r="C284" i="15"/>
  <c r="E139" i="15"/>
  <c r="C163" i="15"/>
  <c r="E163" i="15"/>
  <c r="D175" i="15"/>
  <c r="E188" i="15"/>
  <c r="D217" i="15"/>
  <c r="E218" i="15"/>
  <c r="E233" i="15"/>
  <c r="D239" i="15"/>
  <c r="C242" i="15"/>
  <c r="E242" i="15"/>
  <c r="D243" i="15"/>
  <c r="E251" i="15"/>
  <c r="C22" i="16"/>
  <c r="C39" i="17"/>
  <c r="E22" i="19"/>
  <c r="D34" i="19"/>
  <c r="C53" i="19"/>
  <c r="D54" i="19"/>
  <c r="C101" i="19"/>
  <c r="C103" i="19"/>
  <c r="D102" i="19"/>
  <c r="C109" i="19"/>
  <c r="D110" i="19"/>
  <c r="D161" i="14"/>
  <c r="D193" i="14"/>
  <c r="D282" i="14"/>
  <c r="E282" i="14"/>
  <c r="F282" i="14"/>
  <c r="D267" i="14"/>
  <c r="D271" i="14"/>
  <c r="D277" i="14"/>
  <c r="D306" i="14"/>
  <c r="E306" i="14"/>
  <c r="E151" i="15"/>
  <c r="C175" i="15"/>
  <c r="E195" i="15"/>
  <c r="E215" i="15"/>
  <c r="C217" i="15"/>
  <c r="C241" i="15"/>
  <c r="E241" i="15"/>
  <c r="D222" i="15"/>
  <c r="D223" i="15"/>
  <c r="C261" i="15"/>
  <c r="C302" i="15"/>
  <c r="C303" i="15"/>
  <c r="E314" i="15"/>
  <c r="C49" i="16"/>
  <c r="F33" i="17"/>
  <c r="F43" i="17"/>
  <c r="E23" i="19"/>
  <c r="E54" i="19"/>
  <c r="D29" i="19"/>
  <c r="D35" i="19"/>
  <c r="D39" i="19"/>
  <c r="D45" i="19"/>
  <c r="C110" i="19"/>
  <c r="D111" i="19"/>
  <c r="D124" i="14"/>
  <c r="D125" i="14"/>
  <c r="D160" i="14"/>
  <c r="D200" i="14"/>
  <c r="E200" i="14"/>
  <c r="D262" i="14"/>
  <c r="D266" i="14"/>
  <c r="E266" i="14"/>
  <c r="F266" i="14"/>
  <c r="D274" i="14"/>
  <c r="E274" i="14"/>
  <c r="F274" i="14"/>
  <c r="D280" i="14"/>
  <c r="D144" i="15"/>
  <c r="C29" i="19"/>
  <c r="C112" i="19"/>
  <c r="D30" i="19"/>
  <c r="E33" i="19"/>
  <c r="C35" i="19"/>
  <c r="D36" i="19"/>
  <c r="C39" i="19"/>
  <c r="D40" i="19"/>
  <c r="E221" i="15"/>
  <c r="C30" i="19"/>
  <c r="C36" i="19"/>
  <c r="C40" i="19"/>
  <c r="D140" i="14"/>
  <c r="C55" i="19"/>
  <c r="C37" i="19"/>
  <c r="E46" i="19"/>
  <c r="E36" i="19"/>
  <c r="E111" i="19"/>
  <c r="D270" i="14"/>
  <c r="E267" i="14"/>
  <c r="F267" i="14"/>
  <c r="E110" i="19"/>
  <c r="E53" i="19"/>
  <c r="E45" i="19"/>
  <c r="E39" i="19"/>
  <c r="E35" i="19"/>
  <c r="E29" i="19"/>
  <c r="E243" i="15"/>
  <c r="D252" i="15"/>
  <c r="C161" i="14"/>
  <c r="C196" i="14"/>
  <c r="C91" i="14"/>
  <c r="C49" i="14"/>
  <c r="E21" i="14"/>
  <c r="F21" i="14"/>
  <c r="D106" i="14"/>
  <c r="D176" i="14"/>
  <c r="C287" i="14"/>
  <c r="C279" i="14"/>
  <c r="C284" i="14"/>
  <c r="C286" i="14"/>
  <c r="E214" i="14"/>
  <c r="F214" i="14"/>
  <c r="C216" i="14"/>
  <c r="H33" i="11"/>
  <c r="H36" i="11"/>
  <c r="H38" i="11"/>
  <c r="H40" i="11"/>
  <c r="F36" i="11"/>
  <c r="F38" i="11"/>
  <c r="F40" i="11"/>
  <c r="D284" i="15"/>
  <c r="E284" i="15"/>
  <c r="E22" i="15"/>
  <c r="C63" i="14"/>
  <c r="E28" i="5"/>
  <c r="E112" i="5"/>
  <c r="E111" i="5"/>
  <c r="D21" i="5"/>
  <c r="D265" i="14"/>
  <c r="E265" i="14"/>
  <c r="F265" i="14"/>
  <c r="E71" i="15"/>
  <c r="F206" i="14"/>
  <c r="D75" i="8"/>
  <c r="C158" i="5"/>
  <c r="E181" i="14"/>
  <c r="F181" i="14"/>
  <c r="D208" i="14"/>
  <c r="D141" i="14"/>
  <c r="C272" i="14"/>
  <c r="E205" i="14"/>
  <c r="F205" i="14"/>
  <c r="C268" i="14"/>
  <c r="E261" i="14"/>
  <c r="F261" i="14"/>
  <c r="C263" i="14"/>
  <c r="C271" i="14"/>
  <c r="E68" i="14"/>
  <c r="F68" i="14"/>
  <c r="E239" i="14"/>
  <c r="F239" i="14"/>
  <c r="D24" i="10"/>
  <c r="D17" i="10"/>
  <c r="D28" i="10"/>
  <c r="D70" i="10"/>
  <c r="D72" i="10"/>
  <c r="D69" i="10"/>
  <c r="D155" i="5"/>
  <c r="D157" i="5"/>
  <c r="D153" i="5"/>
  <c r="D156" i="5"/>
  <c r="D154" i="5"/>
  <c r="D152" i="5"/>
  <c r="E19" i="9"/>
  <c r="F19" i="9"/>
  <c r="D33" i="9"/>
  <c r="D268" i="14"/>
  <c r="E268" i="14"/>
  <c r="F268" i="14"/>
  <c r="D126" i="14"/>
  <c r="C304" i="14"/>
  <c r="E302" i="15"/>
  <c r="C56" i="19"/>
  <c r="C48" i="19"/>
  <c r="C38" i="19"/>
  <c r="C113" i="19"/>
  <c r="D113" i="19"/>
  <c r="D56" i="19"/>
  <c r="D48" i="19"/>
  <c r="D38" i="19"/>
  <c r="D162" i="14"/>
  <c r="E161" i="14"/>
  <c r="E290" i="14"/>
  <c r="F290" i="14"/>
  <c r="C270" i="14"/>
  <c r="E37" i="14"/>
  <c r="F37" i="14"/>
  <c r="E254" i="14"/>
  <c r="F254" i="14"/>
  <c r="C195" i="14"/>
  <c r="C160" i="14"/>
  <c r="E160" i="14"/>
  <c r="C90" i="14"/>
  <c r="E48" i="14"/>
  <c r="F48" i="14"/>
  <c r="D306" i="15"/>
  <c r="C169" i="15"/>
  <c r="C288" i="14"/>
  <c r="E278" i="14"/>
  <c r="F278" i="14"/>
  <c r="E33" i="2"/>
  <c r="F33" i="2"/>
  <c r="D41" i="2"/>
  <c r="E175" i="15"/>
  <c r="E289" i="15"/>
  <c r="C141" i="5"/>
  <c r="D47" i="19"/>
  <c r="D37" i="19"/>
  <c r="D112" i="19"/>
  <c r="D55" i="19"/>
  <c r="D246" i="15"/>
  <c r="D304" i="14"/>
  <c r="E271" i="14"/>
  <c r="D281" i="14"/>
  <c r="D279" i="14"/>
  <c r="E279" i="14"/>
  <c r="E277" i="14"/>
  <c r="F277" i="14"/>
  <c r="D194" i="14"/>
  <c r="E193" i="14"/>
  <c r="F193" i="14"/>
  <c r="D66" i="15"/>
  <c r="E65" i="15"/>
  <c r="E159" i="14"/>
  <c r="F159" i="14"/>
  <c r="D63" i="14"/>
  <c r="E62" i="14"/>
  <c r="F62" i="14"/>
  <c r="E102" i="14"/>
  <c r="F102" i="14"/>
  <c r="C103" i="14"/>
  <c r="D145" i="15"/>
  <c r="E144" i="15"/>
  <c r="D168" i="15"/>
  <c r="E168" i="15"/>
  <c r="D272" i="14"/>
  <c r="E272" i="14"/>
  <c r="F272" i="14"/>
  <c r="E262" i="14"/>
  <c r="F262" i="14"/>
  <c r="F39" i="17"/>
  <c r="C41" i="17"/>
  <c r="E217" i="15"/>
  <c r="D241" i="15"/>
  <c r="E199" i="14"/>
  <c r="F199" i="14"/>
  <c r="E190" i="14"/>
  <c r="F190" i="14"/>
  <c r="E43" i="15"/>
  <c r="E146" i="14"/>
  <c r="F146" i="14"/>
  <c r="E215" i="14"/>
  <c r="F215" i="14"/>
  <c r="D24" i="5"/>
  <c r="D20" i="5"/>
  <c r="D17" i="5"/>
  <c r="D138" i="5"/>
  <c r="D140" i="5"/>
  <c r="D136" i="5"/>
  <c r="D135" i="5"/>
  <c r="D139" i="5"/>
  <c r="D137" i="5"/>
  <c r="C41" i="2"/>
  <c r="E288" i="14"/>
  <c r="C263" i="15"/>
  <c r="D263" i="14"/>
  <c r="F200" i="14"/>
  <c r="C44" i="15"/>
  <c r="E216" i="14"/>
  <c r="E39" i="17"/>
  <c r="E41" i="17"/>
  <c r="D300" i="14"/>
  <c r="E300" i="14"/>
  <c r="D76" i="15"/>
  <c r="D139" i="14"/>
  <c r="E75" i="1"/>
  <c r="F75" i="1"/>
  <c r="E141" i="5"/>
  <c r="E76" i="15"/>
  <c r="D77" i="15"/>
  <c r="C99" i="15"/>
  <c r="C95" i="15"/>
  <c r="C88" i="15"/>
  <c r="C84" i="15"/>
  <c r="C90" i="15"/>
  <c r="C258" i="15"/>
  <c r="C100" i="15"/>
  <c r="C96" i="15"/>
  <c r="C89" i="15"/>
  <c r="C85" i="15"/>
  <c r="C101" i="15"/>
  <c r="C83" i="15"/>
  <c r="C97" i="15"/>
  <c r="C86" i="15"/>
  <c r="C98" i="15"/>
  <c r="C87" i="15"/>
  <c r="E194" i="14"/>
  <c r="F194" i="14"/>
  <c r="D195" i="14"/>
  <c r="E195" i="14"/>
  <c r="F195" i="14"/>
  <c r="D196" i="14"/>
  <c r="E90" i="14"/>
  <c r="F90" i="14"/>
  <c r="D183" i="14"/>
  <c r="D323" i="14"/>
  <c r="D210" i="14"/>
  <c r="D209" i="14"/>
  <c r="E91" i="14"/>
  <c r="F91" i="14"/>
  <c r="C92" i="14"/>
  <c r="D259" i="15"/>
  <c r="F263" i="14"/>
  <c r="E263" i="14"/>
  <c r="D273" i="14"/>
  <c r="D158" i="5"/>
  <c r="E270" i="14"/>
  <c r="C291" i="14"/>
  <c r="C289" i="14"/>
  <c r="D113" i="14"/>
  <c r="D324" i="14"/>
  <c r="C50" i="14"/>
  <c r="E50" i="14"/>
  <c r="E49" i="14"/>
  <c r="F49" i="14"/>
  <c r="D112" i="5"/>
  <c r="D111" i="5"/>
  <c r="D28" i="5"/>
  <c r="E103" i="14"/>
  <c r="F103" i="14"/>
  <c r="C104" i="14"/>
  <c r="C105" i="14"/>
  <c r="E63" i="14"/>
  <c r="F63" i="14"/>
  <c r="D70" i="14"/>
  <c r="E66" i="15"/>
  <c r="D295" i="15"/>
  <c r="E295" i="15"/>
  <c r="D48" i="2"/>
  <c r="E48" i="2"/>
  <c r="E41" i="2"/>
  <c r="F41" i="2"/>
  <c r="D310" i="15"/>
  <c r="E33" i="9"/>
  <c r="F33" i="9"/>
  <c r="D41" i="9"/>
  <c r="E41" i="9"/>
  <c r="F41" i="9"/>
  <c r="C273" i="14"/>
  <c r="F271" i="14"/>
  <c r="D322" i="14"/>
  <c r="F161" i="14"/>
  <c r="C162" i="14"/>
  <c r="F270" i="14"/>
  <c r="D141" i="5"/>
  <c r="F41" i="17"/>
  <c r="F279" i="14"/>
  <c r="C48" i="2"/>
  <c r="E145" i="15"/>
  <c r="D169" i="15"/>
  <c r="E169" i="15"/>
  <c r="E304" i="14"/>
  <c r="F304" i="14"/>
  <c r="D127" i="14"/>
  <c r="E99" i="5"/>
  <c r="E101" i="5"/>
  <c r="E98" i="5"/>
  <c r="E47" i="19"/>
  <c r="E37" i="19"/>
  <c r="E112" i="19"/>
  <c r="E55" i="19"/>
  <c r="F288" i="14"/>
  <c r="F160" i="14"/>
  <c r="F216" i="14"/>
  <c r="D325" i="14"/>
  <c r="D211" i="14"/>
  <c r="C91" i="15"/>
  <c r="C105" i="15"/>
  <c r="C102" i="15"/>
  <c r="D148" i="14"/>
  <c r="C70" i="14"/>
  <c r="E70" i="14"/>
  <c r="D127" i="15"/>
  <c r="D123" i="15"/>
  <c r="D112" i="15"/>
  <c r="D124" i="15"/>
  <c r="D113" i="15"/>
  <c r="D109" i="15"/>
  <c r="D121" i="15"/>
  <c r="D110" i="15"/>
  <c r="D122" i="15"/>
  <c r="D111" i="15"/>
  <c r="D125" i="15"/>
  <c r="D114" i="15"/>
  <c r="D126" i="15"/>
  <c r="D115" i="15"/>
  <c r="E104" i="14"/>
  <c r="F104" i="14"/>
  <c r="E259" i="15"/>
  <c r="E92" i="14"/>
  <c r="F92" i="14"/>
  <c r="C264" i="15"/>
  <c r="C266" i="15"/>
  <c r="C267" i="15"/>
  <c r="E162" i="14"/>
  <c r="F162" i="14"/>
  <c r="F105" i="14"/>
  <c r="C106" i="14"/>
  <c r="C324" i="14"/>
  <c r="E105" i="14"/>
  <c r="D99" i="5"/>
  <c r="D101" i="5"/>
  <c r="D98" i="5"/>
  <c r="D22" i="5"/>
  <c r="C305" i="14"/>
  <c r="C309" i="14"/>
  <c r="D197" i="14"/>
  <c r="E196" i="14"/>
  <c r="F196" i="14"/>
  <c r="F48" i="2"/>
  <c r="E273" i="14"/>
  <c r="F273" i="14"/>
  <c r="C103" i="15"/>
  <c r="E324" i="14"/>
  <c r="F324" i="14"/>
  <c r="D116" i="15"/>
  <c r="E106" i="14"/>
  <c r="F106" i="14"/>
  <c r="D117" i="15"/>
  <c r="C113" i="14"/>
  <c r="F113" i="14"/>
  <c r="E113" i="14"/>
  <c r="C269" i="15"/>
  <c r="C268" i="15"/>
  <c r="E303" i="15"/>
  <c r="C306" i="15"/>
  <c r="D247" i="15"/>
  <c r="F300" i="14"/>
  <c r="C122" i="15"/>
  <c r="C111" i="15"/>
  <c r="E111" i="15"/>
  <c r="C123" i="15"/>
  <c r="E123" i="15"/>
  <c r="C124" i="15"/>
  <c r="E124" i="15"/>
  <c r="C125" i="15"/>
  <c r="C109" i="15"/>
  <c r="C110" i="15"/>
  <c r="E77" i="15"/>
  <c r="C126" i="15"/>
  <c r="C115" i="15"/>
  <c r="E115" i="15"/>
  <c r="C127" i="15"/>
  <c r="E127" i="15"/>
  <c r="C112" i="15"/>
  <c r="E112" i="15"/>
  <c r="C113" i="15"/>
  <c r="C114" i="15"/>
  <c r="E114" i="15"/>
  <c r="C121" i="15"/>
  <c r="D96" i="15"/>
  <c r="D85" i="15"/>
  <c r="E85" i="15"/>
  <c r="D101" i="15"/>
  <c r="E101" i="15"/>
  <c r="D86" i="15"/>
  <c r="E86" i="15"/>
  <c r="D87" i="15"/>
  <c r="E87" i="15"/>
  <c r="D88" i="15"/>
  <c r="E88" i="15"/>
  <c r="D95" i="15"/>
  <c r="D100" i="15"/>
  <c r="E100" i="15"/>
  <c r="D89" i="15"/>
  <c r="E89" i="15"/>
  <c r="D258" i="15"/>
  <c r="D97" i="15"/>
  <c r="E97" i="15"/>
  <c r="D98" i="15"/>
  <c r="E98" i="15"/>
  <c r="D99" i="15"/>
  <c r="E99" i="15"/>
  <c r="D83" i="15"/>
  <c r="D84" i="15"/>
  <c r="E44" i="15"/>
  <c r="C310" i="14"/>
  <c r="E126" i="15"/>
  <c r="E125" i="15"/>
  <c r="E113" i="15"/>
  <c r="D21" i="10"/>
  <c r="D20" i="10"/>
  <c r="D22" i="10"/>
  <c r="C70" i="10"/>
  <c r="C72" i="10"/>
  <c r="C69" i="10"/>
  <c r="C22" i="10"/>
  <c r="D43" i="1"/>
  <c r="E38" i="1"/>
  <c r="F38" i="1"/>
  <c r="C41" i="1"/>
  <c r="E41" i="1"/>
  <c r="E73" i="1"/>
  <c r="F73" i="1"/>
  <c r="E31" i="2"/>
  <c r="F31" i="2"/>
  <c r="E39" i="2"/>
  <c r="F39" i="2"/>
  <c r="F102" i="6"/>
  <c r="F70" i="14"/>
  <c r="D128" i="15"/>
  <c r="D48" i="9"/>
  <c r="E48" i="9"/>
  <c r="F48" i="9"/>
  <c r="F50" i="14"/>
  <c r="E30" i="19"/>
  <c r="E40" i="19"/>
  <c r="C47" i="19"/>
  <c r="D52" i="3"/>
  <c r="E52" i="3"/>
  <c r="F52" i="3"/>
  <c r="F95" i="3"/>
  <c r="F121" i="4"/>
  <c r="E153" i="5"/>
  <c r="E157" i="5"/>
  <c r="F24" i="6"/>
  <c r="F63" i="6"/>
  <c r="F89" i="6"/>
  <c r="E90" i="4"/>
  <c r="F90" i="4"/>
  <c r="E130" i="4"/>
  <c r="F130" i="4"/>
  <c r="C188" i="4"/>
  <c r="F183" i="4"/>
  <c r="C15" i="5"/>
  <c r="E25" i="5"/>
  <c r="E27" i="5"/>
  <c r="D43" i="5"/>
  <c r="E57" i="5"/>
  <c r="E62" i="5"/>
  <c r="C88" i="5"/>
  <c r="C90" i="5"/>
  <c r="C86" i="5"/>
  <c r="F23" i="6"/>
  <c r="F49" i="6"/>
  <c r="F62" i="6"/>
  <c r="F75" i="6"/>
  <c r="F88" i="6"/>
  <c r="F101" i="6"/>
  <c r="F127" i="6"/>
  <c r="E128" i="6"/>
  <c r="F140" i="6"/>
  <c r="E141" i="6"/>
  <c r="E153" i="6"/>
  <c r="E154" i="6"/>
  <c r="F29" i="8"/>
  <c r="C95" i="4"/>
  <c r="E167" i="4"/>
  <c r="F167" i="4"/>
  <c r="E77" i="5"/>
  <c r="E71" i="5"/>
  <c r="F128" i="6"/>
  <c r="F141" i="6"/>
  <c r="F112" i="7"/>
  <c r="F113" i="7"/>
  <c r="I31" i="11"/>
  <c r="F37" i="12"/>
  <c r="F92" i="12"/>
  <c r="E200" i="6"/>
  <c r="F200" i="6"/>
  <c r="E202" i="6"/>
  <c r="F202" i="6"/>
  <c r="E204" i="6"/>
  <c r="F204" i="6"/>
  <c r="E206" i="6"/>
  <c r="F206" i="6"/>
  <c r="D208" i="6"/>
  <c r="E208" i="6"/>
  <c r="C122" i="7"/>
  <c r="E114" i="7"/>
  <c r="F114" i="7"/>
  <c r="E22" i="8"/>
  <c r="F22" i="8"/>
  <c r="E38" i="8"/>
  <c r="F38" i="8"/>
  <c r="C41" i="8"/>
  <c r="C59" i="10"/>
  <c r="C61" i="10"/>
  <c r="C57" i="10"/>
  <c r="C31" i="11"/>
  <c r="H31" i="11"/>
  <c r="E33" i="11"/>
  <c r="E36" i="11"/>
  <c r="E38" i="11"/>
  <c r="E40" i="11"/>
  <c r="E16" i="12"/>
  <c r="F16" i="12"/>
  <c r="E23" i="12"/>
  <c r="F23" i="12"/>
  <c r="E37" i="12"/>
  <c r="E65" i="12"/>
  <c r="F65" i="12"/>
  <c r="E70" i="12"/>
  <c r="F70" i="12"/>
  <c r="E84" i="12"/>
  <c r="F84" i="12"/>
  <c r="E92" i="12"/>
  <c r="E99" i="12"/>
  <c r="F99" i="12"/>
  <c r="E13" i="13"/>
  <c r="F13" i="13"/>
  <c r="E17" i="13"/>
  <c r="F17" i="13"/>
  <c r="E21" i="13"/>
  <c r="F21" i="13"/>
  <c r="E53" i="14"/>
  <c r="F53" i="14"/>
  <c r="E137" i="14"/>
  <c r="F137" i="14"/>
  <c r="C138" i="14"/>
  <c r="C208" i="6"/>
  <c r="C121" i="7"/>
  <c r="C43" i="8"/>
  <c r="C75" i="8"/>
  <c r="E75" i="8"/>
  <c r="E15" i="10"/>
  <c r="E48" i="10"/>
  <c r="E42" i="10"/>
  <c r="E75" i="12"/>
  <c r="F75" i="12"/>
  <c r="E30" i="14"/>
  <c r="F30" i="14"/>
  <c r="F100" i="14"/>
  <c r="F110" i="14"/>
  <c r="E264" i="14"/>
  <c r="F264" i="14"/>
  <c r="E109" i="14"/>
  <c r="F109" i="14"/>
  <c r="C124" i="14"/>
  <c r="F130" i="14"/>
  <c r="E136" i="14"/>
  <c r="F136" i="14"/>
  <c r="F155" i="14"/>
  <c r="F164" i="14"/>
  <c r="C172" i="14"/>
  <c r="E191" i="14"/>
  <c r="F191" i="14"/>
  <c r="E204" i="14"/>
  <c r="F204" i="14"/>
  <c r="C227" i="14"/>
  <c r="F226" i="14"/>
  <c r="F230" i="14"/>
  <c r="C280" i="14"/>
  <c r="F297" i="14"/>
  <c r="F307" i="14"/>
  <c r="D261" i="15"/>
  <c r="C210" i="15"/>
  <c r="C229" i="15"/>
  <c r="C239" i="15"/>
  <c r="E239" i="15"/>
  <c r="C222" i="15"/>
  <c r="C240" i="15"/>
  <c r="C253" i="15"/>
  <c r="E216" i="15"/>
  <c r="D253" i="15"/>
  <c r="E123" i="14"/>
  <c r="F123" i="14"/>
  <c r="C192" i="14"/>
  <c r="E205" i="15"/>
  <c r="D210" i="15"/>
  <c r="D229" i="15"/>
  <c r="E229" i="15"/>
  <c r="E240" i="15"/>
  <c r="C252" i="15"/>
  <c r="E220" i="15"/>
  <c r="E231" i="15"/>
  <c r="E19" i="17"/>
  <c r="F19" i="17"/>
  <c r="C54" i="19"/>
  <c r="D101" i="19"/>
  <c r="D103" i="19"/>
  <c r="D326" i="15"/>
  <c r="E25" i="17"/>
  <c r="F25" i="17"/>
  <c r="C46" i="19"/>
  <c r="D283" i="14"/>
  <c r="D234" i="15"/>
  <c r="D211" i="15"/>
  <c r="D180" i="15"/>
  <c r="E210" i="15"/>
  <c r="C246" i="15"/>
  <c r="E246" i="15"/>
  <c r="E222" i="15"/>
  <c r="D330" i="15"/>
  <c r="E330" i="15"/>
  <c r="E326" i="15"/>
  <c r="C254" i="15"/>
  <c r="E252" i="15"/>
  <c r="E253" i="15"/>
  <c r="D254" i="15"/>
  <c r="C223" i="15"/>
  <c r="E261" i="15"/>
  <c r="D263" i="15"/>
  <c r="E263" i="15"/>
  <c r="E227" i="14"/>
  <c r="F227" i="14"/>
  <c r="C126" i="14"/>
  <c r="E124" i="14"/>
  <c r="F124" i="14"/>
  <c r="C125" i="14"/>
  <c r="E24" i="10"/>
  <c r="E20" i="10"/>
  <c r="E17" i="10"/>
  <c r="E28" i="10"/>
  <c r="F208" i="6"/>
  <c r="F122" i="7"/>
  <c r="E122" i="7"/>
  <c r="E21" i="5"/>
  <c r="E20" i="5"/>
  <c r="E22" i="5"/>
  <c r="E158" i="5"/>
  <c r="D129" i="15"/>
  <c r="E41" i="8"/>
  <c r="F41" i="8"/>
  <c r="D90" i="15"/>
  <c r="E90" i="15"/>
  <c r="E84" i="15"/>
  <c r="E95" i="15"/>
  <c r="E96" i="15"/>
  <c r="D102" i="15"/>
  <c r="E102" i="15"/>
  <c r="E109" i="15"/>
  <c r="C271" i="15"/>
  <c r="D286" i="14"/>
  <c r="E286" i="14"/>
  <c r="F286" i="14"/>
  <c r="E283" i="14"/>
  <c r="F283" i="14"/>
  <c r="D284" i="14"/>
  <c r="E284" i="14"/>
  <c r="F284" i="14"/>
  <c r="D287" i="14"/>
  <c r="E192" i="14"/>
  <c r="F192" i="14"/>
  <c r="C211" i="15"/>
  <c r="C234" i="15"/>
  <c r="C180" i="15"/>
  <c r="C281" i="14"/>
  <c r="E280" i="14"/>
  <c r="F280" i="14"/>
  <c r="E172" i="14"/>
  <c r="F172" i="14"/>
  <c r="C173" i="14"/>
  <c r="C207" i="14"/>
  <c r="F75" i="8"/>
  <c r="F121" i="7"/>
  <c r="E121" i="7"/>
  <c r="C139" i="14"/>
  <c r="C140" i="14"/>
  <c r="E138" i="14"/>
  <c r="F138" i="14"/>
  <c r="F95" i="4"/>
  <c r="E95" i="4"/>
  <c r="C24" i="5"/>
  <c r="C20" i="5"/>
  <c r="C17" i="5"/>
  <c r="E38" i="19"/>
  <c r="E56" i="19"/>
  <c r="E48" i="19"/>
  <c r="E113" i="19"/>
  <c r="F41" i="1"/>
  <c r="C43" i="1"/>
  <c r="E43" i="1"/>
  <c r="E188" i="4"/>
  <c r="F188" i="4"/>
  <c r="E43" i="8"/>
  <c r="F43" i="8"/>
  <c r="C312" i="14"/>
  <c r="E83" i="15"/>
  <c r="D91" i="15"/>
  <c r="E258" i="15"/>
  <c r="D264" i="15"/>
  <c r="E121" i="15"/>
  <c r="C116" i="15"/>
  <c r="E116" i="15"/>
  <c r="E110" i="15"/>
  <c r="E122" i="15"/>
  <c r="C128" i="15"/>
  <c r="E128" i="15"/>
  <c r="C310" i="15"/>
  <c r="E310" i="15"/>
  <c r="E306" i="15"/>
  <c r="D266" i="15"/>
  <c r="E264" i="15"/>
  <c r="C129" i="15"/>
  <c r="E91" i="15"/>
  <c r="C313" i="14"/>
  <c r="C28" i="5"/>
  <c r="C112" i="5"/>
  <c r="C111" i="5"/>
  <c r="C175" i="14"/>
  <c r="C174" i="14"/>
  <c r="E173" i="14"/>
  <c r="F173" i="14"/>
  <c r="C235" i="15"/>
  <c r="C181" i="15"/>
  <c r="C117" i="15"/>
  <c r="D103" i="15"/>
  <c r="E103" i="15"/>
  <c r="E254" i="15"/>
  <c r="D235" i="15"/>
  <c r="E235" i="15"/>
  <c r="E211" i="15"/>
  <c r="D181" i="15"/>
  <c r="E181" i="15"/>
  <c r="F43" i="1"/>
  <c r="C141" i="14"/>
  <c r="E140" i="14"/>
  <c r="F140" i="14"/>
  <c r="E139" i="14"/>
  <c r="F139" i="14"/>
  <c r="E207" i="14"/>
  <c r="C208" i="14"/>
  <c r="F207" i="14"/>
  <c r="F281" i="14"/>
  <c r="E281" i="14"/>
  <c r="E287" i="14"/>
  <c r="F287" i="14"/>
  <c r="D289" i="14"/>
  <c r="E289" i="14"/>
  <c r="F289" i="14"/>
  <c r="D291" i="14"/>
  <c r="E129" i="15"/>
  <c r="D131" i="15"/>
  <c r="E22" i="10"/>
  <c r="E70" i="10"/>
  <c r="E72" i="10"/>
  <c r="E69" i="10"/>
  <c r="E125" i="14"/>
  <c r="F125" i="14"/>
  <c r="C127" i="14"/>
  <c r="E126" i="14"/>
  <c r="F126" i="14"/>
  <c r="C247" i="15"/>
  <c r="E247" i="15"/>
  <c r="E223" i="15"/>
  <c r="E180" i="15"/>
  <c r="E234" i="15"/>
  <c r="C148" i="14"/>
  <c r="C197" i="14"/>
  <c r="E127" i="14"/>
  <c r="F127" i="14"/>
  <c r="C131" i="15"/>
  <c r="E117" i="15"/>
  <c r="F174" i="14"/>
  <c r="E174" i="14"/>
  <c r="F175" i="14"/>
  <c r="E175" i="14"/>
  <c r="C176" i="14"/>
  <c r="C99" i="5"/>
  <c r="C101" i="5"/>
  <c r="C98" i="5"/>
  <c r="C22" i="5"/>
  <c r="C256" i="14"/>
  <c r="C315" i="14"/>
  <c r="C251" i="14"/>
  <c r="C314" i="14"/>
  <c r="E131" i="15"/>
  <c r="E291" i="14"/>
  <c r="F291" i="14"/>
  <c r="D305" i="14"/>
  <c r="C209" i="14"/>
  <c r="E208" i="14"/>
  <c r="F208" i="14"/>
  <c r="C210" i="14"/>
  <c r="E141" i="14"/>
  <c r="C322" i="14"/>
  <c r="C211" i="14"/>
  <c r="F141" i="14"/>
  <c r="D105" i="15"/>
  <c r="E105" i="15"/>
  <c r="E266" i="15"/>
  <c r="D267" i="15"/>
  <c r="D269" i="15"/>
  <c r="E269" i="15"/>
  <c r="D268" i="15"/>
  <c r="E267" i="15"/>
  <c r="E211" i="14"/>
  <c r="F211" i="14"/>
  <c r="C257" i="14"/>
  <c r="F322" i="14"/>
  <c r="E322" i="14"/>
  <c r="E210" i="14"/>
  <c r="F210" i="14"/>
  <c r="E209" i="14"/>
  <c r="F209" i="14"/>
  <c r="E305" i="14"/>
  <c r="F305" i="14"/>
  <c r="D309" i="14"/>
  <c r="C318" i="14"/>
  <c r="E176" i="14"/>
  <c r="C183" i="14"/>
  <c r="F176" i="14"/>
  <c r="C323" i="14"/>
  <c r="F197" i="14"/>
  <c r="E197" i="14"/>
  <c r="F148" i="14"/>
  <c r="E148" i="14"/>
  <c r="E323" i="14"/>
  <c r="F323" i="14"/>
  <c r="E183" i="14"/>
  <c r="F183" i="14"/>
  <c r="E268" i="15"/>
  <c r="D271" i="15"/>
  <c r="E271" i="15"/>
  <c r="D310" i="14"/>
  <c r="E309" i="14"/>
  <c r="F309" i="14"/>
  <c r="C325" i="14"/>
  <c r="F325" i="14"/>
  <c r="E325" i="14"/>
  <c r="D312" i="14"/>
  <c r="E310" i="14"/>
  <c r="F310" i="14"/>
  <c r="E312" i="14"/>
  <c r="F312" i="14"/>
  <c r="D313" i="14"/>
  <c r="D315" i="14"/>
  <c r="E315" i="14"/>
  <c r="F315" i="14"/>
  <c r="E313" i="14"/>
  <c r="F313" i="14"/>
  <c r="D251" i="14"/>
  <c r="E251" i="14"/>
  <c r="F251" i="14"/>
  <c r="D256" i="14"/>
  <c r="D314" i="14"/>
  <c r="D257" i="14"/>
  <c r="E257" i="14"/>
  <c r="F257" i="14"/>
  <c r="E256" i="14"/>
  <c r="F256" i="14"/>
  <c r="D318" i="14"/>
  <c r="E318" i="14"/>
  <c r="F318" i="14"/>
  <c r="E314" i="14"/>
  <c r="F314" i="14"/>
</calcChain>
</file>

<file path=xl/sharedStrings.xml><?xml version="1.0" encoding="utf-8"?>
<sst xmlns="http://schemas.openxmlformats.org/spreadsheetml/2006/main" count="2320" uniqueCount="996">
  <si>
    <t>NEW MILFORD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</si>
  <si>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</si>
  <si>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</si>
  <si>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</si>
  <si>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</si>
  <si>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</si>
  <si>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</si>
  <si>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</si>
  <si>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</si>
  <si>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</si>
  <si>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</si>
  <si>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</si>
  <si>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</si>
  <si>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</si>
  <si>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</si>
  <si>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</si>
  <si>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</si>
  <si>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</si>
  <si>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</si>
  <si>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</si>
  <si>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</si>
  <si>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</si>
  <si>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</si>
  <si>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</si>
  <si>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</si>
  <si>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</si>
  <si>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</si>
  <si>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</si>
  <si>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</si>
  <si>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</si>
  <si>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</si>
  <si>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</si>
  <si>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</si>
  <si>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</si>
  <si>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</si>
  <si>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</si>
  <si>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</si>
  <si>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</si>
  <si>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</si>
  <si>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</si>
  <si>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</si>
  <si>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</si>
  <si>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</si>
  <si>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</si>
  <si>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</si>
  <si>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</si>
  <si>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</si>
  <si>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</si>
  <si>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</si>
  <si>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</si>
  <si>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</si>
  <si>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</si>
  <si>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</si>
  <si>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</si>
  <si>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</si>
  <si>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</si>
  <si>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</si>
  <si>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</si>
  <si>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</si>
  <si>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</si>
  <si>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</si>
  <si>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</si>
  <si>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</si>
  <si>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</si>
  <si>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</si>
  <si>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</si>
  <si>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</si>
  <si>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</si>
  <si>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</si>
  <si>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</si>
  <si>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</si>
  <si>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</si>
  <si>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</si>
  <si>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</si>
  <si>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</si>
  <si>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</si>
  <si>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</si>
  <si>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</si>
  <si>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</si>
  <si>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</si>
  <si>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</si>
  <si>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</si>
  <si>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</si>
  <si>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</si>
  <si>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</si>
  <si>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</si>
  <si>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</si>
  <si>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</si>
  <si>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</si>
  <si>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</si>
  <si>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</si>
  <si>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</si>
  <si>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</si>
  <si>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</si>
  <si>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</si>
  <si>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</si>
  <si>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</si>
  <si>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</si>
  <si>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</si>
  <si>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</si>
  <si>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</si>
  <si>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</si>
  <si>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</si>
  <si>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</si>
  <si>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</si>
  <si>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</si>
  <si>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</si>
  <si>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</si>
  <si>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</si>
  <si>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</si>
  <si>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</si>
  <si>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</si>
  <si>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</si>
  <si>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</si>
  <si>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</si>
  <si>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</si>
  <si>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</si>
  <si>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</si>
  <si>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</si>
  <si>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</si>
  <si>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</si>
  <si>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</si>
  <si>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</si>
  <si>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</si>
  <si>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</si>
  <si>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</si>
  <si>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</si>
  <si>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</si>
  <si>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</si>
  <si>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</si>
  <si>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</si>
  <si>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</si>
  <si>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</si>
  <si>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</si>
  <si>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</si>
  <si>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</si>
  <si>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</si>
  <si>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</si>
  <si>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</si>
  <si>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</si>
  <si>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</si>
  <si>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</si>
  <si>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</si>
  <si>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</si>
  <si>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</si>
  <si>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</si>
  <si>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</si>
  <si>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</si>
  <si>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</si>
  <si>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</si>
  <si>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</si>
  <si>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</si>
  <si>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</si>
  <si>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</si>
  <si>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</si>
  <si>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</si>
  <si>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</si>
  <si>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</si>
  <si>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</si>
  <si>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</si>
  <si>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</si>
  <si>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</si>
  <si>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</si>
  <si>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</si>
  <si>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</si>
  <si>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</si>
  <si>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</si>
  <si>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</si>
  <si>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</si>
  <si>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</si>
  <si>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</si>
  <si>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</si>
  <si>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</si>
  <si>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</si>
  <si>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</si>
  <si>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</si>
  <si>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</si>
  <si>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</si>
  <si>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</si>
  <si>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</si>
  <si>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</si>
  <si>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</si>
  <si>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</si>
  <si>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</si>
  <si>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</si>
  <si>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</si>
  <si>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</si>
  <si>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</si>
  <si>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</si>
  <si>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</si>
  <si>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</si>
  <si>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</si>
  <si>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</si>
  <si>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</si>
  <si>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</si>
  <si>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</si>
  <si>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</si>
  <si>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</si>
  <si>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</si>
  <si>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</si>
  <si>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</si>
  <si>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</si>
  <si>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</si>
  <si>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</si>
  <si>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</si>
  <si>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</si>
  <si>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</si>
  <si>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</si>
  <si>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</si>
  <si>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</si>
  <si>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</si>
  <si>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</si>
  <si>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</si>
  <si>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</si>
  <si>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</si>
  <si>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</si>
  <si>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</si>
  <si>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</si>
  <si>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</si>
  <si>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</si>
  <si>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</si>
  <si>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</si>
  <si>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</si>
  <si>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</si>
  <si>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</si>
  <si>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</si>
  <si>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</si>
  <si>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</si>
  <si>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</si>
  <si>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</si>
  <si>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</si>
  <si>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</si>
  <si>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</si>
  <si>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</si>
  <si>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</si>
  <si>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</si>
  <si>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</si>
  <si>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</si>
  <si>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</si>
  <si>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</si>
  <si>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</si>
  <si>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</si>
  <si>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</si>
  <si>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</si>
  <si>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</si>
  <si>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</si>
  <si>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</si>
  <si>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</si>
  <si>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</si>
  <si>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</si>
  <si>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</si>
  <si>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</si>
  <si>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</si>
  <si>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</si>
  <si>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</si>
  <si>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</si>
  <si>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</si>
  <si>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</si>
  <si>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</si>
  <si>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</si>
  <si>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</si>
  <si>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</si>
  <si>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</si>
  <si>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</si>
  <si>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</si>
  <si>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</si>
  <si>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</si>
  <si>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</si>
  <si>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</si>
  <si>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</si>
  <si>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</si>
  <si>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</si>
  <si>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</si>
  <si>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</si>
  <si>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</si>
  <si>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</si>
  <si>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</si>
  <si>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</si>
  <si>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</si>
  <si>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</si>
  <si>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</si>
  <si>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</si>
  <si>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</si>
  <si>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</si>
  <si>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</si>
  <si>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</si>
  <si>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</si>
  <si>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</si>
  <si>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</si>
  <si>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</si>
  <si>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</si>
  <si>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</si>
  <si>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</si>
  <si>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</si>
  <si>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</si>
  <si>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</si>
  <si>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</si>
  <si>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</si>
  <si>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</si>
  <si>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</si>
  <si>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</si>
  <si>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</si>
  <si>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</si>
  <si>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</si>
  <si>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</si>
  <si>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</si>
  <si>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</si>
  <si>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</si>
  <si>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</si>
  <si>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</si>
  <si>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</si>
  <si>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</si>
  <si>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</si>
  <si>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</si>
  <si>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</si>
  <si>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</si>
  <si>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</si>
  <si>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</si>
  <si>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</si>
  <si>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</si>
  <si>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</si>
  <si>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</si>
  <si>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</si>
  <si>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</si>
  <si>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</si>
  <si>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</si>
  <si>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</si>
  <si>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</si>
  <si>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</si>
  <si>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</si>
  <si>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</si>
  <si>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</si>
  <si>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</si>
  <si>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</si>
  <si>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</si>
  <si>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</si>
  <si>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</si>
  <si>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</si>
  <si>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</si>
  <si>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</si>
  <si>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</si>
  <si>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</si>
  <si>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</si>
  <si>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</si>
  <si>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</si>
  <si>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</si>
  <si>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</si>
  <si>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</si>
  <si>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</si>
  <si>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</si>
  <si>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</si>
  <si>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</si>
  <si>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</si>
  <si>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</si>
  <si>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</si>
  <si>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</si>
  <si>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</si>
  <si>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</si>
  <si>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</si>
  <si>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</si>
  <si>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</si>
  <si>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</si>
  <si>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</si>
  <si>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</si>
  <si>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</si>
  <si>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</si>
  <si>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</si>
  <si>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</si>
  <si>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</si>
  <si>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</si>
  <si>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</si>
  <si>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</si>
  <si>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</si>
  <si>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</si>
  <si>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</si>
  <si>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</si>
  <si>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</si>
  <si>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</si>
  <si>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</si>
  <si>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</si>
  <si>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</si>
  <si>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</si>
  <si>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</si>
  <si>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</si>
  <si>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</si>
  <si>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</si>
  <si>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</si>
  <si>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</si>
  <si>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</si>
  <si>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</si>
  <si>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</si>
  <si>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</si>
  <si>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</si>
  <si>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</si>
  <si>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</si>
  <si>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</si>
  <si>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</si>
  <si>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</si>
  <si>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</si>
  <si>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</si>
  <si>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</si>
  <si>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</si>
  <si>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</si>
  <si>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</si>
  <si>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</si>
  <si>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</si>
  <si>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</si>
  <si>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</si>
  <si>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</si>
  <si>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</si>
  <si>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</si>
  <si>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</si>
  <si>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</si>
  <si>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</si>
  <si>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</si>
  <si>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</si>
  <si>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</si>
  <si>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</si>
  <si>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</si>
  <si>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</si>
  <si>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</si>
  <si>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</si>
  <si>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</si>
  <si>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</si>
  <si>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</si>
  <si>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</si>
  <si>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</si>
  <si>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</si>
  <si>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</si>
  <si>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</si>
  <si>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</si>
  <si>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</si>
  <si>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</si>
  <si>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</si>
  <si>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</si>
  <si>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</si>
  <si>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</si>
  <si>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</si>
  <si>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</si>
  <si>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</si>
  <si>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</si>
  <si>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</si>
  <si>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</si>
  <si>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</si>
  <si>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</si>
  <si>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</si>
  <si>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</si>
  <si>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</si>
  <si>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</si>
  <si>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</si>
  <si>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</si>
  <si>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</si>
  <si>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</si>
  <si>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</si>
  <si>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</si>
  <si>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</si>
  <si>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</si>
  <si>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</si>
  <si>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</si>
  <si>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</si>
  <si>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</si>
  <si>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</si>
  <si>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</si>
  <si>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</si>
  <si>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</si>
  <si>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</si>
  <si>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</si>
  <si>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</si>
  <si>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</si>
  <si>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</si>
  <si>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</si>
  <si>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</si>
  <si>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</si>
  <si>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</si>
  <si>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</si>
  <si>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</si>
  <si>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</si>
  <si>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</si>
  <si>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</si>
  <si>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</si>
  <si>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</si>
  <si>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</si>
  <si>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</si>
  <si>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</si>
  <si>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</si>
  <si>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</si>
  <si>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</si>
  <si>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</si>
  <si>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</si>
  <si>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</si>
  <si>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</si>
  <si>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WESTERN CONNECTICUT HEALTH NETWORK INC.(FORMERLY WESTERN CONNECTICUT HEALTHCARE, INC.)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</si>
  <si>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</si>
  <si>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</si>
  <si>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</si>
  <si>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</si>
  <si>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</si>
  <si>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</si>
  <si>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</si>
  <si>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</si>
  <si>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</si>
  <si>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</si>
  <si>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</si>
  <si>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</si>
  <si>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</si>
  <si>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</si>
  <si>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</si>
  <si>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</si>
  <si>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</si>
  <si>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</si>
  <si>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</si>
  <si>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</si>
  <si>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</si>
  <si>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</si>
  <si>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</si>
  <si>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</si>
  <si>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</si>
  <si>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</si>
  <si>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</si>
  <si>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</si>
  <si>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</si>
  <si>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</si>
  <si>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</si>
  <si>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</si>
  <si>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</si>
  <si>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</si>
  <si>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</si>
  <si>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</si>
  <si>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</si>
  <si>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</si>
  <si>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</si>
  <si>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</si>
  <si>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</si>
  <si>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</si>
  <si>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</si>
  <si>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</si>
  <si>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</si>
  <si>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</si>
  <si>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</si>
  <si>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</si>
  <si>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</si>
  <si>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</si>
  <si>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</si>
  <si>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</si>
  <si>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</si>
  <si>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</si>
  <si>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</si>
  <si>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</si>
  <si>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</si>
  <si>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</si>
  <si>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</si>
  <si>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</si>
  <si>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</si>
  <si>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</si>
  <si>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</si>
  <si>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</si>
  <si>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</si>
  <si>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</si>
  <si>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</si>
  <si>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</si>
  <si>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</si>
  <si>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</si>
  <si>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</si>
  <si>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</si>
  <si>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</si>
  <si>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</si>
  <si>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</si>
  <si>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</si>
  <si>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</si>
  <si>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</si>
  <si>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</si>
  <si>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</si>
  <si>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</si>
  <si>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</si>
  <si>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</si>
  <si>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</si>
  <si>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</si>
  <si>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</si>
  <si>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</si>
  <si>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</si>
  <si>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</si>
  <si>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</si>
  <si>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</si>
  <si>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</si>
  <si>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</si>
  <si>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</si>
  <si>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</si>
  <si>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</si>
  <si>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</si>
  <si>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</si>
  <si>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</si>
  <si>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</si>
  <si>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</si>
  <si>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</si>
  <si>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</si>
  <si>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</si>
  <si>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</si>
  <si>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</si>
  <si>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</si>
  <si>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</si>
  <si>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</si>
  <si>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New Milford Hospital Inc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</si>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</sst>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10710102</v>
      </c>
      <c r="D13" s="23">
        <v>3717748</v>
      </c>
      <c r="E13" s="23">
        <f t="shared" ref="E13:E22" si="0">D13-C13</f>
        <v>-6992354</v>
      </c>
      <c r="F13" s="24">
        <f t="shared" ref="F13:F22" si="1">IF(C13=0,0,E13/C13)</f>
        <v>-0.65287464115654548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" customHeight="1" x14ac:dyDescent="0.2">
      <c r="A15" s="21">
        <v>3</v>
      </c>
      <c r="B15" s="22" t="s">
        <v>18</v>
      </c>
      <c r="C15" s="23">
        <v>10457444</v>
      </c>
      <c r="D15" s="23">
        <v>8601320</v>
      </c>
      <c r="E15" s="23">
        <f t="shared" si="0"/>
        <v>-1856124</v>
      </c>
      <c r="F15" s="24">
        <f t="shared" si="1"/>
        <v>-0.17749308530841762</v>
      </c>
    </row>
    <row r="16" spans="1:8" ht="24" customHeight="1" x14ac:dyDescent="0.2">
      <c r="A16" s="21">
        <v>4</v>
      </c>
      <c r="B16" s="22" t="s">
        <v>19</v>
      </c>
      <c r="C16" s="23">
        <v>307266</v>
      </c>
      <c r="D16" s="23">
        <v>0</v>
      </c>
      <c r="E16" s="23">
        <f t="shared" si="0"/>
        <v>-307266</v>
      </c>
      <c r="F16" s="24">
        <f t="shared" si="1"/>
        <v>-1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1944478</v>
      </c>
      <c r="D19" s="23">
        <v>1645080</v>
      </c>
      <c r="E19" s="23">
        <f t="shared" si="0"/>
        <v>-299398</v>
      </c>
      <c r="F19" s="24">
        <f t="shared" si="1"/>
        <v>-0.15397345714376814</v>
      </c>
    </row>
    <row r="20" spans="1:11" ht="24" customHeight="1" x14ac:dyDescent="0.2">
      <c r="A20" s="21">
        <v>8</v>
      </c>
      <c r="B20" s="22" t="s">
        <v>23</v>
      </c>
      <c r="C20" s="23">
        <v>1415038</v>
      </c>
      <c r="D20" s="23">
        <v>900544</v>
      </c>
      <c r="E20" s="23">
        <f t="shared" si="0"/>
        <v>-514494</v>
      </c>
      <c r="F20" s="24">
        <f t="shared" si="1"/>
        <v>-0.36359023573925225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24834328</v>
      </c>
      <c r="D22" s="27">
        <f>SUM(D13:D21)</f>
        <v>14864692</v>
      </c>
      <c r="E22" s="27">
        <f t="shared" si="0"/>
        <v>-9969636</v>
      </c>
      <c r="F22" s="28">
        <f t="shared" si="1"/>
        <v>-0.4014457729639393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10110186</v>
      </c>
      <c r="D31" s="23">
        <v>14710574</v>
      </c>
      <c r="E31" s="23">
        <f>D31-C31</f>
        <v>4600388</v>
      </c>
      <c r="F31" s="24">
        <f>IF(C31=0,0,E31/C31)</f>
        <v>0.45502506086435995</v>
      </c>
    </row>
    <row r="32" spans="1:11" ht="24" customHeight="1" x14ac:dyDescent="0.2">
      <c r="A32" s="21">
        <v>6</v>
      </c>
      <c r="B32" s="22" t="s">
        <v>34</v>
      </c>
      <c r="C32" s="23">
        <v>199742</v>
      </c>
      <c r="D32" s="23">
        <v>0</v>
      </c>
      <c r="E32" s="23">
        <f>D32-C32</f>
        <v>-199742</v>
      </c>
      <c r="F32" s="24">
        <f>IF(C32=0,0,E32/C32)</f>
        <v>-1</v>
      </c>
    </row>
    <row r="33" spans="1:8" ht="24" customHeight="1" x14ac:dyDescent="0.2">
      <c r="A33" s="21">
        <v>7</v>
      </c>
      <c r="B33" s="22" t="s">
        <v>35</v>
      </c>
      <c r="C33" s="23">
        <v>1095567</v>
      </c>
      <c r="D33" s="23">
        <v>4358823</v>
      </c>
      <c r="E33" s="23">
        <f>D33-C33</f>
        <v>3263256</v>
      </c>
      <c r="F33" s="24">
        <f>IF(C33=0,0,E33/C33)</f>
        <v>2.9786001221285416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106383423</v>
      </c>
      <c r="D36" s="23">
        <v>107893687</v>
      </c>
      <c r="E36" s="23">
        <f>D36-C36</f>
        <v>1510264</v>
      </c>
      <c r="F36" s="24">
        <f>IF(C36=0,0,E36/C36)</f>
        <v>1.4196422312901137E-2</v>
      </c>
    </row>
    <row r="37" spans="1:8" ht="24" customHeight="1" x14ac:dyDescent="0.2">
      <c r="A37" s="21">
        <v>2</v>
      </c>
      <c r="B37" s="22" t="s">
        <v>39</v>
      </c>
      <c r="C37" s="23">
        <v>71638392</v>
      </c>
      <c r="D37" s="23">
        <v>75751426</v>
      </c>
      <c r="E37" s="23">
        <f>D37-C37</f>
        <v>4113034</v>
      </c>
      <c r="F37" s="24">
        <f>IF(C37=0,0,E37/C37)</f>
        <v>5.7413823582193192E-2</v>
      </c>
    </row>
    <row r="38" spans="1:8" ht="24" customHeight="1" x14ac:dyDescent="0.25">
      <c r="A38" s="25"/>
      <c r="B38" s="26" t="s">
        <v>40</v>
      </c>
      <c r="C38" s="27">
        <f>C36-C37</f>
        <v>34745031</v>
      </c>
      <c r="D38" s="27">
        <f>D36-D37</f>
        <v>32142261</v>
      </c>
      <c r="E38" s="27">
        <f>D38-C38</f>
        <v>-2602770</v>
      </c>
      <c r="F38" s="28">
        <f>IF(C38=0,0,E38/C38)</f>
        <v>-7.4910567787376564E-2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298414</v>
      </c>
      <c r="E40" s="23">
        <f>D40-C40</f>
        <v>298414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34745031</v>
      </c>
      <c r="D41" s="27">
        <f>+D38+D40</f>
        <v>32440675</v>
      </c>
      <c r="E41" s="27">
        <f>D41-C41</f>
        <v>-2304356</v>
      </c>
      <c r="F41" s="28">
        <f>IF(C41=0,0,E41/C41)</f>
        <v>-6.6321886430321497E-2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70984854</v>
      </c>
      <c r="D43" s="27">
        <f>D22+D29+D31+D32+D33+D41</f>
        <v>66374764</v>
      </c>
      <c r="E43" s="27">
        <f>D43-C43</f>
        <v>-4610090</v>
      </c>
      <c r="F43" s="28">
        <f>IF(C43=0,0,E43/C43)</f>
        <v>-6.4944699329803512E-2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4235702</v>
      </c>
      <c r="D49" s="23">
        <v>3081591</v>
      </c>
      <c r="E49" s="23">
        <f t="shared" ref="E49:E56" si="2">D49-C49</f>
        <v>-1154111</v>
      </c>
      <c r="F49" s="24">
        <f t="shared" ref="F49:F56" si="3">IF(C49=0,0,E49/C49)</f>
        <v>-0.27247218996992706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2329129</v>
      </c>
      <c r="D50" s="23">
        <v>3202850</v>
      </c>
      <c r="E50" s="23">
        <f t="shared" si="2"/>
        <v>873721</v>
      </c>
      <c r="F50" s="24">
        <f t="shared" si="3"/>
        <v>0.3751277838196167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4184788</v>
      </c>
      <c r="D51" s="23">
        <v>2461714</v>
      </c>
      <c r="E51" s="23">
        <f t="shared" si="2"/>
        <v>-1723074</v>
      </c>
      <c r="F51" s="24">
        <f t="shared" si="3"/>
        <v>-0.41174702278825115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509773</v>
      </c>
      <c r="D53" s="23">
        <v>495090</v>
      </c>
      <c r="E53" s="23">
        <f t="shared" si="2"/>
        <v>-14683</v>
      </c>
      <c r="F53" s="24">
        <f t="shared" si="3"/>
        <v>-2.880301624448529E-2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6279841</v>
      </c>
      <c r="D55" s="23">
        <v>5518658</v>
      </c>
      <c r="E55" s="23">
        <f t="shared" si="2"/>
        <v>-761183</v>
      </c>
      <c r="F55" s="24">
        <f t="shared" si="3"/>
        <v>-0.12121055294234361</v>
      </c>
    </row>
    <row r="56" spans="1:6" ht="24" customHeight="1" x14ac:dyDescent="0.25">
      <c r="A56" s="25"/>
      <c r="B56" s="26" t="s">
        <v>54</v>
      </c>
      <c r="C56" s="27">
        <f>SUM(C49:C55)</f>
        <v>17539233</v>
      </c>
      <c r="D56" s="27">
        <f>SUM(D49:D55)</f>
        <v>14759903</v>
      </c>
      <c r="E56" s="27">
        <f t="shared" si="2"/>
        <v>-2779330</v>
      </c>
      <c r="F56" s="28">
        <f t="shared" si="3"/>
        <v>-0.15846359986209202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6617868</v>
      </c>
      <c r="D60" s="23">
        <v>4829283</v>
      </c>
      <c r="E60" s="23">
        <f>D60-C60</f>
        <v>-1788585</v>
      </c>
      <c r="F60" s="24">
        <f>IF(C60=0,0,E60/C60)</f>
        <v>-0.27026604338436488</v>
      </c>
    </row>
    <row r="61" spans="1:6" ht="24" customHeight="1" x14ac:dyDescent="0.25">
      <c r="A61" s="25"/>
      <c r="B61" s="26" t="s">
        <v>58</v>
      </c>
      <c r="C61" s="27">
        <f>SUM(C59:C60)</f>
        <v>6617868</v>
      </c>
      <c r="D61" s="27">
        <f>SUM(D59:D60)</f>
        <v>4829283</v>
      </c>
      <c r="E61" s="27">
        <f>D61-C61</f>
        <v>-1788585</v>
      </c>
      <c r="F61" s="28">
        <f>IF(C61=0,0,E61/C61)</f>
        <v>-0.27026604338436488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16438757</v>
      </c>
      <c r="D63" s="23">
        <v>26239675</v>
      </c>
      <c r="E63" s="23">
        <f>D63-C63</f>
        <v>9800918</v>
      </c>
      <c r="F63" s="24">
        <f>IF(C63=0,0,E63/C63)</f>
        <v>0.59620797363206968</v>
      </c>
    </row>
    <row r="64" spans="1:6" ht="24" customHeight="1" x14ac:dyDescent="0.2">
      <c r="A64" s="21">
        <v>4</v>
      </c>
      <c r="B64" s="22" t="s">
        <v>60</v>
      </c>
      <c r="C64" s="23">
        <v>0</v>
      </c>
      <c r="D64" s="23">
        <v>0</v>
      </c>
      <c r="E64" s="23">
        <f>D64-C64</f>
        <v>0</v>
      </c>
      <c r="F64" s="24">
        <f>IF(C64=0,0,E64/C64)</f>
        <v>0</v>
      </c>
    </row>
    <row r="65" spans="1:6" ht="24" customHeight="1" x14ac:dyDescent="0.25">
      <c r="A65" s="25"/>
      <c r="B65" s="26" t="s">
        <v>61</v>
      </c>
      <c r="C65" s="27">
        <f>SUM(C61:C64)</f>
        <v>23056625</v>
      </c>
      <c r="D65" s="27">
        <f>SUM(D61:D64)</f>
        <v>31068958</v>
      </c>
      <c r="E65" s="27">
        <f>D65-C65</f>
        <v>8012333</v>
      </c>
      <c r="F65" s="28">
        <f>IF(C65=0,0,E65/C65)</f>
        <v>0.34750675781906504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26176392</v>
      </c>
      <c r="D70" s="23">
        <v>12487373</v>
      </c>
      <c r="E70" s="23">
        <f>D70-C70</f>
        <v>-13689019</v>
      </c>
      <c r="F70" s="24">
        <f>IF(C70=0,0,E70/C70)</f>
        <v>-0.52295285767419741</v>
      </c>
    </row>
    <row r="71" spans="1:6" ht="24" customHeight="1" x14ac:dyDescent="0.2">
      <c r="A71" s="21">
        <v>2</v>
      </c>
      <c r="B71" s="22" t="s">
        <v>65</v>
      </c>
      <c r="C71" s="23">
        <v>525763</v>
      </c>
      <c r="D71" s="23">
        <v>3923984</v>
      </c>
      <c r="E71" s="23">
        <f>D71-C71</f>
        <v>3398221</v>
      </c>
      <c r="F71" s="24">
        <f>IF(C71=0,0,E71/C71)</f>
        <v>6.4634084178612801</v>
      </c>
    </row>
    <row r="72" spans="1:6" ht="24" customHeight="1" x14ac:dyDescent="0.2">
      <c r="A72" s="21">
        <v>3</v>
      </c>
      <c r="B72" s="22" t="s">
        <v>66</v>
      </c>
      <c r="C72" s="23">
        <v>3686841</v>
      </c>
      <c r="D72" s="23">
        <v>4134546</v>
      </c>
      <c r="E72" s="23">
        <f>D72-C72</f>
        <v>447705</v>
      </c>
      <c r="F72" s="24">
        <f>IF(C72=0,0,E72/C72)</f>
        <v>0.12143322698212372</v>
      </c>
    </row>
    <row r="73" spans="1:6" ht="24" customHeight="1" x14ac:dyDescent="0.25">
      <c r="A73" s="21"/>
      <c r="B73" s="26" t="s">
        <v>67</v>
      </c>
      <c r="C73" s="27">
        <f>SUM(C70:C72)</f>
        <v>30388996</v>
      </c>
      <c r="D73" s="27">
        <f>SUM(D70:D72)</f>
        <v>20545903</v>
      </c>
      <c r="E73" s="27">
        <f>D73-C73</f>
        <v>-9843093</v>
      </c>
      <c r="F73" s="28">
        <f>IF(C73=0,0,E73/C73)</f>
        <v>-0.32390319838141413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70984854</v>
      </c>
      <c r="D75" s="27">
        <f>D56+D65+D67+D73</f>
        <v>66374764</v>
      </c>
      <c r="E75" s="27">
        <f>D75-C75</f>
        <v>-4610090</v>
      </c>
      <c r="F75" s="28">
        <f>IF(C75=0,0,E75/C75)</f>
        <v>-6.4944699329803512E-2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606865978</v>
      </c>
      <c r="D11" s="51">
        <v>720525178</v>
      </c>
      <c r="E11" s="51">
        <v>736921369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18085423</v>
      </c>
      <c r="D12" s="49">
        <v>17176189</v>
      </c>
      <c r="E12" s="49">
        <v>29907285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624951401</v>
      </c>
      <c r="D13" s="51">
        <f>+D11+D12</f>
        <v>737701367</v>
      </c>
      <c r="E13" s="51">
        <f>+E11+E12</f>
        <v>766828654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603204688</v>
      </c>
      <c r="D14" s="49">
        <v>746101320</v>
      </c>
      <c r="E14" s="49">
        <v>748965294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21746713</v>
      </c>
      <c r="D15" s="51">
        <f>+D13-D14</f>
        <v>-8399953</v>
      </c>
      <c r="E15" s="51">
        <f>+E13-E14</f>
        <v>17863360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21814720</v>
      </c>
      <c r="D16" s="49">
        <v>5592784</v>
      </c>
      <c r="E16" s="49">
        <v>24649093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43561433</v>
      </c>
      <c r="D17" s="51">
        <f>D15+D16</f>
        <v>-2807169</v>
      </c>
      <c r="E17" s="51">
        <f>E15+E16</f>
        <v>42512453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3.362376644957258E-2</v>
      </c>
      <c r="D20" s="169">
        <f>IF(+D27=0,0,+D24/+D27)</f>
        <v>-1.1300980895247217E-2</v>
      </c>
      <c r="E20" s="169">
        <f>IF(+E27=0,0,+E24/+E27)</f>
        <v>2.2569630122525733E-2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3.3728915742016731E-2</v>
      </c>
      <c r="D21" s="169">
        <f>IF(+D27=0,0,+D26/+D27)</f>
        <v>7.524321283136264E-3</v>
      </c>
      <c r="E21" s="169">
        <f>IF(+E27=0,0,+E26/+E27)</f>
        <v>3.1143128272941828E-2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6.7352682191589311E-2</v>
      </c>
      <c r="D22" s="169">
        <f>IF(+D27=0,0,+D28/+D27)</f>
        <v>-3.776659612110953E-3</v>
      </c>
      <c r="E22" s="169">
        <f>IF(+E27=0,0,+E28/+E27)</f>
        <v>5.3712758395467561E-2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21746713</v>
      </c>
      <c r="D24" s="51">
        <f>+D15</f>
        <v>-8399953</v>
      </c>
      <c r="E24" s="51">
        <f>+E15</f>
        <v>17863360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624951401</v>
      </c>
      <c r="D25" s="51">
        <f>+D13</f>
        <v>737701367</v>
      </c>
      <c r="E25" s="51">
        <f>+E13</f>
        <v>766828654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21814720</v>
      </c>
      <c r="D26" s="51">
        <f>+D16</f>
        <v>5592784</v>
      </c>
      <c r="E26" s="51">
        <f>+E16</f>
        <v>24649093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646766121</v>
      </c>
      <c r="D27" s="51">
        <f>SUM(D25:D26)</f>
        <v>743294151</v>
      </c>
      <c r="E27" s="51">
        <f>SUM(E25:E26)</f>
        <v>791477747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43561433</v>
      </c>
      <c r="D28" s="51">
        <f>+D17</f>
        <v>-2807169</v>
      </c>
      <c r="E28" s="51">
        <f>+E17</f>
        <v>42512453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246220345</v>
      </c>
      <c r="D31" s="51">
        <v>286369831</v>
      </c>
      <c r="E31" s="52">
        <v>277089185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311713268</v>
      </c>
      <c r="D32" s="51">
        <v>348404442</v>
      </c>
      <c r="E32" s="51">
        <v>343874581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287944866</v>
      </c>
      <c r="D33" s="51">
        <f>+D32-C32</f>
        <v>36691174</v>
      </c>
      <c r="E33" s="51">
        <f>+E32-D32</f>
        <v>-4529861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13.114599999999999</v>
      </c>
      <c r="D34" s="171">
        <f>IF(C32=0,0,+D33/C32)</f>
        <v>0.11770809191221208</v>
      </c>
      <c r="E34" s="171">
        <f>IF(D32=0,0,+E33/D32)</f>
        <v>-1.3001731476202018E-2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1.3901656677788425</v>
      </c>
      <c r="D38" s="269">
        <f>IF(+D40=0,0,+D39/+D40)</f>
        <v>1.8760989261589514</v>
      </c>
      <c r="E38" s="269">
        <f>IF(+E40=0,0,+E39/+E40)</f>
        <v>2.2618085678223792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149502503</v>
      </c>
      <c r="D39" s="270">
        <v>164310318</v>
      </c>
      <c r="E39" s="270">
        <v>187490183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107542940</v>
      </c>
      <c r="D40" s="270">
        <v>87580839</v>
      </c>
      <c r="E40" s="270">
        <v>82893922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26.298091344576871</v>
      </c>
      <c r="D42" s="271">
        <f>IF((D48/365)=0,0,+D45/(D48/365))</f>
        <v>29.199329444295312</v>
      </c>
      <c r="E42" s="271">
        <f>IF((E48/365)=0,0,+E45/(E48/365))</f>
        <v>38.088847164066088</v>
      </c>
    </row>
    <row r="43" spans="1:14" ht="24" customHeight="1" x14ac:dyDescent="0.2">
      <c r="A43" s="17">
        <v>5</v>
      </c>
      <c r="B43" s="188" t="s">
        <v>16</v>
      </c>
      <c r="C43" s="272">
        <v>41061454</v>
      </c>
      <c r="D43" s="272">
        <v>56787869</v>
      </c>
      <c r="E43" s="272">
        <v>74083960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41061454</v>
      </c>
      <c r="D45" s="270">
        <f>+D43+D44</f>
        <v>56787869</v>
      </c>
      <c r="E45" s="270">
        <f>+E43+E44</f>
        <v>74083960</v>
      </c>
    </row>
    <row r="46" spans="1:14" ht="24" customHeight="1" x14ac:dyDescent="0.2">
      <c r="A46" s="17">
        <v>8</v>
      </c>
      <c r="B46" s="45" t="s">
        <v>336</v>
      </c>
      <c r="C46" s="270">
        <f>+C14</f>
        <v>603204688</v>
      </c>
      <c r="D46" s="270">
        <f>+D14</f>
        <v>746101320</v>
      </c>
      <c r="E46" s="270">
        <f>+E14</f>
        <v>748965294</v>
      </c>
    </row>
    <row r="47" spans="1:14" ht="24" customHeight="1" x14ac:dyDescent="0.2">
      <c r="A47" s="17">
        <v>9</v>
      </c>
      <c r="B47" s="45" t="s">
        <v>359</v>
      </c>
      <c r="C47" s="270">
        <v>33299043</v>
      </c>
      <c r="D47" s="270">
        <v>36236656</v>
      </c>
      <c r="E47" s="270">
        <v>39029252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569905645</v>
      </c>
      <c r="D48" s="270">
        <f>+D46-D47</f>
        <v>709864664</v>
      </c>
      <c r="E48" s="270">
        <f>+E46-E47</f>
        <v>709936042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30.797672587603849</v>
      </c>
      <c r="D50" s="278">
        <f>IF((D55/365)=0,0,+D54/(D55/365))</f>
        <v>29.917490336472323</v>
      </c>
      <c r="E50" s="278">
        <f>IF((E55/365)=0,0,+E54/(E55/365))</f>
        <v>33.186873883419715</v>
      </c>
    </row>
    <row r="51" spans="1:5" ht="24" customHeight="1" x14ac:dyDescent="0.2">
      <c r="A51" s="17">
        <v>12</v>
      </c>
      <c r="B51" s="188" t="s">
        <v>362</v>
      </c>
      <c r="C51" s="279">
        <v>66087968</v>
      </c>
      <c r="D51" s="279">
        <v>74395713</v>
      </c>
      <c r="E51" s="279">
        <v>79495132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14882325</v>
      </c>
      <c r="D53" s="270">
        <v>15337343</v>
      </c>
      <c r="E53" s="270">
        <v>12492073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51205643</v>
      </c>
      <c r="D54" s="280">
        <f>+D51+D52-D53</f>
        <v>59058370</v>
      </c>
      <c r="E54" s="280">
        <f>+E51+E52-E53</f>
        <v>67003059</v>
      </c>
    </row>
    <row r="55" spans="1:5" ht="24" customHeight="1" x14ac:dyDescent="0.2">
      <c r="A55" s="17">
        <v>16</v>
      </c>
      <c r="B55" s="45" t="s">
        <v>75</v>
      </c>
      <c r="C55" s="270">
        <f>+C11</f>
        <v>606865978</v>
      </c>
      <c r="D55" s="270">
        <f>+D11</f>
        <v>720525178</v>
      </c>
      <c r="E55" s="270">
        <f>+E11</f>
        <v>736921369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68.876617461825631</v>
      </c>
      <c r="D57" s="283">
        <f>IF((D61/365)=0,0,+D58/(D61/365))</f>
        <v>45.032536279337883</v>
      </c>
      <c r="E57" s="283">
        <f>IF((E61/365)=0,0,+E58/(E61/365))</f>
        <v>42.618320158479854</v>
      </c>
    </row>
    <row r="58" spans="1:5" ht="24" customHeight="1" x14ac:dyDescent="0.2">
      <c r="A58" s="17">
        <v>18</v>
      </c>
      <c r="B58" s="45" t="s">
        <v>54</v>
      </c>
      <c r="C58" s="281">
        <f>+C40</f>
        <v>107542940</v>
      </c>
      <c r="D58" s="281">
        <f>+D40</f>
        <v>87580839</v>
      </c>
      <c r="E58" s="281">
        <f>+E40</f>
        <v>82893922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603204688</v>
      </c>
      <c r="D59" s="281">
        <f t="shared" si="0"/>
        <v>746101320</v>
      </c>
      <c r="E59" s="281">
        <f t="shared" si="0"/>
        <v>748965294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33299043</v>
      </c>
      <c r="D60" s="176">
        <f t="shared" si="0"/>
        <v>36236656</v>
      </c>
      <c r="E60" s="176">
        <f t="shared" si="0"/>
        <v>39029252</v>
      </c>
    </row>
    <row r="61" spans="1:5" ht="24" customHeight="1" x14ac:dyDescent="0.2">
      <c r="A61" s="17">
        <v>21</v>
      </c>
      <c r="B61" s="45" t="s">
        <v>365</v>
      </c>
      <c r="C61" s="281">
        <f>+C59-C60</f>
        <v>569905645</v>
      </c>
      <c r="D61" s="281">
        <f>+D59-D60</f>
        <v>709864664</v>
      </c>
      <c r="E61" s="281">
        <f>+E59-E60</f>
        <v>709936042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44.559261561212416</v>
      </c>
      <c r="D65" s="284">
        <f>IF(D67=0,0,(D66/D67)*100)</f>
        <v>40.689135296768129</v>
      </c>
      <c r="E65" s="284">
        <f>IF(E67=0,0,(E66/E67)*100)</f>
        <v>37.740246953753633</v>
      </c>
    </row>
    <row r="66" spans="1:5" ht="24" customHeight="1" x14ac:dyDescent="0.2">
      <c r="A66" s="17">
        <v>2</v>
      </c>
      <c r="B66" s="45" t="s">
        <v>67</v>
      </c>
      <c r="C66" s="281">
        <f>+C32</f>
        <v>311713268</v>
      </c>
      <c r="D66" s="281">
        <f>+D32</f>
        <v>348404442</v>
      </c>
      <c r="E66" s="281">
        <f>+E32</f>
        <v>343874581</v>
      </c>
    </row>
    <row r="67" spans="1:5" ht="24" customHeight="1" x14ac:dyDescent="0.2">
      <c r="A67" s="17">
        <v>3</v>
      </c>
      <c r="B67" s="45" t="s">
        <v>43</v>
      </c>
      <c r="C67" s="281">
        <v>699547652</v>
      </c>
      <c r="D67" s="281">
        <v>856259145</v>
      </c>
      <c r="E67" s="281">
        <v>911161449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38.427413008732664</v>
      </c>
      <c r="D69" s="284">
        <f>IF(D75=0,0,(D72/D75)*100)</f>
        <v>9.8006222344315077</v>
      </c>
      <c r="E69" s="284">
        <f>IF(E75=0,0,(E72/E75)*100)</f>
        <v>24.451189107920499</v>
      </c>
    </row>
    <row r="70" spans="1:5" ht="24" customHeight="1" x14ac:dyDescent="0.2">
      <c r="A70" s="17">
        <v>5</v>
      </c>
      <c r="B70" s="45" t="s">
        <v>370</v>
      </c>
      <c r="C70" s="281">
        <f>+C28</f>
        <v>43561433</v>
      </c>
      <c r="D70" s="281">
        <f>+D28</f>
        <v>-2807169</v>
      </c>
      <c r="E70" s="281">
        <f>+E28</f>
        <v>42512453</v>
      </c>
    </row>
    <row r="71" spans="1:5" ht="24" customHeight="1" x14ac:dyDescent="0.2">
      <c r="A71" s="17">
        <v>6</v>
      </c>
      <c r="B71" s="45" t="s">
        <v>359</v>
      </c>
      <c r="C71" s="176">
        <f>+C47</f>
        <v>33299043</v>
      </c>
      <c r="D71" s="176">
        <f>+D47</f>
        <v>36236656</v>
      </c>
      <c r="E71" s="176">
        <f>+E47</f>
        <v>39029252</v>
      </c>
    </row>
    <row r="72" spans="1:5" ht="24" customHeight="1" x14ac:dyDescent="0.2">
      <c r="A72" s="17">
        <v>7</v>
      </c>
      <c r="B72" s="45" t="s">
        <v>371</v>
      </c>
      <c r="C72" s="281">
        <f>+C70+C71</f>
        <v>76860476</v>
      </c>
      <c r="D72" s="281">
        <f>+D70+D71</f>
        <v>33429487</v>
      </c>
      <c r="E72" s="281">
        <f>+E70+E71</f>
        <v>81541705</v>
      </c>
    </row>
    <row r="73" spans="1:5" ht="24" customHeight="1" x14ac:dyDescent="0.2">
      <c r="A73" s="17">
        <v>8</v>
      </c>
      <c r="B73" s="45" t="s">
        <v>54</v>
      </c>
      <c r="C73" s="270">
        <f>+C40</f>
        <v>107542940</v>
      </c>
      <c r="D73" s="270">
        <f>+D40</f>
        <v>87580839</v>
      </c>
      <c r="E73" s="270">
        <f>+E40</f>
        <v>82893922</v>
      </c>
    </row>
    <row r="74" spans="1:5" ht="24" customHeight="1" x14ac:dyDescent="0.2">
      <c r="A74" s="17">
        <v>9</v>
      </c>
      <c r="B74" s="45" t="s">
        <v>58</v>
      </c>
      <c r="C74" s="281">
        <v>92471763</v>
      </c>
      <c r="D74" s="281">
        <v>253514718</v>
      </c>
      <c r="E74" s="281">
        <v>250593765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200014703</v>
      </c>
      <c r="D75" s="270">
        <f>+D73+D74</f>
        <v>341095557</v>
      </c>
      <c r="E75" s="270">
        <f>+E73+E74</f>
        <v>333487687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22.878571918216338</v>
      </c>
      <c r="D77" s="286">
        <f>IF(D80=0,0,(D78/D80)*100)</f>
        <v>42.117735212150414</v>
      </c>
      <c r="E77" s="286">
        <f>IF(E80=0,0,(E78/E80)*100)</f>
        <v>42.154265519126568</v>
      </c>
    </row>
    <row r="78" spans="1:5" ht="24" customHeight="1" x14ac:dyDescent="0.2">
      <c r="A78" s="17">
        <v>12</v>
      </c>
      <c r="B78" s="45" t="s">
        <v>58</v>
      </c>
      <c r="C78" s="270">
        <f>+C74</f>
        <v>92471763</v>
      </c>
      <c r="D78" s="270">
        <f>+D74</f>
        <v>253514718</v>
      </c>
      <c r="E78" s="270">
        <f>+E74</f>
        <v>250593765</v>
      </c>
    </row>
    <row r="79" spans="1:5" ht="24" customHeight="1" x14ac:dyDescent="0.2">
      <c r="A79" s="17">
        <v>13</v>
      </c>
      <c r="B79" s="45" t="s">
        <v>67</v>
      </c>
      <c r="C79" s="270">
        <f>+C32</f>
        <v>311713268</v>
      </c>
      <c r="D79" s="270">
        <f>+D32</f>
        <v>348404442</v>
      </c>
      <c r="E79" s="270">
        <f>+E32</f>
        <v>343874581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404185031</v>
      </c>
      <c r="D80" s="270">
        <f>+D78+D79</f>
        <v>601919160</v>
      </c>
      <c r="E80" s="270">
        <f>+E78+E79</f>
        <v>594468346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FILING&amp;R&amp;8WESTERN CONNECTICUT HEALTH NETWORK INC.(FORMERLY WESTERN CONNECTICUT HEALTHCARE, 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6266</v>
      </c>
      <c r="D11" s="296">
        <v>1799</v>
      </c>
      <c r="E11" s="296">
        <v>1801</v>
      </c>
      <c r="F11" s="297">
        <v>18</v>
      </c>
      <c r="G11" s="297">
        <v>63</v>
      </c>
      <c r="H11" s="298">
        <f>IF(F11=0,0,$C11/(F11*365))</f>
        <v>0.9537290715372907</v>
      </c>
      <c r="I11" s="298">
        <f>IF(G11=0,0,$C11/(G11*365))</f>
        <v>0.27249402043922594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965</v>
      </c>
      <c r="D13" s="296">
        <v>151</v>
      </c>
      <c r="E13" s="296">
        <v>0</v>
      </c>
      <c r="F13" s="297">
        <v>4</v>
      </c>
      <c r="G13" s="297">
        <v>8</v>
      </c>
      <c r="H13" s="298">
        <f>IF(F13=0,0,$C13/(F13*365))</f>
        <v>0.66095890410958902</v>
      </c>
      <c r="I13" s="298">
        <f>IF(G13=0,0,$C13/(G13*365))</f>
        <v>0.33047945205479451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676</v>
      </c>
      <c r="D21" s="296">
        <v>245</v>
      </c>
      <c r="E21" s="296">
        <v>243</v>
      </c>
      <c r="F21" s="297">
        <v>3</v>
      </c>
      <c r="G21" s="297">
        <v>8</v>
      </c>
      <c r="H21" s="298">
        <f>IF(F21=0,0,$C21/(F21*365))</f>
        <v>0.61735159817351604</v>
      </c>
      <c r="I21" s="298">
        <f>IF(G21=0,0,$C21/(G21*365))</f>
        <v>0.23150684931506849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629</v>
      </c>
      <c r="D23" s="296">
        <v>243</v>
      </c>
      <c r="E23" s="296">
        <v>242</v>
      </c>
      <c r="F23" s="297">
        <v>2</v>
      </c>
      <c r="G23" s="297">
        <v>10</v>
      </c>
      <c r="H23" s="298">
        <f>IF(F23=0,0,$C23/(F23*365))</f>
        <v>0.86164383561643831</v>
      </c>
      <c r="I23" s="298">
        <f>IF(G23=0,0,$C23/(G23*365))</f>
        <v>0.17232876712328768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1</v>
      </c>
      <c r="D27" s="296">
        <v>1</v>
      </c>
      <c r="E27" s="296">
        <v>1</v>
      </c>
      <c r="F27" s="297">
        <v>0</v>
      </c>
      <c r="G27" s="297">
        <v>6</v>
      </c>
      <c r="H27" s="298">
        <f>IF(F27=0,0,$C27/(F27*365))</f>
        <v>0</v>
      </c>
      <c r="I27" s="298">
        <f>IF(G27=0,0,$C27/(G27*365))</f>
        <v>4.5662100456621003E-4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7908</v>
      </c>
      <c r="D31" s="300">
        <f>SUM(D10:D29)-D13-D17-D23</f>
        <v>2045</v>
      </c>
      <c r="E31" s="300">
        <f>SUM(E10:E29)-E17-E23</f>
        <v>2045</v>
      </c>
      <c r="F31" s="300">
        <f>SUM(F10:F29)-F17-F23</f>
        <v>25</v>
      </c>
      <c r="G31" s="300">
        <f>SUM(G10:G29)-G17-G23</f>
        <v>85</v>
      </c>
      <c r="H31" s="301">
        <f>IF(F31=0,0,$C31/(F31*365))</f>
        <v>0.86663013698630142</v>
      </c>
      <c r="I31" s="301">
        <f>IF(G31=0,0,$C31/(G31*365))</f>
        <v>0.25489121676067689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8537</v>
      </c>
      <c r="D33" s="300">
        <f>SUM(D10:D29)-D13-D17</f>
        <v>2288</v>
      </c>
      <c r="E33" s="300">
        <f>SUM(E10:E29)-E17</f>
        <v>2287</v>
      </c>
      <c r="F33" s="300">
        <f>SUM(F10:F29)-F17</f>
        <v>27</v>
      </c>
      <c r="G33" s="300">
        <f>SUM(G10:G29)-G17</f>
        <v>95</v>
      </c>
      <c r="H33" s="301">
        <f>IF(F33=0,0,$C33/(F33*365))</f>
        <v>0.86626078132927453</v>
      </c>
      <c r="I33" s="301">
        <f>IF(G33=0,0,$C33/(G33*365))</f>
        <v>0.24620043258832011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8537</v>
      </c>
      <c r="D36" s="300">
        <f t="shared" si="1"/>
        <v>2288</v>
      </c>
      <c r="E36" s="300">
        <f t="shared" si="1"/>
        <v>2287</v>
      </c>
      <c r="F36" s="300">
        <f t="shared" si="1"/>
        <v>27</v>
      </c>
      <c r="G36" s="300">
        <f t="shared" si="1"/>
        <v>95</v>
      </c>
      <c r="H36" s="301">
        <f t="shared" si="1"/>
        <v>0.86626078132927453</v>
      </c>
      <c r="I36" s="301">
        <f t="shared" si="1"/>
        <v>0.24620043258832011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9347</v>
      </c>
      <c r="D37" s="300">
        <v>2516</v>
      </c>
      <c r="E37" s="300">
        <v>2250</v>
      </c>
      <c r="F37" s="302">
        <v>29</v>
      </c>
      <c r="G37" s="302">
        <v>95</v>
      </c>
      <c r="H37" s="301">
        <f>IF(F37=0,0,$C37/(F37*365))</f>
        <v>0.88304204062352387</v>
      </c>
      <c r="I37" s="301">
        <f>IF(G37=0,0,$C37/(G37*365))</f>
        <v>0.26956020187454938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-810</v>
      </c>
      <c r="D38" s="300">
        <f t="shared" si="2"/>
        <v>-228</v>
      </c>
      <c r="E38" s="300">
        <f t="shared" si="2"/>
        <v>37</v>
      </c>
      <c r="F38" s="300">
        <f t="shared" si="2"/>
        <v>-2</v>
      </c>
      <c r="G38" s="300">
        <f t="shared" si="2"/>
        <v>0</v>
      </c>
      <c r="H38" s="301">
        <f t="shared" si="2"/>
        <v>-1.678125929424934E-2</v>
      </c>
      <c r="I38" s="301">
        <f t="shared" si="2"/>
        <v>-2.3359769286229265E-2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-8.6658821012089438E-2</v>
      </c>
      <c r="D40" s="148">
        <f t="shared" si="3"/>
        <v>-9.0620031796502382E-2</v>
      </c>
      <c r="E40" s="148">
        <f t="shared" si="3"/>
        <v>1.6444444444444446E-2</v>
      </c>
      <c r="F40" s="148">
        <f t="shared" si="3"/>
        <v>-6.8965517241379309E-2</v>
      </c>
      <c r="G40" s="148">
        <f t="shared" si="3"/>
        <v>0</v>
      </c>
      <c r="H40" s="148">
        <f t="shared" si="3"/>
        <v>-1.9003918864836766E-2</v>
      </c>
      <c r="I40" s="148">
        <f t="shared" si="3"/>
        <v>-8.6658821012089424E-2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95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FILING&amp;RNEW 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889</v>
      </c>
      <c r="D12" s="296">
        <v>766</v>
      </c>
      <c r="E12" s="296">
        <f>+D12-C12</f>
        <v>-123</v>
      </c>
      <c r="F12" s="316">
        <f>IF(C12=0,0,+E12/C12)</f>
        <v>-0.13835770528683913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3264</v>
      </c>
      <c r="D13" s="296">
        <v>2824</v>
      </c>
      <c r="E13" s="296">
        <f>+D13-C13</f>
        <v>-440</v>
      </c>
      <c r="F13" s="316">
        <f>IF(C13=0,0,+E13/C13)</f>
        <v>-0.13480392156862744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1987</v>
      </c>
      <c r="D14" s="296">
        <v>1729</v>
      </c>
      <c r="E14" s="296">
        <f>+D14-C14</f>
        <v>-258</v>
      </c>
      <c r="F14" s="316">
        <f>IF(C14=0,0,+E14/C14)</f>
        <v>-0.12984398590840462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6140</v>
      </c>
      <c r="D16" s="300">
        <f>SUM(D12:D15)</f>
        <v>5319</v>
      </c>
      <c r="E16" s="300">
        <f>+D16-C16</f>
        <v>-821</v>
      </c>
      <c r="F16" s="309">
        <f>IF(C16=0,0,+E16/C16)</f>
        <v>-0.13371335504885992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144</v>
      </c>
      <c r="D19" s="296">
        <v>114</v>
      </c>
      <c r="E19" s="296">
        <f>+D19-C19</f>
        <v>-30</v>
      </c>
      <c r="F19" s="316">
        <f>IF(C19=0,0,+E19/C19)</f>
        <v>-0.20833333333333334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2740</v>
      </c>
      <c r="D20" s="296">
        <v>2778</v>
      </c>
      <c r="E20" s="296">
        <f>+D20-C20</f>
        <v>38</v>
      </c>
      <c r="F20" s="316">
        <f>IF(C20=0,0,+E20/C20)</f>
        <v>1.3868613138686132E-2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27</v>
      </c>
      <c r="D21" s="296">
        <v>24</v>
      </c>
      <c r="E21" s="296">
        <f>+D21-C21</f>
        <v>-3</v>
      </c>
      <c r="F21" s="316">
        <f>IF(C21=0,0,+E21/C21)</f>
        <v>-0.1111111111111111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2911</v>
      </c>
      <c r="D23" s="300">
        <f>SUM(D19:D22)</f>
        <v>2916</v>
      </c>
      <c r="E23" s="300">
        <f>+D23-C23</f>
        <v>5</v>
      </c>
      <c r="F23" s="309">
        <f>IF(C23=0,0,+E23/C23)</f>
        <v>1.7176228100309172E-3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165</v>
      </c>
      <c r="D34" s="296">
        <v>122</v>
      </c>
      <c r="E34" s="296">
        <f>+D34-C34</f>
        <v>-43</v>
      </c>
      <c r="F34" s="316">
        <f>IF(C34=0,0,+E34/C34)</f>
        <v>-0.26060606060606062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165</v>
      </c>
      <c r="D37" s="300">
        <f>SUM(D33:D36)</f>
        <v>122</v>
      </c>
      <c r="E37" s="300">
        <f>+D37-C37</f>
        <v>-43</v>
      </c>
      <c r="F37" s="309">
        <f>IF(C37=0,0,+E37/C37)</f>
        <v>-0.26060606060606062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785</v>
      </c>
      <c r="D63" s="296">
        <v>621</v>
      </c>
      <c r="E63" s="296">
        <f>+D63-C63</f>
        <v>-164</v>
      </c>
      <c r="F63" s="316">
        <f>IF(C63=0,0,+E63/C63)</f>
        <v>-0.20891719745222931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2268</v>
      </c>
      <c r="D64" s="296">
        <v>2116</v>
      </c>
      <c r="E64" s="296">
        <f>+D64-C64</f>
        <v>-152</v>
      </c>
      <c r="F64" s="316">
        <f>IF(C64=0,0,+E64/C64)</f>
        <v>-6.7019400352733682E-2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3053</v>
      </c>
      <c r="D65" s="300">
        <f>SUM(D63:D64)</f>
        <v>2737</v>
      </c>
      <c r="E65" s="300">
        <f>+D65-C65</f>
        <v>-316</v>
      </c>
      <c r="F65" s="309">
        <f>IF(C65=0,0,+E65/C65)</f>
        <v>-0.10350474942679332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74</v>
      </c>
      <c r="D68" s="296">
        <v>89</v>
      </c>
      <c r="E68" s="296">
        <f>+D68-C68</f>
        <v>15</v>
      </c>
      <c r="F68" s="316">
        <f>IF(C68=0,0,+E68/C68)</f>
        <v>0.20270270270270271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2064</v>
      </c>
      <c r="D69" s="296">
        <v>2110</v>
      </c>
      <c r="E69" s="296">
        <f>+D69-C69</f>
        <v>46</v>
      </c>
      <c r="F69" s="318">
        <f>IF(C69=0,0,+E69/C69)</f>
        <v>2.2286821705426358E-2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2138</v>
      </c>
      <c r="D70" s="300">
        <f>SUM(D68:D69)</f>
        <v>2199</v>
      </c>
      <c r="E70" s="300">
        <f>+D70-C70</f>
        <v>61</v>
      </c>
      <c r="F70" s="309">
        <f>IF(C70=0,0,+E70/C70)</f>
        <v>2.853133769878391E-2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2042</v>
      </c>
      <c r="D73" s="319">
        <v>2050</v>
      </c>
      <c r="E73" s="296">
        <f>+D73-C73</f>
        <v>8</v>
      </c>
      <c r="F73" s="316">
        <f>IF(C73=0,0,+E73/C73)</f>
        <v>3.9177277179236044E-3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16738</v>
      </c>
      <c r="D74" s="319">
        <v>16366</v>
      </c>
      <c r="E74" s="296">
        <f>+D74-C74</f>
        <v>-372</v>
      </c>
      <c r="F74" s="316">
        <f>IF(C74=0,0,+E74/C74)</f>
        <v>-2.222487752419644E-2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18780</v>
      </c>
      <c r="D75" s="300">
        <f>SUM(D73:D74)</f>
        <v>18416</v>
      </c>
      <c r="E75" s="300">
        <f>SUM(E73:E74)</f>
        <v>-364</v>
      </c>
      <c r="F75" s="309">
        <f>IF(C75=0,0,+E75/C75)</f>
        <v>-1.9382321618743342E-2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6845</v>
      </c>
      <c r="D81" s="319">
        <v>6875</v>
      </c>
      <c r="E81" s="296">
        <f t="shared" si="0"/>
        <v>30</v>
      </c>
      <c r="F81" s="316">
        <f t="shared" si="1"/>
        <v>4.3827611395178961E-3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6845</v>
      </c>
      <c r="D84" s="320">
        <f>SUM(D79:D83)</f>
        <v>6875</v>
      </c>
      <c r="E84" s="300">
        <f t="shared" si="0"/>
        <v>30</v>
      </c>
      <c r="F84" s="309">
        <f t="shared" si="1"/>
        <v>4.3827611395178961E-3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652</v>
      </c>
      <c r="D87" s="322">
        <v>465</v>
      </c>
      <c r="E87" s="323">
        <f t="shared" ref="E87:E92" si="2">+D87-C87</f>
        <v>-187</v>
      </c>
      <c r="F87" s="318">
        <f t="shared" ref="F87:F92" si="3">IF(C87=0,0,+E87/C87)</f>
        <v>-0.28680981595092025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882</v>
      </c>
      <c r="D88" s="322">
        <v>914</v>
      </c>
      <c r="E88" s="296">
        <f t="shared" si="2"/>
        <v>32</v>
      </c>
      <c r="F88" s="316">
        <f t="shared" si="3"/>
        <v>3.6281179138321996E-2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1612</v>
      </c>
      <c r="D89" s="322">
        <v>1048</v>
      </c>
      <c r="E89" s="296">
        <f t="shared" si="2"/>
        <v>-564</v>
      </c>
      <c r="F89" s="316">
        <f t="shared" si="3"/>
        <v>-0.34987593052109184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77740</v>
      </c>
      <c r="D91" s="322">
        <v>45169</v>
      </c>
      <c r="E91" s="296">
        <f t="shared" si="2"/>
        <v>-32571</v>
      </c>
      <c r="F91" s="316">
        <f t="shared" si="3"/>
        <v>-0.41897350141497297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80886</v>
      </c>
      <c r="D92" s="320">
        <f>SUM(D87:D91)</f>
        <v>47596</v>
      </c>
      <c r="E92" s="300">
        <f t="shared" si="2"/>
        <v>-33290</v>
      </c>
      <c r="F92" s="309">
        <f t="shared" si="3"/>
        <v>-0.41156689661993423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137.19999999999999</v>
      </c>
      <c r="D96" s="325">
        <v>129.1</v>
      </c>
      <c r="E96" s="326">
        <f>+D96-C96</f>
        <v>-8.0999999999999943</v>
      </c>
      <c r="F96" s="316">
        <f>IF(C96=0,0,+E96/C96)</f>
        <v>-5.9037900874635535E-2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19</v>
      </c>
      <c r="D97" s="325">
        <v>3.8</v>
      </c>
      <c r="E97" s="326">
        <f>+D97-C97</f>
        <v>-15.2</v>
      </c>
      <c r="F97" s="316">
        <f>IF(C97=0,0,+E97/C97)</f>
        <v>-0.79999999999999993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305.39999999999998</v>
      </c>
      <c r="D98" s="325">
        <v>287.39999999999998</v>
      </c>
      <c r="E98" s="326">
        <f>+D98-C98</f>
        <v>-18</v>
      </c>
      <c r="F98" s="316">
        <f>IF(C98=0,0,+E98/C98)</f>
        <v>-5.8939096267190572E-2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461.59999999999997</v>
      </c>
      <c r="D99" s="327">
        <f>SUM(D96:D98)</f>
        <v>420.29999999999995</v>
      </c>
      <c r="E99" s="327">
        <f>+D99-C99</f>
        <v>-41.300000000000011</v>
      </c>
      <c r="F99" s="309">
        <f>IF(C99=0,0,+E99/C99)</f>
        <v>-8.9471403812824993E-2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FILING&amp;RNEW 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2268</v>
      </c>
      <c r="D12" s="296">
        <v>2116</v>
      </c>
      <c r="E12" s="296">
        <f>+D12-C12</f>
        <v>-152</v>
      </c>
      <c r="F12" s="316">
        <f>IF(C12=0,0,+E12/C12)</f>
        <v>-6.7019400352733682E-2</v>
      </c>
    </row>
    <row r="13" spans="1:16" ht="15.75" customHeight="1" x14ac:dyDescent="0.25">
      <c r="A13" s="294"/>
      <c r="B13" s="135" t="s">
        <v>602</v>
      </c>
      <c r="C13" s="300">
        <f>SUM(C11:C12)</f>
        <v>2268</v>
      </c>
      <c r="D13" s="300">
        <f>SUM(D11:D12)</f>
        <v>2116</v>
      </c>
      <c r="E13" s="300">
        <f>+D13-C13</f>
        <v>-152</v>
      </c>
      <c r="F13" s="309">
        <f>IF(C13=0,0,+E13/C13)</f>
        <v>-6.7019400352733682E-2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2064</v>
      </c>
      <c r="D16" s="296">
        <v>2110</v>
      </c>
      <c r="E16" s="296">
        <f>+D16-C16</f>
        <v>46</v>
      </c>
      <c r="F16" s="316">
        <f>IF(C16=0,0,+E16/C16)</f>
        <v>2.2286821705426358E-2</v>
      </c>
    </row>
    <row r="17" spans="1:6" ht="15.75" customHeight="1" x14ac:dyDescent="0.25">
      <c r="A17" s="294"/>
      <c r="B17" s="135" t="s">
        <v>603</v>
      </c>
      <c r="C17" s="300">
        <f>SUM(C15:C16)</f>
        <v>2064</v>
      </c>
      <c r="D17" s="300">
        <f>SUM(D15:D16)</f>
        <v>2110</v>
      </c>
      <c r="E17" s="300">
        <f>+D17-C17</f>
        <v>46</v>
      </c>
      <c r="F17" s="309">
        <f>IF(C17=0,0,+E17/C17)</f>
        <v>2.2286821705426358E-2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16738</v>
      </c>
      <c r="D20" s="296">
        <v>16366</v>
      </c>
      <c r="E20" s="296">
        <f>+D20-C20</f>
        <v>-372</v>
      </c>
      <c r="F20" s="316">
        <f>IF(C20=0,0,+E20/C20)</f>
        <v>-2.222487752419644E-2</v>
      </c>
    </row>
    <row r="21" spans="1:6" ht="15.75" customHeight="1" x14ac:dyDescent="0.25">
      <c r="A21" s="294"/>
      <c r="B21" s="135" t="s">
        <v>605</v>
      </c>
      <c r="C21" s="300">
        <f>SUM(C19:C20)</f>
        <v>16738</v>
      </c>
      <c r="D21" s="300">
        <f>SUM(D19:D20)</f>
        <v>16366</v>
      </c>
      <c r="E21" s="300">
        <f>+D21-C21</f>
        <v>-372</v>
      </c>
      <c r="F21" s="309">
        <f>IF(C21=0,0,+E21/C21)</f>
        <v>-2.222487752419644E-2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FILING&amp;RNEW 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38481431</v>
      </c>
      <c r="D15" s="361">
        <v>34382207</v>
      </c>
      <c r="E15" s="361">
        <f t="shared" ref="E15:E24" si="0">D15-C15</f>
        <v>-4099224</v>
      </c>
      <c r="F15" s="362">
        <f t="shared" ref="F15:F24" si="1">IF(C15=0,0,E15/C15)</f>
        <v>-0.1065247287711312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12616044</v>
      </c>
      <c r="D16" s="361">
        <v>11308714</v>
      </c>
      <c r="E16" s="361">
        <f t="shared" si="0"/>
        <v>-1307330</v>
      </c>
      <c r="F16" s="362">
        <f t="shared" si="1"/>
        <v>-0.10362440080266049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0.3278475792649187</v>
      </c>
      <c r="D17" s="366">
        <f>IF(LN_IA1=0,0,LN_IA2/LN_IA1)</f>
        <v>0.32891181185663854</v>
      </c>
      <c r="E17" s="367">
        <f t="shared" si="0"/>
        <v>1.0642325917198381E-3</v>
      </c>
      <c r="F17" s="362">
        <f t="shared" si="1"/>
        <v>3.2461200235365476E-3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1199</v>
      </c>
      <c r="D18" s="369">
        <v>1118</v>
      </c>
      <c r="E18" s="369">
        <f t="shared" si="0"/>
        <v>-81</v>
      </c>
      <c r="F18" s="362">
        <f t="shared" si="1"/>
        <v>-6.7556296914095079E-2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1.3738999999999999</v>
      </c>
      <c r="D19" s="372">
        <v>1.339</v>
      </c>
      <c r="E19" s="373">
        <f t="shared" si="0"/>
        <v>-3.4899999999999931E-2</v>
      </c>
      <c r="F19" s="362">
        <f t="shared" si="1"/>
        <v>-2.5402139893733119E-2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1647.3060999999998</v>
      </c>
      <c r="D20" s="376">
        <f>LN_IA4*LN_IA5</f>
        <v>1497.002</v>
      </c>
      <c r="E20" s="376">
        <f t="shared" si="0"/>
        <v>-150.30409999999983</v>
      </c>
      <c r="F20" s="362">
        <f t="shared" si="1"/>
        <v>-9.1242362302913743E-2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7658.5911992919846</v>
      </c>
      <c r="D21" s="378">
        <f>IF(LN_IA6=0,0,LN_IA2/LN_IA6)</f>
        <v>7554.2410764982278</v>
      </c>
      <c r="E21" s="378">
        <f t="shared" si="0"/>
        <v>-104.35012279375678</v>
      </c>
      <c r="F21" s="362">
        <f t="shared" si="1"/>
        <v>-1.3625237341745524E-2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5368</v>
      </c>
      <c r="D22" s="369">
        <v>4985</v>
      </c>
      <c r="E22" s="369">
        <f t="shared" si="0"/>
        <v>-383</v>
      </c>
      <c r="F22" s="362">
        <f t="shared" si="1"/>
        <v>-7.1348733233979139E-2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2350.2317436661697</v>
      </c>
      <c r="D23" s="378">
        <f>IF(LN_IA8=0,0,LN_IA2/LN_IA8)</f>
        <v>2268.5484453360082</v>
      </c>
      <c r="E23" s="378">
        <f t="shared" si="0"/>
        <v>-81.683298330161506</v>
      </c>
      <c r="F23" s="362">
        <f t="shared" si="1"/>
        <v>-3.4755422970648091E-2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4.477064220183486</v>
      </c>
      <c r="D24" s="379">
        <f>IF(LN_IA4=0,0,LN_IA8/LN_IA4)</f>
        <v>4.4588550983899822</v>
      </c>
      <c r="E24" s="379">
        <f t="shared" si="0"/>
        <v>-1.8209121793503869E-2</v>
      </c>
      <c r="F24" s="362">
        <f t="shared" si="1"/>
        <v>-4.0672013842047577E-3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63832303</v>
      </c>
      <c r="D27" s="361">
        <v>56029867</v>
      </c>
      <c r="E27" s="361">
        <f t="shared" ref="E27:E32" si="2">D27-C27</f>
        <v>-7802436</v>
      </c>
      <c r="F27" s="362">
        <f t="shared" ref="F27:F32" si="3">IF(C27=0,0,E27/C27)</f>
        <v>-0.12223334633563197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13327218</v>
      </c>
      <c r="D28" s="361">
        <v>12933357</v>
      </c>
      <c r="E28" s="361">
        <f t="shared" si="2"/>
        <v>-393861</v>
      </c>
      <c r="F28" s="362">
        <f t="shared" si="3"/>
        <v>-2.9553129542864834E-2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0.20878485302339789</v>
      </c>
      <c r="D29" s="366">
        <f>IF(LN_IA11=0,0,LN_IA12/LN_IA11)</f>
        <v>0.23082969302782747</v>
      </c>
      <c r="E29" s="367">
        <f t="shared" si="2"/>
        <v>2.2044840004429578E-2</v>
      </c>
      <c r="F29" s="362">
        <f t="shared" si="3"/>
        <v>0.10558639520635665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1.6587819460248243</v>
      </c>
      <c r="D30" s="366">
        <f>IF(LN_IA1=0,0,LN_IA11/LN_IA1)</f>
        <v>1.6296181045038789</v>
      </c>
      <c r="E30" s="367">
        <f t="shared" si="2"/>
        <v>-2.9163841520945422E-2</v>
      </c>
      <c r="F30" s="362">
        <f t="shared" si="3"/>
        <v>-1.7581479947279925E-2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1988.8795532837644</v>
      </c>
      <c r="D31" s="376">
        <f>LN_IA14*LN_IA4</f>
        <v>1821.9130408353367</v>
      </c>
      <c r="E31" s="376">
        <f t="shared" si="2"/>
        <v>-166.96651244842769</v>
      </c>
      <c r="F31" s="362">
        <f t="shared" si="3"/>
        <v>-8.3950037181867318E-2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6700.8673189866777</v>
      </c>
      <c r="D32" s="378">
        <f>IF(LN_IA15=0,0,LN_IA12/LN_IA15)</f>
        <v>7098.7784324053855</v>
      </c>
      <c r="E32" s="378">
        <f t="shared" si="2"/>
        <v>397.91111341870783</v>
      </c>
      <c r="F32" s="362">
        <f t="shared" si="3"/>
        <v>5.9382031381406457E-2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102313734</v>
      </c>
      <c r="D35" s="361">
        <f>LN_IA1+LN_IA11</f>
        <v>90412074</v>
      </c>
      <c r="E35" s="361">
        <f>D35-C35</f>
        <v>-11901660</v>
      </c>
      <c r="F35" s="362">
        <f>IF(C35=0,0,E35/C35)</f>
        <v>-0.11632514555670502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25943262</v>
      </c>
      <c r="D36" s="361">
        <f>LN_IA2+LN_IA12</f>
        <v>24242071</v>
      </c>
      <c r="E36" s="361">
        <f>D36-C36</f>
        <v>-1701191</v>
      </c>
      <c r="F36" s="362">
        <f>IF(C36=0,0,E36/C36)</f>
        <v>-6.557351962910446E-2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76370472</v>
      </c>
      <c r="D37" s="361">
        <f>LN_IA17-LN_IA18</f>
        <v>66170003</v>
      </c>
      <c r="E37" s="361">
        <f>D37-C37</f>
        <v>-10200469</v>
      </c>
      <c r="F37" s="362">
        <f>IF(C37=0,0,E37/C37)</f>
        <v>-0.13356561420754345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23894322</v>
      </c>
      <c r="D42" s="361">
        <v>18128253</v>
      </c>
      <c r="E42" s="361">
        <f t="shared" ref="E42:E53" si="4">D42-C42</f>
        <v>-5766069</v>
      </c>
      <c r="F42" s="362">
        <f t="shared" ref="F42:F53" si="5">IF(C42=0,0,E42/C42)</f>
        <v>-0.24131544724307305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10028493</v>
      </c>
      <c r="D43" s="361">
        <v>7957745</v>
      </c>
      <c r="E43" s="361">
        <f t="shared" si="4"/>
        <v>-2070748</v>
      </c>
      <c r="F43" s="362">
        <f t="shared" si="5"/>
        <v>-0.2064864581348364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0.41970192751231861</v>
      </c>
      <c r="D44" s="366">
        <f>IF(LN_IB1=0,0,LN_IB2/LN_IB1)</f>
        <v>0.43896921562160457</v>
      </c>
      <c r="E44" s="367">
        <f t="shared" si="4"/>
        <v>1.9267288109285963E-2</v>
      </c>
      <c r="F44" s="362">
        <f t="shared" si="5"/>
        <v>4.5907075584541962E-2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1068</v>
      </c>
      <c r="D45" s="369">
        <v>888</v>
      </c>
      <c r="E45" s="369">
        <f t="shared" si="4"/>
        <v>-180</v>
      </c>
      <c r="F45" s="362">
        <f t="shared" si="5"/>
        <v>-0.16853932584269662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1.129</v>
      </c>
      <c r="D46" s="372">
        <v>1.0384</v>
      </c>
      <c r="E46" s="373">
        <f t="shared" si="4"/>
        <v>-9.0600000000000014E-2</v>
      </c>
      <c r="F46" s="362">
        <f t="shared" si="5"/>
        <v>-8.0248007085916756E-2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1205.7719999999999</v>
      </c>
      <c r="D47" s="376">
        <f>LN_IB4*LN_IB5</f>
        <v>922.0992</v>
      </c>
      <c r="E47" s="376">
        <f t="shared" si="4"/>
        <v>-283.67279999999994</v>
      </c>
      <c r="F47" s="362">
        <f t="shared" si="5"/>
        <v>-0.23526238791413298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8317.0723818433344</v>
      </c>
      <c r="D48" s="378">
        <f>IF(LN_IB6=0,0,LN_IB2/LN_IB6)</f>
        <v>8630.0313458682103</v>
      </c>
      <c r="E48" s="378">
        <f t="shared" si="4"/>
        <v>312.95896402487597</v>
      </c>
      <c r="F48" s="362">
        <f t="shared" si="5"/>
        <v>3.7628500709947416E-2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-658.48118255134978</v>
      </c>
      <c r="D49" s="378">
        <f>LN_IA7-LN_IB7</f>
        <v>-1075.7902693699825</v>
      </c>
      <c r="E49" s="378">
        <f t="shared" si="4"/>
        <v>-417.30908681863275</v>
      </c>
      <c r="F49" s="362">
        <f t="shared" si="5"/>
        <v>0.63374489336464845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-793978.1724473061</v>
      </c>
      <c r="D50" s="391">
        <f>LN_IB8*LN_IB6</f>
        <v>-991985.34675384534</v>
      </c>
      <c r="E50" s="391">
        <f t="shared" si="4"/>
        <v>-198007.17430653924</v>
      </c>
      <c r="F50" s="362">
        <f t="shared" si="5"/>
        <v>0.24938616850916057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3049</v>
      </c>
      <c r="D51" s="369">
        <v>2625</v>
      </c>
      <c r="E51" s="369">
        <f t="shared" si="4"/>
        <v>-424</v>
      </c>
      <c r="F51" s="362">
        <f t="shared" si="5"/>
        <v>-0.13906198753689733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3289.1088881600526</v>
      </c>
      <c r="D52" s="378">
        <f>IF(LN_IB10=0,0,LN_IB2/LN_IB10)</f>
        <v>3031.5219047619048</v>
      </c>
      <c r="E52" s="378">
        <f t="shared" si="4"/>
        <v>-257.58698339814782</v>
      </c>
      <c r="F52" s="362">
        <f t="shared" si="5"/>
        <v>-7.8315127944044299E-2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2.8548689138576777</v>
      </c>
      <c r="D53" s="379">
        <f>IF(LN_IB4=0,0,LN_IB10/LN_IB4)</f>
        <v>2.9560810810810811</v>
      </c>
      <c r="E53" s="379">
        <f t="shared" si="4"/>
        <v>0.10121216722340343</v>
      </c>
      <c r="F53" s="362">
        <f t="shared" si="5"/>
        <v>3.5452474448866796E-2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91515148</v>
      </c>
      <c r="D56" s="361">
        <v>77577636</v>
      </c>
      <c r="E56" s="361">
        <f t="shared" ref="E56:E63" si="6">D56-C56</f>
        <v>-13937512</v>
      </c>
      <c r="F56" s="362">
        <f t="shared" ref="F56:F63" si="7">IF(C56=0,0,E56/C56)</f>
        <v>-0.15229732240612232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45869212</v>
      </c>
      <c r="D57" s="361">
        <v>40219243</v>
      </c>
      <c r="E57" s="361">
        <f t="shared" si="6"/>
        <v>-5649969</v>
      </c>
      <c r="F57" s="362">
        <f t="shared" si="7"/>
        <v>-0.12317562813156677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0.5012198854773201</v>
      </c>
      <c r="D58" s="366">
        <f>IF(LN_IB13=0,0,LN_IB14/LN_IB13)</f>
        <v>0.51843862579158762</v>
      </c>
      <c r="E58" s="367">
        <f t="shared" si="6"/>
        <v>1.7218740314267511E-2</v>
      </c>
      <c r="F58" s="362">
        <f t="shared" si="7"/>
        <v>3.4353665553133066E-2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3.8299955947693349</v>
      </c>
      <c r="D59" s="366">
        <f>IF(LN_IB1=0,0,LN_IB13/LN_IB1)</f>
        <v>4.2793773895366529</v>
      </c>
      <c r="E59" s="367">
        <f t="shared" si="6"/>
        <v>0.44938179476731799</v>
      </c>
      <c r="F59" s="362">
        <f t="shared" si="7"/>
        <v>0.1173321962513595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4090.4352952136496</v>
      </c>
      <c r="D60" s="376">
        <f>LN_IB16*LN_IB4</f>
        <v>3800.0871219085479</v>
      </c>
      <c r="E60" s="376">
        <f t="shared" si="6"/>
        <v>-290.34817330510168</v>
      </c>
      <c r="F60" s="362">
        <f t="shared" si="7"/>
        <v>-7.098221884718417E-2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11213.772786889709</v>
      </c>
      <c r="D61" s="378">
        <f>IF(LN_IB17=0,0,LN_IB14/LN_IB17)</f>
        <v>10583.768663651155</v>
      </c>
      <c r="E61" s="378">
        <f t="shared" si="6"/>
        <v>-630.0041232385538</v>
      </c>
      <c r="F61" s="362">
        <f t="shared" si="7"/>
        <v>-5.6181281287873669E-2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-4512.9054679030314</v>
      </c>
      <c r="D62" s="378">
        <f>LN_IA16-LN_IB18</f>
        <v>-3484.9902312457698</v>
      </c>
      <c r="E62" s="378">
        <f t="shared" si="6"/>
        <v>1027.9152366572616</v>
      </c>
      <c r="F62" s="362">
        <f t="shared" si="7"/>
        <v>-0.22777238388175083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-18459747.809873231</v>
      </c>
      <c r="D63" s="361">
        <f>LN_IB19*LN_IB17</f>
        <v>-13243266.497734142</v>
      </c>
      <c r="E63" s="361">
        <f t="shared" si="6"/>
        <v>5216481.3121390883</v>
      </c>
      <c r="F63" s="362">
        <f t="shared" si="7"/>
        <v>-0.28258681352889575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115409470</v>
      </c>
      <c r="D66" s="361">
        <f>LN_IB1+LN_IB13</f>
        <v>95705889</v>
      </c>
      <c r="E66" s="361">
        <f>D66-C66</f>
        <v>-19703581</v>
      </c>
      <c r="F66" s="362">
        <f>IF(C66=0,0,E66/C66)</f>
        <v>-0.17072759280499253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55897705</v>
      </c>
      <c r="D67" s="361">
        <f>LN_IB2+LN_IB14</f>
        <v>48176988</v>
      </c>
      <c r="E67" s="361">
        <f>D67-C67</f>
        <v>-7720717</v>
      </c>
      <c r="F67" s="362">
        <f>IF(C67=0,0,E67/C67)</f>
        <v>-0.13812225385639715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59511765</v>
      </c>
      <c r="D68" s="361">
        <f>LN_IB21-LN_IB22</f>
        <v>47528901</v>
      </c>
      <c r="E68" s="361">
        <f>D68-C68</f>
        <v>-11982864</v>
      </c>
      <c r="F68" s="362">
        <f>IF(C68=0,0,E68/C68)</f>
        <v>-0.20135285854822152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-19253725.982320536</v>
      </c>
      <c r="D70" s="353">
        <f>LN_IB9+LN_IB20</f>
        <v>-14235251.844487987</v>
      </c>
      <c r="E70" s="361">
        <f>D70-C70</f>
        <v>5018474.1378325485</v>
      </c>
      <c r="F70" s="362">
        <f>IF(C70=0,0,E70/C70)</f>
        <v>-0.26064950453957286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110709168</v>
      </c>
      <c r="D73" s="400">
        <v>91235379</v>
      </c>
      <c r="E73" s="400">
        <f>D73-C73</f>
        <v>-19473789</v>
      </c>
      <c r="F73" s="401">
        <f>IF(C73=0,0,E73/C73)</f>
        <v>-0.17590041865367465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55477982</v>
      </c>
      <c r="D74" s="400">
        <v>48013405</v>
      </c>
      <c r="E74" s="400">
        <f>D74-C74</f>
        <v>-7464577</v>
      </c>
      <c r="F74" s="401">
        <f>IF(C74=0,0,E74/C74)</f>
        <v>-0.13455026175970136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55231186</v>
      </c>
      <c r="D76" s="353">
        <f>LN_IB32-LN_IB33</f>
        <v>43221974</v>
      </c>
      <c r="E76" s="400">
        <f>D76-C76</f>
        <v>-12009212</v>
      </c>
      <c r="F76" s="401">
        <f>IF(C76=0,0,E76/C76)</f>
        <v>-0.21743534531378703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0.49888538589685727</v>
      </c>
      <c r="D77" s="366">
        <f>IF(LN_IB1=0,0,LN_IB34/LN_IB32)</f>
        <v>0.47374137613874545</v>
      </c>
      <c r="E77" s="405">
        <f>D77-C77</f>
        <v>-2.5144009758111818E-2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817818</v>
      </c>
      <c r="D83" s="361">
        <v>853569</v>
      </c>
      <c r="E83" s="361">
        <f t="shared" ref="E83:E95" si="8">D83-C83</f>
        <v>35751</v>
      </c>
      <c r="F83" s="362">
        <f t="shared" ref="F83:F95" si="9">IF(C83=0,0,E83/C83)</f>
        <v>4.3715105316830885E-2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73029</v>
      </c>
      <c r="D84" s="361">
        <v>33482</v>
      </c>
      <c r="E84" s="361">
        <f t="shared" si="8"/>
        <v>-39547</v>
      </c>
      <c r="F84" s="362">
        <f t="shared" si="9"/>
        <v>-0.54152459981651124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8.9297374232408674E-2</v>
      </c>
      <c r="D85" s="366">
        <f>IF(LN_IC1=0,0,LN_IC2/LN_IC1)</f>
        <v>3.9225885663607747E-2</v>
      </c>
      <c r="E85" s="367">
        <f t="shared" si="8"/>
        <v>-5.0071488568800927E-2</v>
      </c>
      <c r="F85" s="362">
        <f t="shared" si="9"/>
        <v>-0.56072744578673728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55</v>
      </c>
      <c r="D86" s="369">
        <v>54</v>
      </c>
      <c r="E86" s="369">
        <f t="shared" si="8"/>
        <v>-1</v>
      </c>
      <c r="F86" s="362">
        <f t="shared" si="9"/>
        <v>-1.8181818181818181E-2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0.877</v>
      </c>
      <c r="D87" s="372">
        <v>0.87460000000000004</v>
      </c>
      <c r="E87" s="373">
        <f t="shared" si="8"/>
        <v>-2.3999999999999577E-3</v>
      </c>
      <c r="F87" s="362">
        <f t="shared" si="9"/>
        <v>-2.7366020524514909E-3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48.234999999999999</v>
      </c>
      <c r="D88" s="376">
        <f>LN_IC4*LN_IC5</f>
        <v>47.228400000000001</v>
      </c>
      <c r="E88" s="376">
        <f t="shared" si="8"/>
        <v>-1.0065999999999988</v>
      </c>
      <c r="F88" s="362">
        <f t="shared" si="9"/>
        <v>-2.0868663833316033E-2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1514.0250855188142</v>
      </c>
      <c r="D89" s="378">
        <f>IF(LN_IC6=0,0,LN_IC2/LN_IC6)</f>
        <v>708.93784248460668</v>
      </c>
      <c r="E89" s="378">
        <f t="shared" si="8"/>
        <v>-805.08724303420752</v>
      </c>
      <c r="F89" s="362">
        <f t="shared" si="9"/>
        <v>-0.53175290867675851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6803.0472963245202</v>
      </c>
      <c r="D90" s="378">
        <f>LN_IB7-LN_IC7</f>
        <v>7921.093503383604</v>
      </c>
      <c r="E90" s="378">
        <f t="shared" si="8"/>
        <v>1118.0462070590838</v>
      </c>
      <c r="F90" s="362">
        <f t="shared" si="9"/>
        <v>0.16434491167849594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6144.5661137731704</v>
      </c>
      <c r="D91" s="378">
        <f>LN_IA7-LN_IC7</f>
        <v>6845.3032340136215</v>
      </c>
      <c r="E91" s="378">
        <f t="shared" si="8"/>
        <v>700.73712024045108</v>
      </c>
      <c r="F91" s="362">
        <f t="shared" si="9"/>
        <v>0.11404175775238784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296383.14649784885</v>
      </c>
      <c r="D92" s="353">
        <f>LN_IC9*LN_IC6</f>
        <v>323292.7192572889</v>
      </c>
      <c r="E92" s="353">
        <f t="shared" si="8"/>
        <v>26909.572759440052</v>
      </c>
      <c r="F92" s="362">
        <f t="shared" si="9"/>
        <v>9.0793194813576769E-2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143</v>
      </c>
      <c r="D93" s="369">
        <v>165</v>
      </c>
      <c r="E93" s="369">
        <f t="shared" si="8"/>
        <v>22</v>
      </c>
      <c r="F93" s="362">
        <f t="shared" si="9"/>
        <v>0.15384615384615385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510.69230769230768</v>
      </c>
      <c r="D94" s="411">
        <f>IF(LN_IC11=0,0,LN_IC2/LN_IC11)</f>
        <v>202.92121212121211</v>
      </c>
      <c r="E94" s="411">
        <f t="shared" si="8"/>
        <v>-307.77109557109554</v>
      </c>
      <c r="F94" s="362">
        <f t="shared" si="9"/>
        <v>-0.60265465317430966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2.6</v>
      </c>
      <c r="D95" s="379">
        <f>IF(LN_IC4=0,0,LN_IC11/LN_IC4)</f>
        <v>3.0555555555555554</v>
      </c>
      <c r="E95" s="379">
        <f t="shared" si="8"/>
        <v>0.45555555555555527</v>
      </c>
      <c r="F95" s="362">
        <f t="shared" si="9"/>
        <v>0.17521367521367509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3882484</v>
      </c>
      <c r="D98" s="361">
        <v>3616941</v>
      </c>
      <c r="E98" s="361">
        <f t="shared" ref="E98:E106" si="10">D98-C98</f>
        <v>-265543</v>
      </c>
      <c r="F98" s="362">
        <f t="shared" ref="F98:F106" si="11">IF(C98=0,0,E98/C98)</f>
        <v>-6.8395130540138738E-2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346693</v>
      </c>
      <c r="D99" s="361">
        <v>141878</v>
      </c>
      <c r="E99" s="361">
        <f t="shared" si="10"/>
        <v>-204815</v>
      </c>
      <c r="F99" s="362">
        <f t="shared" si="11"/>
        <v>-0.59076762438237862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8.9296697681175249E-2</v>
      </c>
      <c r="D100" s="366">
        <f>IF(LN_IC14=0,0,LN_IC15/LN_IC14)</f>
        <v>3.9225964703322506E-2</v>
      </c>
      <c r="E100" s="367">
        <f t="shared" si="10"/>
        <v>-5.0070732977852743E-2</v>
      </c>
      <c r="F100" s="362">
        <f t="shared" si="11"/>
        <v>-0.56072323252787226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4.7473692190683012</v>
      </c>
      <c r="D101" s="366">
        <f>IF(LN_IC1=0,0,LN_IC14/LN_IC1)</f>
        <v>4.237432474703275</v>
      </c>
      <c r="E101" s="367">
        <f t="shared" si="10"/>
        <v>-0.50993674436502623</v>
      </c>
      <c r="F101" s="362">
        <f t="shared" si="11"/>
        <v>-0.1074145955020335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261.10530704875657</v>
      </c>
      <c r="D102" s="376">
        <f>LN_IC17*LN_IC4</f>
        <v>228.82135363397686</v>
      </c>
      <c r="E102" s="376">
        <f t="shared" si="10"/>
        <v>-32.283953414779717</v>
      </c>
      <c r="F102" s="362">
        <f t="shared" si="11"/>
        <v>-0.12364342103836015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1327.7899400767888</v>
      </c>
      <c r="D103" s="378">
        <f>IF(LN_IC18=0,0,LN_IC15/LN_IC18)</f>
        <v>620.03828640463496</v>
      </c>
      <c r="E103" s="378">
        <f t="shared" si="10"/>
        <v>-707.75165367215379</v>
      </c>
      <c r="F103" s="362">
        <f t="shared" si="11"/>
        <v>-0.53302983575189844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9885.9828468129199</v>
      </c>
      <c r="D104" s="378">
        <f>LN_IB18-LN_IC19</f>
        <v>9963.7303772465202</v>
      </c>
      <c r="E104" s="378">
        <f t="shared" si="10"/>
        <v>77.747530433600332</v>
      </c>
      <c r="F104" s="362">
        <f t="shared" si="11"/>
        <v>7.864420931972876E-3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5373.0773789098894</v>
      </c>
      <c r="D105" s="378">
        <f>LN_IA16-LN_IC19</f>
        <v>6478.7401460007504</v>
      </c>
      <c r="E105" s="378">
        <f t="shared" si="10"/>
        <v>1105.6627670908611</v>
      </c>
      <c r="F105" s="362">
        <f t="shared" si="11"/>
        <v>0.20577830712633105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1402939.0188169947</v>
      </c>
      <c r="D106" s="361">
        <f>LN_IC21*LN_IC18</f>
        <v>1482474.0900506806</v>
      </c>
      <c r="E106" s="361">
        <f t="shared" si="10"/>
        <v>79535.071233685827</v>
      </c>
      <c r="F106" s="362">
        <f t="shared" si="11"/>
        <v>5.6691752219389026E-2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4700302</v>
      </c>
      <c r="D109" s="361">
        <f>LN_IC1+LN_IC14</f>
        <v>4470510</v>
      </c>
      <c r="E109" s="361">
        <f>D109-C109</f>
        <v>-229792</v>
      </c>
      <c r="F109" s="362">
        <f>IF(C109=0,0,E109/C109)</f>
        <v>-4.888877352987106E-2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419722</v>
      </c>
      <c r="D110" s="361">
        <f>LN_IC2+LN_IC15</f>
        <v>175360</v>
      </c>
      <c r="E110" s="361">
        <f>D110-C110</f>
        <v>-244362</v>
      </c>
      <c r="F110" s="362">
        <f>IF(C110=0,0,E110/C110)</f>
        <v>-0.58219964643263877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4280580</v>
      </c>
      <c r="D111" s="361">
        <f>LN_IC23-LN_IC24</f>
        <v>4295150</v>
      </c>
      <c r="E111" s="361">
        <f>D111-C111</f>
        <v>14570</v>
      </c>
      <c r="F111" s="362">
        <f>IF(C111=0,0,E111/C111)</f>
        <v>3.4037443524008427E-3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1699322.1653148436</v>
      </c>
      <c r="D113" s="361">
        <f>LN_IC10+LN_IC22</f>
        <v>1805766.8093079694</v>
      </c>
      <c r="E113" s="361">
        <f>D113-C113</f>
        <v>106444.64399312576</v>
      </c>
      <c r="F113" s="362">
        <f>IF(C113=0,0,E113/C113)</f>
        <v>6.2639472470721366E-2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4404387</v>
      </c>
      <c r="D118" s="361">
        <v>4417970</v>
      </c>
      <c r="E118" s="361">
        <f t="shared" ref="E118:E130" si="12">D118-C118</f>
        <v>13583</v>
      </c>
      <c r="F118" s="362">
        <f t="shared" ref="F118:F130" si="13">IF(C118=0,0,E118/C118)</f>
        <v>3.0839705956810788E-3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1436686</v>
      </c>
      <c r="D119" s="361">
        <v>1749046</v>
      </c>
      <c r="E119" s="361">
        <f t="shared" si="12"/>
        <v>312360</v>
      </c>
      <c r="F119" s="362">
        <f t="shared" si="13"/>
        <v>0.21741702779869784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0.32619431489558026</v>
      </c>
      <c r="D120" s="366">
        <f>IF(LN_ID1=0,0,LN_1D2/LN_ID1)</f>
        <v>0.39589358913709238</v>
      </c>
      <c r="E120" s="367">
        <f t="shared" si="12"/>
        <v>6.9699274241512121E-2</v>
      </c>
      <c r="F120" s="362">
        <f t="shared" si="13"/>
        <v>0.21367409258442752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236</v>
      </c>
      <c r="D121" s="369">
        <v>265</v>
      </c>
      <c r="E121" s="369">
        <f t="shared" si="12"/>
        <v>29</v>
      </c>
      <c r="F121" s="362">
        <f t="shared" si="13"/>
        <v>0.1228813559322034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0.8649</v>
      </c>
      <c r="D122" s="372">
        <v>0.7772</v>
      </c>
      <c r="E122" s="373">
        <f t="shared" si="12"/>
        <v>-8.77E-2</v>
      </c>
      <c r="F122" s="362">
        <f t="shared" si="13"/>
        <v>-0.10139900566539484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204.1164</v>
      </c>
      <c r="D123" s="376">
        <f>LN_ID4*LN_ID5</f>
        <v>205.958</v>
      </c>
      <c r="E123" s="376">
        <f t="shared" si="12"/>
        <v>1.8415999999999997</v>
      </c>
      <c r="F123" s="362">
        <f t="shared" si="13"/>
        <v>9.0223029604676527E-3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7038.5623105247787</v>
      </c>
      <c r="D124" s="378">
        <f>IF(LN_ID6=0,0,LN_1D2/LN_ID6)</f>
        <v>8492.2459919012617</v>
      </c>
      <c r="E124" s="378">
        <f t="shared" si="12"/>
        <v>1453.683681376483</v>
      </c>
      <c r="F124" s="362">
        <f t="shared" si="13"/>
        <v>0.2065313365490544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1278.5100713185557</v>
      </c>
      <c r="D125" s="378">
        <f>LN_IB7-LN_ID7</f>
        <v>137.78535396694861</v>
      </c>
      <c r="E125" s="378">
        <f t="shared" si="12"/>
        <v>-1140.7247173516071</v>
      </c>
      <c r="F125" s="362">
        <f t="shared" si="13"/>
        <v>-0.89222974690778345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620.0288887672059</v>
      </c>
      <c r="D126" s="378">
        <f>LN_IA7-LN_ID7</f>
        <v>-938.00491540303392</v>
      </c>
      <c r="E126" s="378">
        <f t="shared" si="12"/>
        <v>-1558.0338041702398</v>
      </c>
      <c r="F126" s="362">
        <f t="shared" si="13"/>
        <v>-2.5128406633891767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126558.0646711625</v>
      </c>
      <c r="D127" s="391">
        <f>LN_ID9*LN_ID6</f>
        <v>-193189.61636657806</v>
      </c>
      <c r="E127" s="391">
        <f t="shared" si="12"/>
        <v>-319747.68103774055</v>
      </c>
      <c r="F127" s="362">
        <f t="shared" si="13"/>
        <v>-2.5264899701851888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836</v>
      </c>
      <c r="D128" s="369">
        <v>889</v>
      </c>
      <c r="E128" s="369">
        <f t="shared" si="12"/>
        <v>53</v>
      </c>
      <c r="F128" s="362">
        <f t="shared" si="13"/>
        <v>6.3397129186602869E-2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1718.5239234449762</v>
      </c>
      <c r="D129" s="378">
        <f>IF(LN_ID11=0,0,LN_1D2/LN_ID11)</f>
        <v>1967.4308211473565</v>
      </c>
      <c r="E129" s="378">
        <f t="shared" si="12"/>
        <v>248.90689770238032</v>
      </c>
      <c r="F129" s="362">
        <f t="shared" si="13"/>
        <v>0.14483760994343228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3.5423728813559321</v>
      </c>
      <c r="D130" s="379">
        <f>IF(LN_ID4=0,0,LN_ID11/LN_ID4)</f>
        <v>3.3547169811320754</v>
      </c>
      <c r="E130" s="379">
        <f t="shared" si="12"/>
        <v>-0.1876559002238567</v>
      </c>
      <c r="F130" s="362">
        <f t="shared" si="13"/>
        <v>-5.2974632120610265E-2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14993613</v>
      </c>
      <c r="D133" s="361">
        <v>12991913</v>
      </c>
      <c r="E133" s="361">
        <f t="shared" ref="E133:E141" si="14">D133-C133</f>
        <v>-2001700</v>
      </c>
      <c r="F133" s="362">
        <f t="shared" ref="F133:F141" si="15">IF(C133=0,0,E133/C133)</f>
        <v>-0.1335035124622731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4063148</v>
      </c>
      <c r="D134" s="361">
        <v>3269852</v>
      </c>
      <c r="E134" s="361">
        <f t="shared" si="14"/>
        <v>-793296</v>
      </c>
      <c r="F134" s="362">
        <f t="shared" si="15"/>
        <v>-0.19524171898242446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0.27099192169359049</v>
      </c>
      <c r="D135" s="366">
        <f>IF(LN_ID14=0,0,LN_ID15/LN_ID14)</f>
        <v>0.25168364350962019</v>
      </c>
      <c r="E135" s="367">
        <f t="shared" si="14"/>
        <v>-1.9308278183970295E-2</v>
      </c>
      <c r="F135" s="362">
        <f t="shared" si="15"/>
        <v>-7.1250382901827197E-2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3.4042451310477486</v>
      </c>
      <c r="D136" s="366">
        <f>IF(LN_ID1=0,0,LN_ID14/LN_ID1)</f>
        <v>2.9406974243826918</v>
      </c>
      <c r="E136" s="367">
        <f t="shared" si="14"/>
        <v>-0.46354770666505685</v>
      </c>
      <c r="F136" s="362">
        <f t="shared" si="15"/>
        <v>-0.13616754634892803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803.4018509272687</v>
      </c>
      <c r="D137" s="376">
        <f>LN_ID17*LN_ID4</f>
        <v>779.28481746141335</v>
      </c>
      <c r="E137" s="376">
        <f t="shared" si="14"/>
        <v>-24.117033465855343</v>
      </c>
      <c r="F137" s="362">
        <f t="shared" si="15"/>
        <v>-3.0018643146042041E-2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5057.429224628253</v>
      </c>
      <c r="D138" s="378">
        <f>IF(LN_ID18=0,0,LN_ID15/LN_ID18)</f>
        <v>4195.9652321365911</v>
      </c>
      <c r="E138" s="378">
        <f t="shared" si="14"/>
        <v>-861.46399249166188</v>
      </c>
      <c r="F138" s="362">
        <f t="shared" si="15"/>
        <v>-0.17033634169245027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6156.3435622614561</v>
      </c>
      <c r="D139" s="378">
        <f>LN_IB18-LN_ID19</f>
        <v>6387.8034315145642</v>
      </c>
      <c r="E139" s="378">
        <f t="shared" si="14"/>
        <v>231.45986925310808</v>
      </c>
      <c r="F139" s="362">
        <f t="shared" si="15"/>
        <v>3.759697081754225E-2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1643.4380943584247</v>
      </c>
      <c r="D140" s="378">
        <f>LN_IA16-LN_ID19</f>
        <v>2902.8132002687944</v>
      </c>
      <c r="E140" s="378">
        <f t="shared" si="14"/>
        <v>1259.3751059103697</v>
      </c>
      <c r="F140" s="362">
        <f t="shared" si="15"/>
        <v>0.76630516855702568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1320341.2068919416</v>
      </c>
      <c r="D141" s="353">
        <f>LN_ID21*LN_ID18</f>
        <v>2262118.2548960485</v>
      </c>
      <c r="E141" s="353">
        <f t="shared" si="14"/>
        <v>941777.04800410685</v>
      </c>
      <c r="F141" s="362">
        <f t="shared" si="15"/>
        <v>0.71328308401510265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19398000</v>
      </c>
      <c r="D144" s="361">
        <f>LN_ID1+LN_ID14</f>
        <v>17409883</v>
      </c>
      <c r="E144" s="361">
        <f>D144-C144</f>
        <v>-1988117</v>
      </c>
      <c r="F144" s="362">
        <f>IF(C144=0,0,E144/C144)</f>
        <v>-0.10249082379626766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5499834</v>
      </c>
      <c r="D145" s="361">
        <f>LN_1D2+LN_ID15</f>
        <v>5018898</v>
      </c>
      <c r="E145" s="361">
        <f>D145-C145</f>
        <v>-480936</v>
      </c>
      <c r="F145" s="362">
        <f>IF(C145=0,0,E145/C145)</f>
        <v>-8.7445548356550398E-2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13898166</v>
      </c>
      <c r="D146" s="361">
        <f>LN_ID23-LN_ID24</f>
        <v>12390985</v>
      </c>
      <c r="E146" s="361">
        <f>D146-C146</f>
        <v>-1507181</v>
      </c>
      <c r="F146" s="362">
        <f>IF(C146=0,0,E146/C146)</f>
        <v>-0.10844459621506895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1446899.2715631041</v>
      </c>
      <c r="D148" s="361">
        <f>LN_ID10+LN_ID22</f>
        <v>2068928.6385294704</v>
      </c>
      <c r="E148" s="361">
        <f>D148-C148</f>
        <v>622029.3669663663</v>
      </c>
      <c r="F148" s="415">
        <f>IF(C148=0,0,E148/C148)</f>
        <v>0.4299050937349494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495349</v>
      </c>
      <c r="D153" s="361">
        <v>72562</v>
      </c>
      <c r="E153" s="361">
        <f t="shared" ref="E153:E165" si="16">D153-C153</f>
        <v>-422787</v>
      </c>
      <c r="F153" s="362">
        <f t="shared" ref="F153:F165" si="17">IF(C153=0,0,E153/C153)</f>
        <v>-0.85351338147447553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155721</v>
      </c>
      <c r="D154" s="361">
        <v>28844</v>
      </c>
      <c r="E154" s="361">
        <f t="shared" si="16"/>
        <v>-126877</v>
      </c>
      <c r="F154" s="362">
        <f t="shared" si="17"/>
        <v>-0.81477128967833501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0.31436623471532193</v>
      </c>
      <c r="D155" s="366">
        <f>IF(LN_IE1=0,0,LN_IE2/LN_IE1)</f>
        <v>0.39750833769741739</v>
      </c>
      <c r="E155" s="367">
        <f t="shared" si="16"/>
        <v>8.3142102982095456E-2</v>
      </c>
      <c r="F155" s="362">
        <f t="shared" si="17"/>
        <v>0.26447529601067293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6</v>
      </c>
      <c r="D156" s="419">
        <v>8</v>
      </c>
      <c r="E156" s="419">
        <f t="shared" si="16"/>
        <v>2</v>
      </c>
      <c r="F156" s="362">
        <f t="shared" si="17"/>
        <v>0.33333333333333331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1.4402999999999999</v>
      </c>
      <c r="D157" s="372">
        <v>0.752</v>
      </c>
      <c r="E157" s="373">
        <f t="shared" si="16"/>
        <v>-0.68829999999999991</v>
      </c>
      <c r="F157" s="362">
        <f t="shared" si="17"/>
        <v>-0.47788655141290004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8.6417999999999999</v>
      </c>
      <c r="D158" s="376">
        <f>LN_IE4*LN_IE5</f>
        <v>6.016</v>
      </c>
      <c r="E158" s="376">
        <f t="shared" si="16"/>
        <v>-2.6257999999999999</v>
      </c>
      <c r="F158" s="362">
        <f t="shared" si="17"/>
        <v>-0.30384873521720013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18019.509824342153</v>
      </c>
      <c r="D159" s="378">
        <f>IF(LN_IE6=0,0,LN_IE2/LN_IE6)</f>
        <v>4794.5478723404258</v>
      </c>
      <c r="E159" s="378">
        <f t="shared" si="16"/>
        <v>-13224.961952001726</v>
      </c>
      <c r="F159" s="362">
        <f t="shared" si="17"/>
        <v>-0.73392462286273852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-9702.4374424988182</v>
      </c>
      <c r="D160" s="378">
        <f>LN_IB7-LN_IE7</f>
        <v>3835.4834735277846</v>
      </c>
      <c r="E160" s="378">
        <f t="shared" si="16"/>
        <v>13537.920916026604</v>
      </c>
      <c r="F160" s="362">
        <f t="shared" si="17"/>
        <v>-1.3953113324624513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-10360.918625050168</v>
      </c>
      <c r="D161" s="378">
        <f>LN_IA7-LN_IE7</f>
        <v>2759.693204157802</v>
      </c>
      <c r="E161" s="378">
        <f t="shared" si="16"/>
        <v>13120.61182920797</v>
      </c>
      <c r="F161" s="362">
        <f t="shared" si="17"/>
        <v>-1.2663560350223713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-89536.986573958537</v>
      </c>
      <c r="D162" s="391">
        <f>LN_IE9*LN_IE6</f>
        <v>16602.314316213338</v>
      </c>
      <c r="E162" s="391">
        <f t="shared" si="16"/>
        <v>106139.30089017187</v>
      </c>
      <c r="F162" s="362">
        <f t="shared" si="17"/>
        <v>-1.1854240906633555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63</v>
      </c>
      <c r="D163" s="369">
        <v>11</v>
      </c>
      <c r="E163" s="419">
        <f t="shared" si="16"/>
        <v>-52</v>
      </c>
      <c r="F163" s="362">
        <f t="shared" si="17"/>
        <v>-0.82539682539682535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2471.7619047619046</v>
      </c>
      <c r="D164" s="378">
        <f>IF(LN_IE11=0,0,LN_IE2/LN_IE11)</f>
        <v>2622.181818181818</v>
      </c>
      <c r="E164" s="378">
        <f t="shared" si="16"/>
        <v>150.41991341991343</v>
      </c>
      <c r="F164" s="362">
        <f t="shared" si="17"/>
        <v>6.085534093317245E-2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10.5</v>
      </c>
      <c r="D165" s="379">
        <f>IF(LN_IE4=0,0,LN_IE11/LN_IE4)</f>
        <v>1.375</v>
      </c>
      <c r="E165" s="379">
        <f t="shared" si="16"/>
        <v>-9.125</v>
      </c>
      <c r="F165" s="362">
        <f t="shared" si="17"/>
        <v>-0.86904761904761907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386445</v>
      </c>
      <c r="D168" s="424">
        <v>388158</v>
      </c>
      <c r="E168" s="424">
        <f t="shared" ref="E168:E176" si="18">D168-C168</f>
        <v>1713</v>
      </c>
      <c r="F168" s="362">
        <f t="shared" ref="F168:F176" si="19">IF(C168=0,0,E168/C168)</f>
        <v>4.4327135814928387E-3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100211</v>
      </c>
      <c r="D169" s="424">
        <v>98344</v>
      </c>
      <c r="E169" s="424">
        <f t="shared" si="18"/>
        <v>-1867</v>
      </c>
      <c r="F169" s="362">
        <f t="shared" si="19"/>
        <v>-1.8630689245691591E-2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0.25931503836250952</v>
      </c>
      <c r="D170" s="366">
        <f>IF(LN_IE14=0,0,LN_IE15/LN_IE14)</f>
        <v>0.25336074485132343</v>
      </c>
      <c r="E170" s="367">
        <f t="shared" si="18"/>
        <v>-5.9542935111860928E-3</v>
      </c>
      <c r="F170" s="362">
        <f t="shared" si="19"/>
        <v>-2.2961620539963774E-2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0.78014692671227759</v>
      </c>
      <c r="D171" s="366">
        <f>IF(LN_IE1=0,0,LN_IE14/LN_IE1)</f>
        <v>5.3493288498111964</v>
      </c>
      <c r="E171" s="367">
        <f t="shared" si="18"/>
        <v>4.5691819230989186</v>
      </c>
      <c r="F171" s="362">
        <f t="shared" si="19"/>
        <v>5.8568223069909724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4.6808815602736651</v>
      </c>
      <c r="D172" s="376">
        <f>LN_IE17*LN_IE4</f>
        <v>42.794630798489571</v>
      </c>
      <c r="E172" s="376">
        <f t="shared" si="18"/>
        <v>38.113749238215902</v>
      </c>
      <c r="F172" s="362">
        <f t="shared" si="19"/>
        <v>8.1424297426546293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21408.574156305127</v>
      </c>
      <c r="D173" s="378">
        <f>IF(LN_IE18=0,0,LN_IE15/LN_IE18)</f>
        <v>2298.0452959877161</v>
      </c>
      <c r="E173" s="378">
        <f t="shared" si="18"/>
        <v>-19110.528860317412</v>
      </c>
      <c r="F173" s="362">
        <f t="shared" si="19"/>
        <v>-0.89265771371743097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-10194.801369415418</v>
      </c>
      <c r="D174" s="378">
        <f>LN_IB18-LN_IE19</f>
        <v>8285.7233676634387</v>
      </c>
      <c r="E174" s="378">
        <f t="shared" si="18"/>
        <v>18480.524737078857</v>
      </c>
      <c r="F174" s="362">
        <f t="shared" si="19"/>
        <v>-1.8127400493079495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-14707.706837318448</v>
      </c>
      <c r="D175" s="378">
        <f>LN_IA16-LN_IE19</f>
        <v>4800.7331364176698</v>
      </c>
      <c r="E175" s="378">
        <f t="shared" si="18"/>
        <v>19508.439973736116</v>
      </c>
      <c r="F175" s="362">
        <f t="shared" si="19"/>
        <v>-1.3264093573198357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-68845.033728714829</v>
      </c>
      <c r="D176" s="353">
        <f>LN_IE21*LN_IE18</f>
        <v>205445.60213506906</v>
      </c>
      <c r="E176" s="353">
        <f t="shared" si="18"/>
        <v>274290.63586378389</v>
      </c>
      <c r="F176" s="362">
        <f t="shared" si="19"/>
        <v>-3.9841746166416501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881794</v>
      </c>
      <c r="D179" s="361">
        <f>LN_IE1+LN_IE14</f>
        <v>460720</v>
      </c>
      <c r="E179" s="361">
        <f>D179-C179</f>
        <v>-421074</v>
      </c>
      <c r="F179" s="362">
        <f>IF(C179=0,0,E179/C179)</f>
        <v>-0.47751969280807083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255932</v>
      </c>
      <c r="D180" s="361">
        <f>LN_IE15+LN_IE2</f>
        <v>127188</v>
      </c>
      <c r="E180" s="361">
        <f>D180-C180</f>
        <v>-128744</v>
      </c>
      <c r="F180" s="362">
        <f>IF(C180=0,0,E180/C180)</f>
        <v>-0.50303986996545957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625862</v>
      </c>
      <c r="D181" s="361">
        <f>LN_IE23-LN_IE24</f>
        <v>333532</v>
      </c>
      <c r="E181" s="361">
        <f>D181-C181</f>
        <v>-292330</v>
      </c>
      <c r="F181" s="362">
        <f>IF(C181=0,0,E181/C181)</f>
        <v>-0.46708379802576289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-158382.02030267337</v>
      </c>
      <c r="D183" s="361">
        <f>LN_IE10+LN_IE22</f>
        <v>222047.91645128239</v>
      </c>
      <c r="E183" s="353">
        <f>D183-C183</f>
        <v>380429.93675395579</v>
      </c>
      <c r="F183" s="362">
        <f>IF(C183=0,0,E183/C183)</f>
        <v>-2.401976790212307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4899736</v>
      </c>
      <c r="D188" s="361">
        <f>LN_ID1+LN_IE1</f>
        <v>4490532</v>
      </c>
      <c r="E188" s="361">
        <f t="shared" ref="E188:E200" si="20">D188-C188</f>
        <v>-409204</v>
      </c>
      <c r="F188" s="362">
        <f t="shared" ref="F188:F200" si="21">IF(C188=0,0,E188/C188)</f>
        <v>-8.3515520019854128E-2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1592407</v>
      </c>
      <c r="D189" s="361">
        <f>LN_1D2+LN_IE2</f>
        <v>1777890</v>
      </c>
      <c r="E189" s="361">
        <f t="shared" si="20"/>
        <v>185483</v>
      </c>
      <c r="F189" s="362">
        <f t="shared" si="21"/>
        <v>0.11647964370917736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0.32499853053307359</v>
      </c>
      <c r="D190" s="366">
        <f>IF(LN_IF1=0,0,LN_IF2/LN_IF1)</f>
        <v>0.39591968167691488</v>
      </c>
      <c r="E190" s="367">
        <f t="shared" si="20"/>
        <v>7.0921151143841288E-2</v>
      </c>
      <c r="F190" s="362">
        <f t="shared" si="21"/>
        <v>0.21821991326395851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242</v>
      </c>
      <c r="D191" s="369">
        <f>LN_ID4+LN_IE4</f>
        <v>273</v>
      </c>
      <c r="E191" s="369">
        <f t="shared" si="20"/>
        <v>31</v>
      </c>
      <c r="F191" s="362">
        <f t="shared" si="21"/>
        <v>0.128099173553719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0.87916611570247927</v>
      </c>
      <c r="D192" s="372">
        <f>IF((LN_ID4+LN_IE4)=0,0,(LN_ID6+LN_IE6)/(LN_ID4+LN_IE4))</f>
        <v>0.77646153846153843</v>
      </c>
      <c r="E192" s="373">
        <f t="shared" si="20"/>
        <v>-0.10270457724094084</v>
      </c>
      <c r="F192" s="362">
        <f t="shared" si="21"/>
        <v>-0.1168204454272864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212.75819999999999</v>
      </c>
      <c r="D193" s="376">
        <f>LN_IF4*LN_IF5</f>
        <v>211.97399999999999</v>
      </c>
      <c r="E193" s="376">
        <f t="shared" si="20"/>
        <v>-0.78419999999999845</v>
      </c>
      <c r="F193" s="362">
        <f t="shared" si="21"/>
        <v>-3.6858743869801424E-3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7484.5857879978312</v>
      </c>
      <c r="D194" s="378">
        <f>IF(LN_IF6=0,0,LN_IF2/LN_IF6)</f>
        <v>8387.3022163095484</v>
      </c>
      <c r="E194" s="378">
        <f t="shared" si="20"/>
        <v>902.71642831171721</v>
      </c>
      <c r="F194" s="362">
        <f t="shared" si="21"/>
        <v>0.12061007167013833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832.48659384550319</v>
      </c>
      <c r="D195" s="378">
        <f>LN_IB7-LN_IF7</f>
        <v>242.72912955866195</v>
      </c>
      <c r="E195" s="378">
        <f t="shared" si="20"/>
        <v>-589.75746428684124</v>
      </c>
      <c r="F195" s="362">
        <f t="shared" si="21"/>
        <v>-0.7084287826937562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174.00541129415342</v>
      </c>
      <c r="D196" s="378">
        <f>LN_IA7-LN_IF7</f>
        <v>-833.06113981132057</v>
      </c>
      <c r="E196" s="378">
        <f t="shared" si="20"/>
        <v>-1007.066551105474</v>
      </c>
      <c r="F196" s="362">
        <f t="shared" si="21"/>
        <v>-5.7875588098984103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37021.078097203965</v>
      </c>
      <c r="D197" s="391">
        <f>LN_IF9*LN_IF6</f>
        <v>-176587.30205036484</v>
      </c>
      <c r="E197" s="391">
        <f t="shared" si="20"/>
        <v>-213608.38014756882</v>
      </c>
      <c r="F197" s="362">
        <f t="shared" si="21"/>
        <v>-5.769912469504817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899</v>
      </c>
      <c r="D198" s="369">
        <f>LN_ID11+LN_IE11</f>
        <v>900</v>
      </c>
      <c r="E198" s="369">
        <f t="shared" si="20"/>
        <v>1</v>
      </c>
      <c r="F198" s="362">
        <f t="shared" si="21"/>
        <v>1.1123470522803114E-3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1771.3092324805339</v>
      </c>
      <c r="D199" s="432">
        <f>IF(LN_IF11=0,0,LN_IF2/LN_IF11)</f>
        <v>1975.4333333333334</v>
      </c>
      <c r="E199" s="432">
        <f t="shared" si="20"/>
        <v>204.12410085279953</v>
      </c>
      <c r="F199" s="362">
        <f t="shared" si="21"/>
        <v>0.1152391107717228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3.7148760330578514</v>
      </c>
      <c r="D200" s="379">
        <f>IF(LN_IF4=0,0,LN_IF11/LN_IF4)</f>
        <v>3.2967032967032965</v>
      </c>
      <c r="E200" s="379">
        <f t="shared" si="20"/>
        <v>-0.41817273635455487</v>
      </c>
      <c r="F200" s="362">
        <f t="shared" si="21"/>
        <v>-0.11256707697197138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15380058</v>
      </c>
      <c r="D203" s="361">
        <f>LN_ID14+LN_IE14</f>
        <v>13380071</v>
      </c>
      <c r="E203" s="361">
        <f t="shared" ref="E203:E211" si="22">D203-C203</f>
        <v>-1999987</v>
      </c>
      <c r="F203" s="362">
        <f t="shared" ref="F203:F211" si="23">IF(C203=0,0,E203/C203)</f>
        <v>-0.13003767606077948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4163359</v>
      </c>
      <c r="D204" s="361">
        <f>LN_ID15+LN_IE15</f>
        <v>3368196</v>
      </c>
      <c r="E204" s="361">
        <f t="shared" si="22"/>
        <v>-795163</v>
      </c>
      <c r="F204" s="362">
        <f t="shared" si="23"/>
        <v>-0.19099073608593445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0.27069852402377154</v>
      </c>
      <c r="D205" s="366">
        <f>IF(LN_IF14=0,0,LN_IF15/LN_IF14)</f>
        <v>0.25173229648781387</v>
      </c>
      <c r="E205" s="367">
        <f t="shared" si="22"/>
        <v>-1.8966227535957669E-2</v>
      </c>
      <c r="F205" s="362">
        <f t="shared" si="23"/>
        <v>-7.0064022714405857E-2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3.1389564662259355</v>
      </c>
      <c r="D206" s="366">
        <f>IF(LN_IF1=0,0,LN_IF14/LN_IF1)</f>
        <v>2.9796182278625341</v>
      </c>
      <c r="E206" s="367">
        <f t="shared" si="22"/>
        <v>-0.15933823836340144</v>
      </c>
      <c r="F206" s="362">
        <f t="shared" si="23"/>
        <v>-5.0761531763127234E-2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808.08273248754233</v>
      </c>
      <c r="D207" s="376">
        <f>LN_ID18+LN_IE18</f>
        <v>822.07944825990296</v>
      </c>
      <c r="E207" s="376">
        <f t="shared" si="22"/>
        <v>13.996715772360631</v>
      </c>
      <c r="F207" s="362">
        <f t="shared" si="23"/>
        <v>1.7320894519394284E-2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5152.1444929083218</v>
      </c>
      <c r="D208" s="378">
        <f>IF(LN_IF18=0,0,LN_IF15/LN_IF18)</f>
        <v>4097.1660429286567</v>
      </c>
      <c r="E208" s="378">
        <f t="shared" si="22"/>
        <v>-1054.9784499796651</v>
      </c>
      <c r="F208" s="362">
        <f t="shared" si="23"/>
        <v>-0.20476491904134134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6061.6282939813873</v>
      </c>
      <c r="D209" s="378">
        <f>LN_IB18-LN_IF19</f>
        <v>6486.6026207224986</v>
      </c>
      <c r="E209" s="378">
        <f t="shared" si="22"/>
        <v>424.97432674111133</v>
      </c>
      <c r="F209" s="362">
        <f t="shared" si="23"/>
        <v>7.0108938742263344E-2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1548.7228260783559</v>
      </c>
      <c r="D210" s="378">
        <f>LN_IA16-LN_IF19</f>
        <v>3001.6123894767288</v>
      </c>
      <c r="E210" s="378">
        <f t="shared" si="22"/>
        <v>1452.889563398373</v>
      </c>
      <c r="F210" s="362">
        <f t="shared" si="23"/>
        <v>0.93812110142222804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1251496.1731632268</v>
      </c>
      <c r="D211" s="353">
        <f>LN_IF21*LN_IF18</f>
        <v>2467563.8570311181</v>
      </c>
      <c r="E211" s="353">
        <f t="shared" si="22"/>
        <v>1216067.6838678913</v>
      </c>
      <c r="F211" s="362">
        <f t="shared" si="23"/>
        <v>0.97169109258577435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20279794</v>
      </c>
      <c r="D214" s="361">
        <f>LN_IF1+LN_IF14</f>
        <v>17870603</v>
      </c>
      <c r="E214" s="361">
        <f>D214-C214</f>
        <v>-2409191</v>
      </c>
      <c r="F214" s="362">
        <f>IF(C214=0,0,E214/C214)</f>
        <v>-0.11879760711573303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5755766</v>
      </c>
      <c r="D215" s="361">
        <f>LN_IF2+LN_IF15</f>
        <v>5146086</v>
      </c>
      <c r="E215" s="361">
        <f>D215-C215</f>
        <v>-609680</v>
      </c>
      <c r="F215" s="362">
        <f>IF(C215=0,0,E215/C215)</f>
        <v>-0.10592508451524958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14524028</v>
      </c>
      <c r="D216" s="361">
        <f>LN_IF23-LN_IF24</f>
        <v>12724517</v>
      </c>
      <c r="E216" s="361">
        <f>D216-C216</f>
        <v>-1799511</v>
      </c>
      <c r="F216" s="362">
        <f>IF(C216=0,0,E216/C216)</f>
        <v>-0.12389889361270855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206461</v>
      </c>
      <c r="D221" s="361">
        <v>108538</v>
      </c>
      <c r="E221" s="361">
        <f t="shared" ref="E221:E230" si="24">D221-C221</f>
        <v>-97923</v>
      </c>
      <c r="F221" s="362">
        <f t="shared" ref="F221:F230" si="25">IF(C221=0,0,E221/C221)</f>
        <v>-0.47429296574171392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41553</v>
      </c>
      <c r="D222" s="361">
        <v>35808</v>
      </c>
      <c r="E222" s="361">
        <f t="shared" si="24"/>
        <v>-5745</v>
      </c>
      <c r="F222" s="362">
        <f t="shared" si="25"/>
        <v>-0.13825716554761389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0.2012631925642131</v>
      </c>
      <c r="D223" s="366">
        <f>IF(LN_IG1=0,0,LN_IG2/LN_IG1)</f>
        <v>0.32991210451639058</v>
      </c>
      <c r="E223" s="367">
        <f t="shared" si="24"/>
        <v>0.12864891195217748</v>
      </c>
      <c r="F223" s="362">
        <f t="shared" si="25"/>
        <v>0.63920734990394235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7</v>
      </c>
      <c r="D224" s="369">
        <v>9</v>
      </c>
      <c r="E224" s="369">
        <f t="shared" si="24"/>
        <v>2</v>
      </c>
      <c r="F224" s="362">
        <f t="shared" si="25"/>
        <v>0.2857142857142857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1.1586000000000001</v>
      </c>
      <c r="D225" s="372">
        <v>0.77890000000000004</v>
      </c>
      <c r="E225" s="373">
        <f t="shared" si="24"/>
        <v>-0.37970000000000004</v>
      </c>
      <c r="F225" s="362">
        <f t="shared" si="25"/>
        <v>-0.32772311410322802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8.1102000000000007</v>
      </c>
      <c r="D226" s="376">
        <f>LN_IG3*LN_IG4</f>
        <v>7.0101000000000004</v>
      </c>
      <c r="E226" s="376">
        <f t="shared" si="24"/>
        <v>-1.1001000000000003</v>
      </c>
      <c r="F226" s="362">
        <f t="shared" si="25"/>
        <v>-0.1356440038470075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5123.5481245838573</v>
      </c>
      <c r="D227" s="378">
        <f>IF(LN_IG5=0,0,LN_IG2/LN_IG5)</f>
        <v>5108.0583729190739</v>
      </c>
      <c r="E227" s="378">
        <f t="shared" si="24"/>
        <v>-15.489751664783398</v>
      </c>
      <c r="F227" s="362">
        <f t="shared" si="25"/>
        <v>-3.0232470327467647E-3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31</v>
      </c>
      <c r="D228" s="369">
        <v>27</v>
      </c>
      <c r="E228" s="369">
        <f t="shared" si="24"/>
        <v>-4</v>
      </c>
      <c r="F228" s="362">
        <f t="shared" si="25"/>
        <v>-0.12903225806451613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1340.4193548387098</v>
      </c>
      <c r="D229" s="378">
        <f>IF(LN_IG6=0,0,LN_IG2/LN_IG6)</f>
        <v>1326.2222222222222</v>
      </c>
      <c r="E229" s="378">
        <f t="shared" si="24"/>
        <v>-14.197132616487579</v>
      </c>
      <c r="F229" s="362">
        <f t="shared" si="25"/>
        <v>-1.0591560443556781E-2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4.4285714285714288</v>
      </c>
      <c r="D230" s="379">
        <f>IF(LN_IG3=0,0,LN_IG6/LN_IG3)</f>
        <v>3</v>
      </c>
      <c r="E230" s="379">
        <f t="shared" si="24"/>
        <v>-1.4285714285714288</v>
      </c>
      <c r="F230" s="362">
        <f t="shared" si="25"/>
        <v>-0.32258064516129037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276437</v>
      </c>
      <c r="D233" s="361">
        <v>284523</v>
      </c>
      <c r="E233" s="361">
        <f>D233-C233</f>
        <v>8086</v>
      </c>
      <c r="F233" s="362">
        <f>IF(C233=0,0,E233/C233)</f>
        <v>2.9250787702080401E-2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70301</v>
      </c>
      <c r="D234" s="361">
        <v>65299</v>
      </c>
      <c r="E234" s="361">
        <f>D234-C234</f>
        <v>-5002</v>
      </c>
      <c r="F234" s="362">
        <f>IF(C234=0,0,E234/C234)</f>
        <v>-7.1151192728410695E-2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482898</v>
      </c>
      <c r="D237" s="361">
        <f>LN_IG1+LN_IG9</f>
        <v>393061</v>
      </c>
      <c r="E237" s="361">
        <f>D237-C237</f>
        <v>-89837</v>
      </c>
      <c r="F237" s="362">
        <f>IF(C237=0,0,E237/C237)</f>
        <v>-0.18603721696921502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111854</v>
      </c>
      <c r="D238" s="361">
        <f>LN_IG2+LN_IG10</f>
        <v>101107</v>
      </c>
      <c r="E238" s="361">
        <f>D238-C238</f>
        <v>-10747</v>
      </c>
      <c r="F238" s="362">
        <f>IF(C238=0,0,E238/C238)</f>
        <v>-9.6080605074472081E-2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371044</v>
      </c>
      <c r="D239" s="361">
        <f>LN_IG13-LN_IG14</f>
        <v>291954</v>
      </c>
      <c r="E239" s="361">
        <f>D239-C239</f>
        <v>-79090</v>
      </c>
      <c r="F239" s="362">
        <f>IF(C239=0,0,E239/C239)</f>
        <v>-0.21315531311650371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3223427</v>
      </c>
      <c r="D243" s="361">
        <v>1244665</v>
      </c>
      <c r="E243" s="353">
        <f>D243-C243</f>
        <v>-1978762</v>
      </c>
      <c r="F243" s="415">
        <f>IF(C243=0,0,E243/C243)</f>
        <v>-0.61386902821127953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93915766</v>
      </c>
      <c r="D244" s="361">
        <v>88958809</v>
      </c>
      <c r="E244" s="353">
        <f>D244-C244</f>
        <v>-4956957</v>
      </c>
      <c r="F244" s="415">
        <f>IF(C244=0,0,E244/C244)</f>
        <v>-5.2780882391993696E-2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1734591</v>
      </c>
      <c r="D248" s="353">
        <v>1181756</v>
      </c>
      <c r="E248" s="353">
        <f>D248-C248</f>
        <v>-552835</v>
      </c>
      <c r="F248" s="362">
        <f>IF(C248=0,0,E248/C248)</f>
        <v>-0.3187120191445707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2545989</v>
      </c>
      <c r="D249" s="353">
        <v>3125172</v>
      </c>
      <c r="E249" s="353">
        <f>D249-C249</f>
        <v>579183</v>
      </c>
      <c r="F249" s="362">
        <f>IF(C249=0,0,E249/C249)</f>
        <v>0.22748841412904769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4280580</v>
      </c>
      <c r="D250" s="353">
        <f>LN_IH4+LN_IH5</f>
        <v>4306928</v>
      </c>
      <c r="E250" s="353">
        <f>D250-C250</f>
        <v>26348</v>
      </c>
      <c r="F250" s="362">
        <f>IF(C250=0,0,E250/C250)</f>
        <v>6.1552406449593283E-3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1574280.1790671933</v>
      </c>
      <c r="D251" s="353">
        <f>LN_IH6*LN_III10</f>
        <v>1603253.0913679437</v>
      </c>
      <c r="E251" s="353">
        <f>D251-C251</f>
        <v>28972.91230075038</v>
      </c>
      <c r="F251" s="362">
        <f>IF(C251=0,0,E251/C251)</f>
        <v>1.8403910997544078E-2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20279794</v>
      </c>
      <c r="D254" s="353">
        <f>LN_IF23</f>
        <v>17870603</v>
      </c>
      <c r="E254" s="353">
        <f>D254-C254</f>
        <v>-2409191</v>
      </c>
      <c r="F254" s="362">
        <f>IF(C254=0,0,E254/C254)</f>
        <v>-0.11879760711573303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5755766</v>
      </c>
      <c r="D255" s="353">
        <f>LN_IF24</f>
        <v>5146086</v>
      </c>
      <c r="E255" s="353">
        <f>D255-C255</f>
        <v>-609680</v>
      </c>
      <c r="F255" s="362">
        <f>IF(C255=0,0,E255/C255)</f>
        <v>-0.10592508451524958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7458353.2441318212</v>
      </c>
      <c r="D256" s="353">
        <f>LN_IH8*LN_III10</f>
        <v>6652328.4123531319</v>
      </c>
      <c r="E256" s="353">
        <f>D256-C256</f>
        <v>-806024.83177868929</v>
      </c>
      <c r="F256" s="362">
        <f>IF(C256=0,0,E256/C256)</f>
        <v>-0.10807008000229325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1702587.2441318212</v>
      </c>
      <c r="D257" s="353">
        <f>LN_IH10-LN_IH9</f>
        <v>1506242.4123531319</v>
      </c>
      <c r="E257" s="353">
        <f>D257-C257</f>
        <v>-196344.83177868929</v>
      </c>
      <c r="F257" s="362">
        <f>IF(C257=0,0,E257/C257)</f>
        <v>-0.11532145119459586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67481950</v>
      </c>
      <c r="D261" s="361">
        <f>LN_IA1+LN_IB1+LN_IF1+LN_IG1</f>
        <v>57109530</v>
      </c>
      <c r="E261" s="361">
        <f t="shared" ref="E261:E274" si="26">D261-C261</f>
        <v>-10372420</v>
      </c>
      <c r="F261" s="415">
        <f t="shared" ref="F261:F274" si="27">IF(C261=0,0,E261/C261)</f>
        <v>-0.15370658376054633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24278497</v>
      </c>
      <c r="D262" s="361">
        <f>+LN_IA2+LN_IB2+LN_IF2+LN_IG2</f>
        <v>21080157</v>
      </c>
      <c r="E262" s="361">
        <f t="shared" si="26"/>
        <v>-3198340</v>
      </c>
      <c r="F262" s="415">
        <f t="shared" si="27"/>
        <v>-0.1317355024077479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0.3597776442441275</v>
      </c>
      <c r="D263" s="366">
        <f>IF(LN_IIA1=0,0,LN_IIA2/LN_IIA1)</f>
        <v>0.36911802636092433</v>
      </c>
      <c r="E263" s="367">
        <f t="shared" si="26"/>
        <v>9.3403821167968304E-3</v>
      </c>
      <c r="F263" s="371">
        <f t="shared" si="27"/>
        <v>2.5961541152509475E-2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2516</v>
      </c>
      <c r="D264" s="369">
        <f>LN_IA4+LN_IB4+LN_IF4+LN_IG3</f>
        <v>2288</v>
      </c>
      <c r="E264" s="369">
        <f t="shared" si="26"/>
        <v>-228</v>
      </c>
      <c r="F264" s="415">
        <f t="shared" si="27"/>
        <v>-9.0620031796502382E-2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1.2217593402225755</v>
      </c>
      <c r="D265" s="439">
        <f>IF(LN_IIA4=0,0,LN_IIA6/LN_IIA4)</f>
        <v>1.1530093094405596</v>
      </c>
      <c r="E265" s="439">
        <f t="shared" si="26"/>
        <v>-6.8750030782015914E-2</v>
      </c>
      <c r="F265" s="415">
        <f t="shared" si="27"/>
        <v>-5.6271336357855299E-2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3073.9465</v>
      </c>
      <c r="D266" s="376">
        <f>LN_IA6+LN_IB6+LN_IF6+LN_IG5</f>
        <v>2638.0853000000002</v>
      </c>
      <c r="E266" s="376">
        <f t="shared" si="26"/>
        <v>-435.86119999999983</v>
      </c>
      <c r="F266" s="415">
        <f t="shared" si="27"/>
        <v>-0.14179205786437721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171003946</v>
      </c>
      <c r="D267" s="361">
        <f>LN_IA11+LN_IB13+LN_IF14+LN_IG9</f>
        <v>147272097</v>
      </c>
      <c r="E267" s="361">
        <f t="shared" si="26"/>
        <v>-23731849</v>
      </c>
      <c r="F267" s="415">
        <f t="shared" si="27"/>
        <v>-0.13877954021014227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2.5340694215267936</v>
      </c>
      <c r="D268" s="366">
        <f>IF(LN_IIA1=0,0,LN_IIA7/LN_IIA1)</f>
        <v>2.5787656981242884</v>
      </c>
      <c r="E268" s="367">
        <f t="shared" si="26"/>
        <v>4.4696276597494755E-2</v>
      </c>
      <c r="F268" s="371">
        <f t="shared" si="27"/>
        <v>1.7638142119470804E-2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63430090</v>
      </c>
      <c r="D269" s="361">
        <f>LN_IA12+LN_IB14+LN_IF15+LN_IG10</f>
        <v>56586095</v>
      </c>
      <c r="E269" s="361">
        <f t="shared" si="26"/>
        <v>-6843995</v>
      </c>
      <c r="F269" s="415">
        <f t="shared" si="27"/>
        <v>-0.10789823883270543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0.3709276392955283</v>
      </c>
      <c r="D270" s="366">
        <f>IF(LN_IIA7=0,0,LN_IIA9/LN_IIA7)</f>
        <v>0.38422821534210921</v>
      </c>
      <c r="E270" s="367">
        <f t="shared" si="26"/>
        <v>1.3300576046580914E-2</v>
      </c>
      <c r="F270" s="371">
        <f t="shared" si="27"/>
        <v>3.5857603040424763E-2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238485896</v>
      </c>
      <c r="D271" s="353">
        <f>LN_IIA1+LN_IIA7</f>
        <v>204381627</v>
      </c>
      <c r="E271" s="353">
        <f t="shared" si="26"/>
        <v>-34104269</v>
      </c>
      <c r="F271" s="415">
        <f t="shared" si="27"/>
        <v>-0.14300329525566577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87708587</v>
      </c>
      <c r="D272" s="353">
        <f>LN_IIA2+LN_IIA9</f>
        <v>77666252</v>
      </c>
      <c r="E272" s="353">
        <f t="shared" si="26"/>
        <v>-10042335</v>
      </c>
      <c r="F272" s="415">
        <f t="shared" si="27"/>
        <v>-0.11449659997372891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0.36777263759027495</v>
      </c>
      <c r="D273" s="366">
        <f>IF(LN_IIA11=0,0,LN_IIA12/LN_IIA11)</f>
        <v>0.38000603645258191</v>
      </c>
      <c r="E273" s="367">
        <f t="shared" si="26"/>
        <v>1.2233398862306955E-2</v>
      </c>
      <c r="F273" s="371">
        <f t="shared" si="27"/>
        <v>3.3263482956379799E-2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9347</v>
      </c>
      <c r="D274" s="421">
        <f>LN_IA8+LN_IB10+LN_IF11+LN_IG6</f>
        <v>8537</v>
      </c>
      <c r="E274" s="442">
        <f t="shared" si="26"/>
        <v>-810</v>
      </c>
      <c r="F274" s="371">
        <f t="shared" si="27"/>
        <v>-8.6658821012089438E-2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43587628</v>
      </c>
      <c r="D277" s="361">
        <f>LN_IA1+LN_IF1+LN_IG1</f>
        <v>38981277</v>
      </c>
      <c r="E277" s="361">
        <f t="shared" ref="E277:E291" si="28">D277-C277</f>
        <v>-4606351</v>
      </c>
      <c r="F277" s="415">
        <f t="shared" ref="F277:F291" si="29">IF(C277=0,0,E277/C277)</f>
        <v>-0.105680240273685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14250004</v>
      </c>
      <c r="D278" s="361">
        <f>LN_IA2+LN_IF2+LN_IG2</f>
        <v>13122412</v>
      </c>
      <c r="E278" s="361">
        <f t="shared" si="28"/>
        <v>-1127592</v>
      </c>
      <c r="F278" s="415">
        <f t="shared" si="29"/>
        <v>-7.9129240946177987E-2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0.32692772361918848</v>
      </c>
      <c r="D279" s="366">
        <f>IF(D277=0,0,LN_IIB2/D277)</f>
        <v>0.33663371264107123</v>
      </c>
      <c r="E279" s="367">
        <f t="shared" si="28"/>
        <v>9.7059890218827438E-3</v>
      </c>
      <c r="F279" s="371">
        <f t="shared" si="29"/>
        <v>2.9688485621330973E-2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1448</v>
      </c>
      <c r="D280" s="369">
        <f>LN_IA4+LN_IF4+LN_IG3</f>
        <v>1400</v>
      </c>
      <c r="E280" s="369">
        <f t="shared" si="28"/>
        <v>-48</v>
      </c>
      <c r="F280" s="415">
        <f t="shared" si="29"/>
        <v>-3.3149171270718231E-2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1.2901757596685082</v>
      </c>
      <c r="D281" s="439">
        <f>IF(LN_IIB4=0,0,LN_IIB6/LN_IIB4)</f>
        <v>1.225704357142857</v>
      </c>
      <c r="E281" s="439">
        <f t="shared" si="28"/>
        <v>-6.44714025256512E-2</v>
      </c>
      <c r="F281" s="415">
        <f t="shared" si="29"/>
        <v>-4.9971022973037557E-2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1868.1744999999999</v>
      </c>
      <c r="D282" s="376">
        <f>LN_IA6+LN_IF6+LN_IG5</f>
        <v>1715.9860999999999</v>
      </c>
      <c r="E282" s="376">
        <f t="shared" si="28"/>
        <v>-152.1884</v>
      </c>
      <c r="F282" s="415">
        <f t="shared" si="29"/>
        <v>-8.1463696244649525E-2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79488798</v>
      </c>
      <c r="D283" s="361">
        <f>LN_IA11+LN_IF14+LN_IG9</f>
        <v>69694461</v>
      </c>
      <c r="E283" s="361">
        <f t="shared" si="28"/>
        <v>-9794337</v>
      </c>
      <c r="F283" s="415">
        <f t="shared" si="29"/>
        <v>-0.12321656945925891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1.8236550518417749</v>
      </c>
      <c r="D284" s="366">
        <f>IF(D277=0,0,LN_IIB7/D277)</f>
        <v>1.7878957890476497</v>
      </c>
      <c r="E284" s="367">
        <f t="shared" si="28"/>
        <v>-3.5759262794125224E-2</v>
      </c>
      <c r="F284" s="371">
        <f t="shared" si="29"/>
        <v>-1.9608567287991586E-2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17560878</v>
      </c>
      <c r="D285" s="361">
        <f>LN_IA12+LN_IF15+LN_IG10</f>
        <v>16366852</v>
      </c>
      <c r="E285" s="361">
        <f t="shared" si="28"/>
        <v>-1194026</v>
      </c>
      <c r="F285" s="415">
        <f t="shared" si="29"/>
        <v>-6.7993525152899525E-2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0.22092267642542537</v>
      </c>
      <c r="D286" s="366">
        <f>IF(LN_IIB7=0,0,LN_IIB9/LN_IIB7)</f>
        <v>0.23483719889877619</v>
      </c>
      <c r="E286" s="367">
        <f t="shared" si="28"/>
        <v>1.3914522473350815E-2</v>
      </c>
      <c r="F286" s="371">
        <f t="shared" si="29"/>
        <v>6.2983676906737993E-2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123076426</v>
      </c>
      <c r="D287" s="353">
        <f>D277+LN_IIB7</f>
        <v>108675738</v>
      </c>
      <c r="E287" s="353">
        <f t="shared" si="28"/>
        <v>-14400688</v>
      </c>
      <c r="F287" s="415">
        <f t="shared" si="29"/>
        <v>-0.11700606255823516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31810882</v>
      </c>
      <c r="D288" s="353">
        <f>LN_IIB2+LN_IIB9</f>
        <v>29489264</v>
      </c>
      <c r="E288" s="353">
        <f t="shared" si="28"/>
        <v>-2321618</v>
      </c>
      <c r="F288" s="415">
        <f t="shared" si="29"/>
        <v>-7.2981880854482442E-2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0.25846446012333835</v>
      </c>
      <c r="D289" s="366">
        <f>IF(LN_IIB11=0,0,LN_IIB12/LN_IIB11)</f>
        <v>0.27135094311482844</v>
      </c>
      <c r="E289" s="367">
        <f t="shared" si="28"/>
        <v>1.2886482991490089E-2</v>
      </c>
      <c r="F289" s="371">
        <f t="shared" si="29"/>
        <v>4.9857852740530374E-2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6298</v>
      </c>
      <c r="D290" s="421">
        <f>LN_IA8+LN_IF11+LN_IG6</f>
        <v>5912</v>
      </c>
      <c r="E290" s="442">
        <f t="shared" si="28"/>
        <v>-386</v>
      </c>
      <c r="F290" s="371">
        <f t="shared" si="29"/>
        <v>-6.1289298189901559E-2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91265544</v>
      </c>
      <c r="D291" s="429">
        <f>LN_IIB11-LN_IIB12</f>
        <v>79186474</v>
      </c>
      <c r="E291" s="353">
        <f t="shared" si="28"/>
        <v>-12079070</v>
      </c>
      <c r="F291" s="415">
        <f t="shared" si="29"/>
        <v>-0.13235082453461297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4.477064220183486</v>
      </c>
      <c r="D294" s="379">
        <f>IF(LN_IA4=0,0,LN_IA8/LN_IA4)</f>
        <v>4.4588550983899822</v>
      </c>
      <c r="E294" s="379">
        <f t="shared" ref="E294:E300" si="30">D294-C294</f>
        <v>-1.8209121793503869E-2</v>
      </c>
      <c r="F294" s="415">
        <f t="shared" ref="F294:F300" si="31">IF(C294=0,0,E294/C294)</f>
        <v>-4.0672013842047577E-3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2.8548689138576777</v>
      </c>
      <c r="D295" s="379">
        <f>IF(LN_IB4=0,0,(LN_IB10)/(LN_IB4))</f>
        <v>2.9560810810810811</v>
      </c>
      <c r="E295" s="379">
        <f t="shared" si="30"/>
        <v>0.10121216722340343</v>
      </c>
      <c r="F295" s="415">
        <f t="shared" si="31"/>
        <v>3.5452474448866796E-2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2.6</v>
      </c>
      <c r="D296" s="379">
        <f>IF(LN_IC4=0,0,LN_IC11/LN_IC4)</f>
        <v>3.0555555555555554</v>
      </c>
      <c r="E296" s="379">
        <f t="shared" si="30"/>
        <v>0.45555555555555527</v>
      </c>
      <c r="F296" s="415">
        <f t="shared" si="31"/>
        <v>0.17521367521367509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3.5423728813559321</v>
      </c>
      <c r="D297" s="379">
        <f>IF(LN_ID4=0,0,LN_ID11/LN_ID4)</f>
        <v>3.3547169811320754</v>
      </c>
      <c r="E297" s="379">
        <f t="shared" si="30"/>
        <v>-0.1876559002238567</v>
      </c>
      <c r="F297" s="415">
        <f t="shared" si="31"/>
        <v>-5.2974632120610265E-2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10.5</v>
      </c>
      <c r="D298" s="379">
        <f>IF(LN_IE4=0,0,LN_IE11/LN_IE4)</f>
        <v>1.375</v>
      </c>
      <c r="E298" s="379">
        <f t="shared" si="30"/>
        <v>-9.125</v>
      </c>
      <c r="F298" s="415">
        <f t="shared" si="31"/>
        <v>-0.86904761904761907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4.4285714285714288</v>
      </c>
      <c r="D299" s="379">
        <f>IF(LN_IG3=0,0,LN_IG6/LN_IG3)</f>
        <v>3</v>
      </c>
      <c r="E299" s="379">
        <f t="shared" si="30"/>
        <v>-1.4285714285714288</v>
      </c>
      <c r="F299" s="415">
        <f t="shared" si="31"/>
        <v>-0.32258064516129037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3.7150238473767887</v>
      </c>
      <c r="D300" s="379">
        <f>IF(LN_IIA4=0,0,LN_IIA14/LN_IIA4)</f>
        <v>3.7312062937062938</v>
      </c>
      <c r="E300" s="379">
        <f t="shared" si="30"/>
        <v>1.6182446329505051E-2</v>
      </c>
      <c r="F300" s="415">
        <f t="shared" si="31"/>
        <v>4.3559468241184023E-3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238485896</v>
      </c>
      <c r="D304" s="353">
        <f>LN_IIA11</f>
        <v>204381627</v>
      </c>
      <c r="E304" s="353">
        <f t="shared" ref="E304:E316" si="32">D304-C304</f>
        <v>-34104269</v>
      </c>
      <c r="F304" s="362">
        <f>IF(C304=0,0,E304/C304)</f>
        <v>-0.14300329525566577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91265544</v>
      </c>
      <c r="D305" s="353">
        <f>LN_IIB14</f>
        <v>79186474</v>
      </c>
      <c r="E305" s="353">
        <f t="shared" si="32"/>
        <v>-12079070</v>
      </c>
      <c r="F305" s="362">
        <f>IF(C305=0,0,E305/C305)</f>
        <v>-0.13235082453461297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4280580</v>
      </c>
      <c r="D306" s="353">
        <f>LN_IH6</f>
        <v>4306928</v>
      </c>
      <c r="E306" s="353">
        <f t="shared" si="32"/>
        <v>26348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55231186</v>
      </c>
      <c r="D307" s="353">
        <f>LN_IB32-LN_IB33</f>
        <v>43221974</v>
      </c>
      <c r="E307" s="353">
        <f t="shared" si="32"/>
        <v>-12009212</v>
      </c>
      <c r="F307" s="362">
        <f t="shared" ref="F307:F316" si="33">IF(C307=0,0,E307/C307)</f>
        <v>-0.21743534531378703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0</v>
      </c>
      <c r="D308" s="353">
        <v>1585231</v>
      </c>
      <c r="E308" s="353">
        <f t="shared" si="32"/>
        <v>1585231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150777310</v>
      </c>
      <c r="D309" s="353">
        <f>LN_III2+LN_III3+LN_III4+LN_III5</f>
        <v>128300607</v>
      </c>
      <c r="E309" s="353">
        <f t="shared" si="32"/>
        <v>-22476703</v>
      </c>
      <c r="F309" s="362">
        <f t="shared" si="33"/>
        <v>-0.14907218466757366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87708586</v>
      </c>
      <c r="D310" s="353">
        <f>LN_III1-LN_III6</f>
        <v>76081020</v>
      </c>
      <c r="E310" s="353">
        <f t="shared" si="32"/>
        <v>-11627566</v>
      </c>
      <c r="F310" s="362">
        <f t="shared" si="33"/>
        <v>-0.13257044184933045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87708586</v>
      </c>
      <c r="D312" s="353">
        <f>LN_III7+LN_III8</f>
        <v>76081020</v>
      </c>
      <c r="E312" s="353">
        <f t="shared" si="32"/>
        <v>-11627566</v>
      </c>
      <c r="F312" s="362">
        <f t="shared" si="33"/>
        <v>-0.13257044184933045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0.36777263339715488</v>
      </c>
      <c r="D313" s="448">
        <f>IF(LN_III1=0,0,LN_III9/LN_III1)</f>
        <v>0.37224980110369704</v>
      </c>
      <c r="E313" s="448">
        <f t="shared" si="32"/>
        <v>4.4771677065421622E-3</v>
      </c>
      <c r="F313" s="362">
        <f t="shared" si="33"/>
        <v>1.217373806524452E-2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1574280.1790671933</v>
      </c>
      <c r="D314" s="353">
        <f>D313*LN_III5</f>
        <v>1603253.0913679437</v>
      </c>
      <c r="E314" s="353">
        <f t="shared" si="32"/>
        <v>28972.91230075038</v>
      </c>
      <c r="F314" s="362">
        <f t="shared" si="33"/>
        <v>1.8403910997544078E-2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1702587.2441318212</v>
      </c>
      <c r="D315" s="353">
        <f>D313*LN_IH8-LN_IH9</f>
        <v>1506242.4123531319</v>
      </c>
      <c r="E315" s="353">
        <f t="shared" si="32"/>
        <v>-196344.83177868929</v>
      </c>
      <c r="F315" s="362">
        <f t="shared" si="33"/>
        <v>-0.11532145119459586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3276867.4231990147</v>
      </c>
      <c r="D318" s="353">
        <f>D314+D315+D316</f>
        <v>3109495.5037210756</v>
      </c>
      <c r="E318" s="353">
        <f>D318-C318</f>
        <v>-167371.91947793914</v>
      </c>
      <c r="F318" s="362">
        <f>IF(C318=0,0,E318/C318)</f>
        <v>-5.1076805333352085E-2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1320341.2068919416</v>
      </c>
      <c r="D322" s="353">
        <f>LN_ID22</f>
        <v>2262118.2548960485</v>
      </c>
      <c r="E322" s="353">
        <f>LN_IV2-C322</f>
        <v>941777.04800410685</v>
      </c>
      <c r="F322" s="362">
        <f>IF(C322=0,0,E322/C322)</f>
        <v>0.71328308401510265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-158382.02030267337</v>
      </c>
      <c r="D323" s="353">
        <f>LN_IE10+LN_IE22</f>
        <v>222047.91645128239</v>
      </c>
      <c r="E323" s="353">
        <f>LN_IV3-C323</f>
        <v>380429.93675395579</v>
      </c>
      <c r="F323" s="362">
        <f>IF(C323=0,0,E323/C323)</f>
        <v>-2.401976790212307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1699322.1653148436</v>
      </c>
      <c r="D324" s="353">
        <f>LN_IC10+LN_IC22</f>
        <v>1805766.8093079694</v>
      </c>
      <c r="E324" s="353">
        <f>LN_IV1-C324</f>
        <v>106444.64399312576</v>
      </c>
      <c r="F324" s="362">
        <f>IF(C324=0,0,E324/C324)</f>
        <v>6.2639472470721366E-2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2861281.3519041119</v>
      </c>
      <c r="D325" s="429">
        <f>LN_IV1+LN_IV2+LN_IV3</f>
        <v>4289932.9806553004</v>
      </c>
      <c r="E325" s="353">
        <f>LN_IV4-C325</f>
        <v>1428651.6287511885</v>
      </c>
      <c r="F325" s="362">
        <f>IF(C325=0,0,E325/C325)</f>
        <v>0.49930484039972378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0</v>
      </c>
      <c r="D329" s="431">
        <v>2704607</v>
      </c>
      <c r="E329" s="431">
        <f t="shared" ref="E329:E335" si="34">D329-C329</f>
        <v>2704607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2879520</v>
      </c>
      <c r="D330" s="429">
        <v>3569821</v>
      </c>
      <c r="E330" s="431">
        <f t="shared" si="34"/>
        <v>690301</v>
      </c>
      <c r="F330" s="463">
        <f t="shared" si="35"/>
        <v>0.23972780185586487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90588107</v>
      </c>
      <c r="D331" s="429">
        <v>81236073</v>
      </c>
      <c r="E331" s="431">
        <f t="shared" si="34"/>
        <v>-9352034</v>
      </c>
      <c r="F331" s="462">
        <f t="shared" si="35"/>
        <v>-0.10323688516860166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238485898</v>
      </c>
      <c r="D333" s="429">
        <v>204381627</v>
      </c>
      <c r="E333" s="431">
        <f t="shared" si="34"/>
        <v>-34104271</v>
      </c>
      <c r="F333" s="462">
        <f t="shared" si="35"/>
        <v>-0.14300330244264589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850055</v>
      </c>
      <c r="D334" s="429">
        <v>428820</v>
      </c>
      <c r="E334" s="429">
        <f t="shared" si="34"/>
        <v>-421235</v>
      </c>
      <c r="F334" s="463">
        <f t="shared" si="35"/>
        <v>-0.49553852397786025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5130635</v>
      </c>
      <c r="D335" s="429">
        <v>4735748</v>
      </c>
      <c r="E335" s="429">
        <f t="shared" si="34"/>
        <v>-394887</v>
      </c>
      <c r="F335" s="462">
        <f t="shared" si="35"/>
        <v>-7.696649634986702E-2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FILING&amp;RNEW 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23894322</v>
      </c>
      <c r="D14" s="513">
        <v>18128253</v>
      </c>
      <c r="E14" s="514">
        <f t="shared" ref="E14:E22" si="0">D14-C14</f>
        <v>-5766069</v>
      </c>
    </row>
    <row r="15" spans="1:5" s="506" customFormat="1" x14ac:dyDescent="0.2">
      <c r="A15" s="512">
        <v>2</v>
      </c>
      <c r="B15" s="511" t="s">
        <v>618</v>
      </c>
      <c r="C15" s="513">
        <v>38481431</v>
      </c>
      <c r="D15" s="515">
        <v>34382207</v>
      </c>
      <c r="E15" s="514">
        <f t="shared" si="0"/>
        <v>-4099224</v>
      </c>
    </row>
    <row r="16" spans="1:5" s="506" customFormat="1" x14ac:dyDescent="0.2">
      <c r="A16" s="512">
        <v>3</v>
      </c>
      <c r="B16" s="511" t="s">
        <v>764</v>
      </c>
      <c r="C16" s="513">
        <v>4899736</v>
      </c>
      <c r="D16" s="515">
        <v>4490532</v>
      </c>
      <c r="E16" s="514">
        <f t="shared" si="0"/>
        <v>-409204</v>
      </c>
    </row>
    <row r="17" spans="1:5" s="506" customFormat="1" x14ac:dyDescent="0.2">
      <c r="A17" s="512">
        <v>4</v>
      </c>
      <c r="B17" s="511" t="s">
        <v>114</v>
      </c>
      <c r="C17" s="513">
        <v>4404387</v>
      </c>
      <c r="D17" s="515">
        <v>4417970</v>
      </c>
      <c r="E17" s="514">
        <f t="shared" si="0"/>
        <v>13583</v>
      </c>
    </row>
    <row r="18" spans="1:5" s="506" customFormat="1" x14ac:dyDescent="0.2">
      <c r="A18" s="512">
        <v>5</v>
      </c>
      <c r="B18" s="511" t="s">
        <v>731</v>
      </c>
      <c r="C18" s="513">
        <v>495349</v>
      </c>
      <c r="D18" s="515">
        <v>72562</v>
      </c>
      <c r="E18" s="514">
        <f t="shared" si="0"/>
        <v>-422787</v>
      </c>
    </row>
    <row r="19" spans="1:5" s="506" customFormat="1" x14ac:dyDescent="0.2">
      <c r="A19" s="512">
        <v>6</v>
      </c>
      <c r="B19" s="511" t="s">
        <v>430</v>
      </c>
      <c r="C19" s="513">
        <v>206461</v>
      </c>
      <c r="D19" s="515">
        <v>108538</v>
      </c>
      <c r="E19" s="514">
        <f t="shared" si="0"/>
        <v>-97923</v>
      </c>
    </row>
    <row r="20" spans="1:5" s="506" customFormat="1" x14ac:dyDescent="0.2">
      <c r="A20" s="512">
        <v>7</v>
      </c>
      <c r="B20" s="511" t="s">
        <v>746</v>
      </c>
      <c r="C20" s="513">
        <v>817818</v>
      </c>
      <c r="D20" s="515">
        <v>853569</v>
      </c>
      <c r="E20" s="514">
        <f t="shared" si="0"/>
        <v>35751</v>
      </c>
    </row>
    <row r="21" spans="1:5" s="506" customFormat="1" x14ac:dyDescent="0.2">
      <c r="A21" s="512"/>
      <c r="B21" s="516" t="s">
        <v>765</v>
      </c>
      <c r="C21" s="517">
        <f>SUM(C15+C16+C19)</f>
        <v>43587628</v>
      </c>
      <c r="D21" s="517">
        <f>SUM(D15+D16+D19)</f>
        <v>38981277</v>
      </c>
      <c r="E21" s="517">
        <f t="shared" si="0"/>
        <v>-4606351</v>
      </c>
    </row>
    <row r="22" spans="1:5" s="506" customFormat="1" x14ac:dyDescent="0.2">
      <c r="A22" s="512"/>
      <c r="B22" s="516" t="s">
        <v>705</v>
      </c>
      <c r="C22" s="517">
        <f>SUM(C14+C21)</f>
        <v>67481950</v>
      </c>
      <c r="D22" s="517">
        <f>SUM(D14+D21)</f>
        <v>57109530</v>
      </c>
      <c r="E22" s="517">
        <f t="shared" si="0"/>
        <v>-10372420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91515148</v>
      </c>
      <c r="D25" s="513">
        <v>77577636</v>
      </c>
      <c r="E25" s="514">
        <f t="shared" ref="E25:E33" si="1">D25-C25</f>
        <v>-13937512</v>
      </c>
    </row>
    <row r="26" spans="1:5" s="506" customFormat="1" x14ac:dyDescent="0.2">
      <c r="A26" s="512">
        <v>2</v>
      </c>
      <c r="B26" s="511" t="s">
        <v>618</v>
      </c>
      <c r="C26" s="513">
        <v>63832303</v>
      </c>
      <c r="D26" s="515">
        <v>56029867</v>
      </c>
      <c r="E26" s="514">
        <f t="shared" si="1"/>
        <v>-7802436</v>
      </c>
    </row>
    <row r="27" spans="1:5" s="506" customFormat="1" x14ac:dyDescent="0.2">
      <c r="A27" s="512">
        <v>3</v>
      </c>
      <c r="B27" s="511" t="s">
        <v>764</v>
      </c>
      <c r="C27" s="513">
        <v>15380058</v>
      </c>
      <c r="D27" s="515">
        <v>13380071</v>
      </c>
      <c r="E27" s="514">
        <f t="shared" si="1"/>
        <v>-1999987</v>
      </c>
    </row>
    <row r="28" spans="1:5" s="506" customFormat="1" x14ac:dyDescent="0.2">
      <c r="A28" s="512">
        <v>4</v>
      </c>
      <c r="B28" s="511" t="s">
        <v>114</v>
      </c>
      <c r="C28" s="513">
        <v>14993613</v>
      </c>
      <c r="D28" s="515">
        <v>12991913</v>
      </c>
      <c r="E28" s="514">
        <f t="shared" si="1"/>
        <v>-2001700</v>
      </c>
    </row>
    <row r="29" spans="1:5" s="506" customFormat="1" x14ac:dyDescent="0.2">
      <c r="A29" s="512">
        <v>5</v>
      </c>
      <c r="B29" s="511" t="s">
        <v>731</v>
      </c>
      <c r="C29" s="513">
        <v>386445</v>
      </c>
      <c r="D29" s="515">
        <v>388158</v>
      </c>
      <c r="E29" s="514">
        <f t="shared" si="1"/>
        <v>1713</v>
      </c>
    </row>
    <row r="30" spans="1:5" s="506" customFormat="1" x14ac:dyDescent="0.2">
      <c r="A30" s="512">
        <v>6</v>
      </c>
      <c r="B30" s="511" t="s">
        <v>430</v>
      </c>
      <c r="C30" s="513">
        <v>276437</v>
      </c>
      <c r="D30" s="515">
        <v>284523</v>
      </c>
      <c r="E30" s="514">
        <f t="shared" si="1"/>
        <v>8086</v>
      </c>
    </row>
    <row r="31" spans="1:5" s="506" customFormat="1" x14ac:dyDescent="0.2">
      <c r="A31" s="512">
        <v>7</v>
      </c>
      <c r="B31" s="511" t="s">
        <v>746</v>
      </c>
      <c r="C31" s="514">
        <v>3882484</v>
      </c>
      <c r="D31" s="518">
        <v>3616941</v>
      </c>
      <c r="E31" s="514">
        <f t="shared" si="1"/>
        <v>-265543</v>
      </c>
    </row>
    <row r="32" spans="1:5" s="506" customFormat="1" x14ac:dyDescent="0.2">
      <c r="A32" s="512"/>
      <c r="B32" s="516" t="s">
        <v>767</v>
      </c>
      <c r="C32" s="517">
        <f>SUM(C26+C27+C30)</f>
        <v>79488798</v>
      </c>
      <c r="D32" s="517">
        <f>SUM(D26+D27+D30)</f>
        <v>69694461</v>
      </c>
      <c r="E32" s="517">
        <f t="shared" si="1"/>
        <v>-9794337</v>
      </c>
    </row>
    <row r="33" spans="1:5" s="506" customFormat="1" x14ac:dyDescent="0.2">
      <c r="A33" s="512"/>
      <c r="B33" s="516" t="s">
        <v>711</v>
      </c>
      <c r="C33" s="517">
        <f>SUM(C25+C32)</f>
        <v>171003946</v>
      </c>
      <c r="D33" s="517">
        <f>SUM(D25+D32)</f>
        <v>147272097</v>
      </c>
      <c r="E33" s="517">
        <f t="shared" si="1"/>
        <v>-23731849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115409470</v>
      </c>
      <c r="D36" s="514">
        <f t="shared" si="2"/>
        <v>95705889</v>
      </c>
      <c r="E36" s="514">
        <f t="shared" ref="E36:E44" si="3">D36-C36</f>
        <v>-19703581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102313734</v>
      </c>
      <c r="D37" s="514">
        <f t="shared" si="2"/>
        <v>90412074</v>
      </c>
      <c r="E37" s="514">
        <f t="shared" si="3"/>
        <v>-11901660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20279794</v>
      </c>
      <c r="D38" s="514">
        <f t="shared" si="2"/>
        <v>17870603</v>
      </c>
      <c r="E38" s="514">
        <f t="shared" si="3"/>
        <v>-2409191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19398000</v>
      </c>
      <c r="D39" s="514">
        <f t="shared" si="2"/>
        <v>17409883</v>
      </c>
      <c r="E39" s="514">
        <f t="shared" si="3"/>
        <v>-1988117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881794</v>
      </c>
      <c r="D40" s="514">
        <f t="shared" si="2"/>
        <v>460720</v>
      </c>
      <c r="E40" s="514">
        <f t="shared" si="3"/>
        <v>-421074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482898</v>
      </c>
      <c r="D41" s="514">
        <f t="shared" si="2"/>
        <v>393061</v>
      </c>
      <c r="E41" s="514">
        <f t="shared" si="3"/>
        <v>-89837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4700302</v>
      </c>
      <c r="D42" s="514">
        <f t="shared" si="2"/>
        <v>4470510</v>
      </c>
      <c r="E42" s="514">
        <f t="shared" si="3"/>
        <v>-229792</v>
      </c>
    </row>
    <row r="43" spans="1:5" s="506" customFormat="1" x14ac:dyDescent="0.2">
      <c r="A43" s="512"/>
      <c r="B43" s="516" t="s">
        <v>775</v>
      </c>
      <c r="C43" s="517">
        <f>SUM(C37+C38+C41)</f>
        <v>123076426</v>
      </c>
      <c r="D43" s="517">
        <f>SUM(D37+D38+D41)</f>
        <v>108675738</v>
      </c>
      <c r="E43" s="517">
        <f t="shared" si="3"/>
        <v>-14400688</v>
      </c>
    </row>
    <row r="44" spans="1:5" s="506" customFormat="1" x14ac:dyDescent="0.2">
      <c r="A44" s="512"/>
      <c r="B44" s="516" t="s">
        <v>713</v>
      </c>
      <c r="C44" s="517">
        <f>SUM(C36+C43)</f>
        <v>238485896</v>
      </c>
      <c r="D44" s="517">
        <f>SUM(D36+D43)</f>
        <v>204381627</v>
      </c>
      <c r="E44" s="517">
        <f t="shared" si="3"/>
        <v>-34104269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10028493</v>
      </c>
      <c r="D47" s="513">
        <v>7957745</v>
      </c>
      <c r="E47" s="514">
        <f t="shared" ref="E47:E55" si="4">D47-C47</f>
        <v>-2070748</v>
      </c>
    </row>
    <row r="48" spans="1:5" s="506" customFormat="1" x14ac:dyDescent="0.2">
      <c r="A48" s="512">
        <v>2</v>
      </c>
      <c r="B48" s="511" t="s">
        <v>618</v>
      </c>
      <c r="C48" s="513">
        <v>12616044</v>
      </c>
      <c r="D48" s="515">
        <v>11308714</v>
      </c>
      <c r="E48" s="514">
        <f t="shared" si="4"/>
        <v>-1307330</v>
      </c>
    </row>
    <row r="49" spans="1:5" s="506" customFormat="1" x14ac:dyDescent="0.2">
      <c r="A49" s="512">
        <v>3</v>
      </c>
      <c r="B49" s="511" t="s">
        <v>764</v>
      </c>
      <c r="C49" s="513">
        <v>1592407</v>
      </c>
      <c r="D49" s="515">
        <v>1777890</v>
      </c>
      <c r="E49" s="514">
        <f t="shared" si="4"/>
        <v>185483</v>
      </c>
    </row>
    <row r="50" spans="1:5" s="506" customFormat="1" x14ac:dyDescent="0.2">
      <c r="A50" s="512">
        <v>4</v>
      </c>
      <c r="B50" s="511" t="s">
        <v>114</v>
      </c>
      <c r="C50" s="513">
        <v>1436686</v>
      </c>
      <c r="D50" s="515">
        <v>1749046</v>
      </c>
      <c r="E50" s="514">
        <f t="shared" si="4"/>
        <v>312360</v>
      </c>
    </row>
    <row r="51" spans="1:5" s="506" customFormat="1" x14ac:dyDescent="0.2">
      <c r="A51" s="512">
        <v>5</v>
      </c>
      <c r="B51" s="511" t="s">
        <v>731</v>
      </c>
      <c r="C51" s="513">
        <v>155721</v>
      </c>
      <c r="D51" s="515">
        <v>28844</v>
      </c>
      <c r="E51" s="514">
        <f t="shared" si="4"/>
        <v>-126877</v>
      </c>
    </row>
    <row r="52" spans="1:5" s="506" customFormat="1" x14ac:dyDescent="0.2">
      <c r="A52" s="512">
        <v>6</v>
      </c>
      <c r="B52" s="511" t="s">
        <v>430</v>
      </c>
      <c r="C52" s="513">
        <v>41553</v>
      </c>
      <c r="D52" s="515">
        <v>35808</v>
      </c>
      <c r="E52" s="514">
        <f t="shared" si="4"/>
        <v>-5745</v>
      </c>
    </row>
    <row r="53" spans="1:5" s="506" customFormat="1" x14ac:dyDescent="0.2">
      <c r="A53" s="512">
        <v>7</v>
      </c>
      <c r="B53" s="511" t="s">
        <v>746</v>
      </c>
      <c r="C53" s="513">
        <v>73029</v>
      </c>
      <c r="D53" s="515">
        <v>33482</v>
      </c>
      <c r="E53" s="514">
        <f t="shared" si="4"/>
        <v>-39547</v>
      </c>
    </row>
    <row r="54" spans="1:5" s="506" customFormat="1" x14ac:dyDescent="0.2">
      <c r="A54" s="512"/>
      <c r="B54" s="516" t="s">
        <v>777</v>
      </c>
      <c r="C54" s="517">
        <f>SUM(C48+C49+C52)</f>
        <v>14250004</v>
      </c>
      <c r="D54" s="517">
        <f>SUM(D48+D49+D52)</f>
        <v>13122412</v>
      </c>
      <c r="E54" s="517">
        <f t="shared" si="4"/>
        <v>-1127592</v>
      </c>
    </row>
    <row r="55" spans="1:5" s="506" customFormat="1" x14ac:dyDescent="0.2">
      <c r="A55" s="512"/>
      <c r="B55" s="516" t="s">
        <v>706</v>
      </c>
      <c r="C55" s="517">
        <f>SUM(C47+C54)</f>
        <v>24278497</v>
      </c>
      <c r="D55" s="517">
        <f>SUM(D47+D54)</f>
        <v>21080157</v>
      </c>
      <c r="E55" s="517">
        <f t="shared" si="4"/>
        <v>-3198340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45869212</v>
      </c>
      <c r="D58" s="513">
        <v>40219243</v>
      </c>
      <c r="E58" s="514">
        <f t="shared" ref="E58:E66" si="5">D58-C58</f>
        <v>-5649969</v>
      </c>
    </row>
    <row r="59" spans="1:5" s="506" customFormat="1" x14ac:dyDescent="0.2">
      <c r="A59" s="512">
        <v>2</v>
      </c>
      <c r="B59" s="511" t="s">
        <v>618</v>
      </c>
      <c r="C59" s="513">
        <v>13327218</v>
      </c>
      <c r="D59" s="515">
        <v>12933357</v>
      </c>
      <c r="E59" s="514">
        <f t="shared" si="5"/>
        <v>-393861</v>
      </c>
    </row>
    <row r="60" spans="1:5" s="506" customFormat="1" x14ac:dyDescent="0.2">
      <c r="A60" s="512">
        <v>3</v>
      </c>
      <c r="B60" s="511" t="s">
        <v>764</v>
      </c>
      <c r="C60" s="513">
        <f>C61+C62</f>
        <v>4163359</v>
      </c>
      <c r="D60" s="515">
        <f>D61+D62</f>
        <v>3368196</v>
      </c>
      <c r="E60" s="514">
        <f t="shared" si="5"/>
        <v>-795163</v>
      </c>
    </row>
    <row r="61" spans="1:5" s="506" customFormat="1" x14ac:dyDescent="0.2">
      <c r="A61" s="512">
        <v>4</v>
      </c>
      <c r="B61" s="511" t="s">
        <v>114</v>
      </c>
      <c r="C61" s="513">
        <v>4063148</v>
      </c>
      <c r="D61" s="515">
        <v>3269852</v>
      </c>
      <c r="E61" s="514">
        <f t="shared" si="5"/>
        <v>-793296</v>
      </c>
    </row>
    <row r="62" spans="1:5" s="506" customFormat="1" x14ac:dyDescent="0.2">
      <c r="A62" s="512">
        <v>5</v>
      </c>
      <c r="B62" s="511" t="s">
        <v>731</v>
      </c>
      <c r="C62" s="513">
        <v>100211</v>
      </c>
      <c r="D62" s="515">
        <v>98344</v>
      </c>
      <c r="E62" s="514">
        <f t="shared" si="5"/>
        <v>-1867</v>
      </c>
    </row>
    <row r="63" spans="1:5" s="506" customFormat="1" x14ac:dyDescent="0.2">
      <c r="A63" s="512">
        <v>6</v>
      </c>
      <c r="B63" s="511" t="s">
        <v>430</v>
      </c>
      <c r="C63" s="513">
        <v>70301</v>
      </c>
      <c r="D63" s="515">
        <v>65299</v>
      </c>
      <c r="E63" s="514">
        <f t="shared" si="5"/>
        <v>-5002</v>
      </c>
    </row>
    <row r="64" spans="1:5" s="506" customFormat="1" x14ac:dyDescent="0.2">
      <c r="A64" s="512">
        <v>7</v>
      </c>
      <c r="B64" s="511" t="s">
        <v>746</v>
      </c>
      <c r="C64" s="513">
        <v>346693</v>
      </c>
      <c r="D64" s="515">
        <v>141878</v>
      </c>
      <c r="E64" s="514">
        <f t="shared" si="5"/>
        <v>-204815</v>
      </c>
    </row>
    <row r="65" spans="1:5" s="506" customFormat="1" x14ac:dyDescent="0.2">
      <c r="A65" s="512"/>
      <c r="B65" s="516" t="s">
        <v>779</v>
      </c>
      <c r="C65" s="517">
        <f>SUM(C59+C60+C63)</f>
        <v>17560878</v>
      </c>
      <c r="D65" s="517">
        <f>SUM(D59+D60+D63)</f>
        <v>16366852</v>
      </c>
      <c r="E65" s="517">
        <f t="shared" si="5"/>
        <v>-1194026</v>
      </c>
    </row>
    <row r="66" spans="1:5" s="506" customFormat="1" x14ac:dyDescent="0.2">
      <c r="A66" s="512"/>
      <c r="B66" s="516" t="s">
        <v>712</v>
      </c>
      <c r="C66" s="517">
        <f>SUM(C58+C65)</f>
        <v>63430090</v>
      </c>
      <c r="D66" s="517">
        <f>SUM(D58+D65)</f>
        <v>56586095</v>
      </c>
      <c r="E66" s="517">
        <f t="shared" si="5"/>
        <v>-6843995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55897705</v>
      </c>
      <c r="D69" s="514">
        <f t="shared" si="6"/>
        <v>48176988</v>
      </c>
      <c r="E69" s="514">
        <f t="shared" ref="E69:E77" si="7">D69-C69</f>
        <v>-7720717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25943262</v>
      </c>
      <c r="D70" s="514">
        <f t="shared" si="6"/>
        <v>24242071</v>
      </c>
      <c r="E70" s="514">
        <f t="shared" si="7"/>
        <v>-1701191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5755766</v>
      </c>
      <c r="D71" s="514">
        <f t="shared" si="6"/>
        <v>5146086</v>
      </c>
      <c r="E71" s="514">
        <f t="shared" si="7"/>
        <v>-609680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5499834</v>
      </c>
      <c r="D72" s="514">
        <f t="shared" si="6"/>
        <v>5018898</v>
      </c>
      <c r="E72" s="514">
        <f t="shared" si="7"/>
        <v>-480936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255932</v>
      </c>
      <c r="D73" s="514">
        <f t="shared" si="6"/>
        <v>127188</v>
      </c>
      <c r="E73" s="514">
        <f t="shared" si="7"/>
        <v>-128744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111854</v>
      </c>
      <c r="D74" s="514">
        <f t="shared" si="6"/>
        <v>101107</v>
      </c>
      <c r="E74" s="514">
        <f t="shared" si="7"/>
        <v>-10747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419722</v>
      </c>
      <c r="D75" s="514">
        <f t="shared" si="6"/>
        <v>175360</v>
      </c>
      <c r="E75" s="514">
        <f t="shared" si="7"/>
        <v>-244362</v>
      </c>
    </row>
    <row r="76" spans="1:5" s="506" customFormat="1" x14ac:dyDescent="0.2">
      <c r="A76" s="512"/>
      <c r="B76" s="516" t="s">
        <v>780</v>
      </c>
      <c r="C76" s="517">
        <f>SUM(C70+C71+C74)</f>
        <v>31810882</v>
      </c>
      <c r="D76" s="517">
        <f>SUM(D70+D71+D74)</f>
        <v>29489264</v>
      </c>
      <c r="E76" s="517">
        <f t="shared" si="7"/>
        <v>-2321618</v>
      </c>
    </row>
    <row r="77" spans="1:5" s="506" customFormat="1" x14ac:dyDescent="0.2">
      <c r="A77" s="512"/>
      <c r="B77" s="516" t="s">
        <v>714</v>
      </c>
      <c r="C77" s="517">
        <f>SUM(C69+C76)</f>
        <v>87708587</v>
      </c>
      <c r="D77" s="517">
        <f>SUM(D69+D76)</f>
        <v>77666252</v>
      </c>
      <c r="E77" s="517">
        <f t="shared" si="7"/>
        <v>-10042335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0.10019176144487807</v>
      </c>
      <c r="D83" s="523">
        <f t="shared" si="8"/>
        <v>8.8698056014594698E-2</v>
      </c>
      <c r="E83" s="523">
        <f t="shared" ref="E83:E91" si="9">D83-C83</f>
        <v>-1.1493705430283371E-2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0.16135726114386237</v>
      </c>
      <c r="D84" s="523">
        <f t="shared" si="8"/>
        <v>0.16822552743451838</v>
      </c>
      <c r="E84" s="523">
        <f t="shared" si="9"/>
        <v>6.868266290656011E-3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2.0545181422384828E-2</v>
      </c>
      <c r="D85" s="523">
        <f t="shared" si="8"/>
        <v>2.1971309583517503E-2</v>
      </c>
      <c r="E85" s="523">
        <f t="shared" si="9"/>
        <v>1.4261281611326754E-3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1.846812358245286E-2</v>
      </c>
      <c r="D86" s="523">
        <f t="shared" si="8"/>
        <v>2.1616277670595117E-2</v>
      </c>
      <c r="E86" s="523">
        <f t="shared" si="9"/>
        <v>3.1481540881422576E-3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2.0770578399319679E-3</v>
      </c>
      <c r="D87" s="523">
        <f t="shared" si="8"/>
        <v>3.5503191292238809E-4</v>
      </c>
      <c r="E87" s="523">
        <f t="shared" si="9"/>
        <v>-1.7220259270095799E-3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8.6571576543042193E-4</v>
      </c>
      <c r="D88" s="523">
        <f t="shared" si="8"/>
        <v>5.3105556303258117E-4</v>
      </c>
      <c r="E88" s="523">
        <f t="shared" si="9"/>
        <v>-3.3466020239784075E-4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3.4292090799365343E-3</v>
      </c>
      <c r="D89" s="523">
        <f t="shared" si="8"/>
        <v>4.1763489826803267E-3</v>
      </c>
      <c r="E89" s="523">
        <f t="shared" si="9"/>
        <v>7.4713990274379244E-4</v>
      </c>
    </row>
    <row r="90" spans="1:5" s="506" customFormat="1" x14ac:dyDescent="0.2">
      <c r="A90" s="512"/>
      <c r="B90" s="516" t="s">
        <v>783</v>
      </c>
      <c r="C90" s="524">
        <f>SUM(C84+C85+C88)</f>
        <v>0.18276815833167762</v>
      </c>
      <c r="D90" s="524">
        <f>SUM(D84+D85+D88)</f>
        <v>0.19072789258106845</v>
      </c>
      <c r="E90" s="525">
        <f t="shared" si="9"/>
        <v>7.9597342493908374E-3</v>
      </c>
    </row>
    <row r="91" spans="1:5" s="506" customFormat="1" x14ac:dyDescent="0.2">
      <c r="A91" s="512"/>
      <c r="B91" s="516" t="s">
        <v>784</v>
      </c>
      <c r="C91" s="524">
        <f>SUM(C83+C90)</f>
        <v>0.28295991977655566</v>
      </c>
      <c r="D91" s="524">
        <f>SUM(D83+D90)</f>
        <v>0.27942594859566317</v>
      </c>
      <c r="E91" s="525">
        <f t="shared" si="9"/>
        <v>-3.5339711808924923E-3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0.38373400496606308</v>
      </c>
      <c r="D95" s="523">
        <f t="shared" si="10"/>
        <v>0.37957245540471207</v>
      </c>
      <c r="E95" s="523">
        <f t="shared" ref="E95:E103" si="11">D95-C95</f>
        <v>-4.1615495613510078E-3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0.26765651164545179</v>
      </c>
      <c r="D96" s="523">
        <f t="shared" si="10"/>
        <v>0.2741433651470051</v>
      </c>
      <c r="E96" s="523">
        <f t="shared" si="11"/>
        <v>6.4868535015533135E-3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6.4490430075579822E-2</v>
      </c>
      <c r="D97" s="523">
        <f t="shared" si="10"/>
        <v>6.5466114525059529E-2</v>
      </c>
      <c r="E97" s="523">
        <f t="shared" si="11"/>
        <v>9.7568444947970789E-4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6.2870019785153247E-2</v>
      </c>
      <c r="D98" s="523">
        <f t="shared" si="10"/>
        <v>6.3566932070660151E-2</v>
      </c>
      <c r="E98" s="523">
        <f t="shared" si="11"/>
        <v>6.9691228550690376E-4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1.6204102904265668E-3</v>
      </c>
      <c r="D99" s="523">
        <f t="shared" si="10"/>
        <v>1.899182454399387E-3</v>
      </c>
      <c r="E99" s="523">
        <f t="shared" si="11"/>
        <v>2.7877216397282018E-4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1.1591335363496716E-3</v>
      </c>
      <c r="D100" s="523">
        <f t="shared" si="10"/>
        <v>1.3921163275601089E-3</v>
      </c>
      <c r="E100" s="523">
        <f t="shared" si="11"/>
        <v>2.329827912104373E-4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1.6279721631840233E-2</v>
      </c>
      <c r="D101" s="523">
        <f t="shared" si="10"/>
        <v>1.7696996804903602E-2</v>
      </c>
      <c r="E101" s="523">
        <f t="shared" si="11"/>
        <v>1.4172751730633683E-3</v>
      </c>
    </row>
    <row r="102" spans="1:5" s="506" customFormat="1" x14ac:dyDescent="0.2">
      <c r="A102" s="512"/>
      <c r="B102" s="516" t="s">
        <v>786</v>
      </c>
      <c r="C102" s="524">
        <f>SUM(C96+C97+C100)</f>
        <v>0.33330607525738126</v>
      </c>
      <c r="D102" s="524">
        <f>SUM(D96+D97+D100)</f>
        <v>0.34100159599962471</v>
      </c>
      <c r="E102" s="525">
        <f t="shared" si="11"/>
        <v>7.6955207422434446E-3</v>
      </c>
    </row>
    <row r="103" spans="1:5" s="506" customFormat="1" x14ac:dyDescent="0.2">
      <c r="A103" s="512"/>
      <c r="B103" s="516" t="s">
        <v>787</v>
      </c>
      <c r="C103" s="524">
        <f>SUM(C95+C102)</f>
        <v>0.71704008022344434</v>
      </c>
      <c r="D103" s="524">
        <f>SUM(D95+D102)</f>
        <v>0.72057405140433683</v>
      </c>
      <c r="E103" s="525">
        <f t="shared" si="11"/>
        <v>3.5339711808924923E-3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0.11433878190284835</v>
      </c>
      <c r="D109" s="523">
        <f t="shared" si="12"/>
        <v>0.10246078309533979</v>
      </c>
      <c r="E109" s="523">
        <f t="shared" ref="E109:E117" si="13">D109-C109</f>
        <v>-1.1877998807508561E-2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0.14384046570035383</v>
      </c>
      <c r="D110" s="523">
        <f t="shared" si="12"/>
        <v>0.14560653705807769</v>
      </c>
      <c r="E110" s="523">
        <f t="shared" si="13"/>
        <v>1.7660713577238585E-3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1.8155656754566117E-2</v>
      </c>
      <c r="D111" s="523">
        <f t="shared" si="12"/>
        <v>2.2891409772162044E-2</v>
      </c>
      <c r="E111" s="523">
        <f t="shared" si="13"/>
        <v>4.735753017595927E-3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1.6380220559248093E-2</v>
      </c>
      <c r="D112" s="523">
        <f t="shared" si="12"/>
        <v>2.2520025815073449E-2</v>
      </c>
      <c r="E112" s="523">
        <f t="shared" si="13"/>
        <v>6.1398052558253556E-3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1.7754361953180252E-3</v>
      </c>
      <c r="D113" s="523">
        <f t="shared" si="12"/>
        <v>3.7138395708859493E-4</v>
      </c>
      <c r="E113" s="523">
        <f t="shared" si="13"/>
        <v>-1.4040522382294304E-3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4.7376205023118203E-4</v>
      </c>
      <c r="D114" s="523">
        <f t="shared" si="12"/>
        <v>4.6104967187035113E-4</v>
      </c>
      <c r="E114" s="523">
        <f t="shared" si="13"/>
        <v>-1.2712378360830903E-5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8.326322712279015E-4</v>
      </c>
      <c r="D115" s="523">
        <f t="shared" si="12"/>
        <v>4.3110101411871914E-4</v>
      </c>
      <c r="E115" s="523">
        <f t="shared" si="13"/>
        <v>-4.0153125710918236E-4</v>
      </c>
    </row>
    <row r="116" spans="1:5" s="506" customFormat="1" x14ac:dyDescent="0.2">
      <c r="A116" s="512"/>
      <c r="B116" s="516" t="s">
        <v>783</v>
      </c>
      <c r="C116" s="524">
        <f>SUM(C110+C111+C114)</f>
        <v>0.16246988450515112</v>
      </c>
      <c r="D116" s="524">
        <f>SUM(D110+D111+D114)</f>
        <v>0.16895899650211008</v>
      </c>
      <c r="E116" s="525">
        <f t="shared" si="13"/>
        <v>6.4891119969589517E-3</v>
      </c>
    </row>
    <row r="117" spans="1:5" s="506" customFormat="1" x14ac:dyDescent="0.2">
      <c r="A117" s="512"/>
      <c r="B117" s="516" t="s">
        <v>784</v>
      </c>
      <c r="C117" s="524">
        <f>SUM(C109+C116)</f>
        <v>0.2768086664079995</v>
      </c>
      <c r="D117" s="524">
        <f>SUM(D109+D116)</f>
        <v>0.2714197795974499</v>
      </c>
      <c r="E117" s="525">
        <f t="shared" si="13"/>
        <v>-5.3888868105496091E-3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0.52297287607654652</v>
      </c>
      <c r="D121" s="523">
        <f t="shared" si="14"/>
        <v>0.51784709528663753</v>
      </c>
      <c r="E121" s="523">
        <f t="shared" ref="E121:E129" si="15">D121-C121</f>
        <v>-5.1257807899089958E-3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0.15194883939927115</v>
      </c>
      <c r="D122" s="523">
        <f t="shared" si="14"/>
        <v>0.16652479895643735</v>
      </c>
      <c r="E122" s="523">
        <f t="shared" si="15"/>
        <v>1.4575959557166202E-2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4.7468088842886044E-2</v>
      </c>
      <c r="D123" s="523">
        <f t="shared" si="14"/>
        <v>4.3367562013936246E-2</v>
      </c>
      <c r="E123" s="523">
        <f t="shared" si="15"/>
        <v>-4.1005268289497979E-3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4.6325543928783165E-2</v>
      </c>
      <c r="D124" s="523">
        <f t="shared" si="14"/>
        <v>4.2101323493761486E-2</v>
      </c>
      <c r="E124" s="523">
        <f t="shared" si="15"/>
        <v>-4.2242204350216792E-3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1.1425449141028803E-3</v>
      </c>
      <c r="D125" s="523">
        <f t="shared" si="14"/>
        <v>1.2662385201747601E-3</v>
      </c>
      <c r="E125" s="523">
        <f t="shared" si="15"/>
        <v>1.2369360607187977E-4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8.015292732968096E-4</v>
      </c>
      <c r="D126" s="523">
        <f t="shared" si="14"/>
        <v>8.4076414553904309E-4</v>
      </c>
      <c r="E126" s="523">
        <f t="shared" si="15"/>
        <v>3.9234872242233489E-5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3.952782867200905E-3</v>
      </c>
      <c r="D127" s="523">
        <f t="shared" si="14"/>
        <v>1.8267651180077546E-3</v>
      </c>
      <c r="E127" s="523">
        <f t="shared" si="15"/>
        <v>-2.1260177491931502E-3</v>
      </c>
    </row>
    <row r="128" spans="1:5" s="506" customFormat="1" x14ac:dyDescent="0.2">
      <c r="A128" s="512"/>
      <c r="B128" s="516" t="s">
        <v>786</v>
      </c>
      <c r="C128" s="524">
        <f>SUM(C122+C123+C126)</f>
        <v>0.20021845751545397</v>
      </c>
      <c r="D128" s="524">
        <f>SUM(D122+D123+D126)</f>
        <v>0.21073312511591263</v>
      </c>
      <c r="E128" s="525">
        <f t="shared" si="15"/>
        <v>1.051466760045866E-2</v>
      </c>
    </row>
    <row r="129" spans="1:5" s="506" customFormat="1" x14ac:dyDescent="0.2">
      <c r="A129" s="512"/>
      <c r="B129" s="516" t="s">
        <v>787</v>
      </c>
      <c r="C129" s="524">
        <f>SUM(C121+C128)</f>
        <v>0.7231913335920005</v>
      </c>
      <c r="D129" s="524">
        <f>SUM(D121+D128)</f>
        <v>0.72858022040255022</v>
      </c>
      <c r="E129" s="525">
        <f t="shared" si="15"/>
        <v>5.3888868105497201E-3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1068</v>
      </c>
      <c r="D137" s="530">
        <v>888</v>
      </c>
      <c r="E137" s="531">
        <f t="shared" ref="E137:E145" si="16">D137-C137</f>
        <v>-180</v>
      </c>
    </row>
    <row r="138" spans="1:5" s="506" customFormat="1" x14ac:dyDescent="0.2">
      <c r="A138" s="512">
        <v>2</v>
      </c>
      <c r="B138" s="511" t="s">
        <v>618</v>
      </c>
      <c r="C138" s="530">
        <v>1199</v>
      </c>
      <c r="D138" s="530">
        <v>1118</v>
      </c>
      <c r="E138" s="531">
        <f t="shared" si="16"/>
        <v>-81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242</v>
      </c>
      <c r="D139" s="530">
        <f>D140+D141</f>
        <v>273</v>
      </c>
      <c r="E139" s="531">
        <f t="shared" si="16"/>
        <v>31</v>
      </c>
    </row>
    <row r="140" spans="1:5" s="506" customFormat="1" x14ac:dyDescent="0.2">
      <c r="A140" s="512">
        <v>4</v>
      </c>
      <c r="B140" s="511" t="s">
        <v>114</v>
      </c>
      <c r="C140" s="530">
        <v>236</v>
      </c>
      <c r="D140" s="530">
        <v>265</v>
      </c>
      <c r="E140" s="531">
        <f t="shared" si="16"/>
        <v>29</v>
      </c>
    </row>
    <row r="141" spans="1:5" s="506" customFormat="1" x14ac:dyDescent="0.2">
      <c r="A141" s="512">
        <v>5</v>
      </c>
      <c r="B141" s="511" t="s">
        <v>731</v>
      </c>
      <c r="C141" s="530">
        <v>6</v>
      </c>
      <c r="D141" s="530">
        <v>8</v>
      </c>
      <c r="E141" s="531">
        <f t="shared" si="16"/>
        <v>2</v>
      </c>
    </row>
    <row r="142" spans="1:5" s="506" customFormat="1" x14ac:dyDescent="0.2">
      <c r="A142" s="512">
        <v>6</v>
      </c>
      <c r="B142" s="511" t="s">
        <v>430</v>
      </c>
      <c r="C142" s="530">
        <v>7</v>
      </c>
      <c r="D142" s="530">
        <v>9</v>
      </c>
      <c r="E142" s="531">
        <f t="shared" si="16"/>
        <v>2</v>
      </c>
    </row>
    <row r="143" spans="1:5" s="506" customFormat="1" x14ac:dyDescent="0.2">
      <c r="A143" s="512">
        <v>7</v>
      </c>
      <c r="B143" s="511" t="s">
        <v>746</v>
      </c>
      <c r="C143" s="530">
        <v>55</v>
      </c>
      <c r="D143" s="530">
        <v>54</v>
      </c>
      <c r="E143" s="531">
        <f t="shared" si="16"/>
        <v>-1</v>
      </c>
    </row>
    <row r="144" spans="1:5" s="506" customFormat="1" x14ac:dyDescent="0.2">
      <c r="A144" s="512"/>
      <c r="B144" s="516" t="s">
        <v>794</v>
      </c>
      <c r="C144" s="532">
        <f>SUM(C138+C139+C142)</f>
        <v>1448</v>
      </c>
      <c r="D144" s="532">
        <f>SUM(D138+D139+D142)</f>
        <v>1400</v>
      </c>
      <c r="E144" s="533">
        <f t="shared" si="16"/>
        <v>-48</v>
      </c>
    </row>
    <row r="145" spans="1:5" s="506" customFormat="1" x14ac:dyDescent="0.2">
      <c r="A145" s="512"/>
      <c r="B145" s="516" t="s">
        <v>708</v>
      </c>
      <c r="C145" s="532">
        <f>SUM(C137+C144)</f>
        <v>2516</v>
      </c>
      <c r="D145" s="532">
        <f>SUM(D137+D144)</f>
        <v>2288</v>
      </c>
      <c r="E145" s="533">
        <f t="shared" si="16"/>
        <v>-228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3049</v>
      </c>
      <c r="D149" s="534">
        <v>2625</v>
      </c>
      <c r="E149" s="531">
        <f t="shared" ref="E149:E157" si="17">D149-C149</f>
        <v>-424</v>
      </c>
    </row>
    <row r="150" spans="1:5" s="506" customFormat="1" x14ac:dyDescent="0.2">
      <c r="A150" s="512">
        <v>2</v>
      </c>
      <c r="B150" s="511" t="s">
        <v>618</v>
      </c>
      <c r="C150" s="534">
        <v>5368</v>
      </c>
      <c r="D150" s="534">
        <v>4985</v>
      </c>
      <c r="E150" s="531">
        <f t="shared" si="17"/>
        <v>-383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899</v>
      </c>
      <c r="D151" s="534">
        <f>D152+D153</f>
        <v>900</v>
      </c>
      <c r="E151" s="531">
        <f t="shared" si="17"/>
        <v>1</v>
      </c>
    </row>
    <row r="152" spans="1:5" s="506" customFormat="1" x14ac:dyDescent="0.2">
      <c r="A152" s="512">
        <v>4</v>
      </c>
      <c r="B152" s="511" t="s">
        <v>114</v>
      </c>
      <c r="C152" s="534">
        <v>836</v>
      </c>
      <c r="D152" s="534">
        <v>889</v>
      </c>
      <c r="E152" s="531">
        <f t="shared" si="17"/>
        <v>53</v>
      </c>
    </row>
    <row r="153" spans="1:5" s="506" customFormat="1" x14ac:dyDescent="0.2">
      <c r="A153" s="512">
        <v>5</v>
      </c>
      <c r="B153" s="511" t="s">
        <v>731</v>
      </c>
      <c r="C153" s="535">
        <v>63</v>
      </c>
      <c r="D153" s="534">
        <v>11</v>
      </c>
      <c r="E153" s="531">
        <f t="shared" si="17"/>
        <v>-52</v>
      </c>
    </row>
    <row r="154" spans="1:5" s="506" customFormat="1" x14ac:dyDescent="0.2">
      <c r="A154" s="512">
        <v>6</v>
      </c>
      <c r="B154" s="511" t="s">
        <v>430</v>
      </c>
      <c r="C154" s="534">
        <v>31</v>
      </c>
      <c r="D154" s="534">
        <v>27</v>
      </c>
      <c r="E154" s="531">
        <f t="shared" si="17"/>
        <v>-4</v>
      </c>
    </row>
    <row r="155" spans="1:5" s="506" customFormat="1" x14ac:dyDescent="0.2">
      <c r="A155" s="512">
        <v>7</v>
      </c>
      <c r="B155" s="511" t="s">
        <v>746</v>
      </c>
      <c r="C155" s="534">
        <v>143</v>
      </c>
      <c r="D155" s="534">
        <v>165</v>
      </c>
      <c r="E155" s="531">
        <f t="shared" si="17"/>
        <v>22</v>
      </c>
    </row>
    <row r="156" spans="1:5" s="506" customFormat="1" x14ac:dyDescent="0.2">
      <c r="A156" s="512"/>
      <c r="B156" s="516" t="s">
        <v>795</v>
      </c>
      <c r="C156" s="532">
        <f>SUM(C150+C151+C154)</f>
        <v>6298</v>
      </c>
      <c r="D156" s="532">
        <f>SUM(D150+D151+D154)</f>
        <v>5912</v>
      </c>
      <c r="E156" s="533">
        <f t="shared" si="17"/>
        <v>-386</v>
      </c>
    </row>
    <row r="157" spans="1:5" s="506" customFormat="1" x14ac:dyDescent="0.2">
      <c r="A157" s="512"/>
      <c r="B157" s="516" t="s">
        <v>796</v>
      </c>
      <c r="C157" s="532">
        <f>SUM(C149+C156)</f>
        <v>9347</v>
      </c>
      <c r="D157" s="532">
        <f>SUM(D149+D156)</f>
        <v>8537</v>
      </c>
      <c r="E157" s="533">
        <f t="shared" si="17"/>
        <v>-810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2.8548689138576777</v>
      </c>
      <c r="D161" s="536">
        <f t="shared" si="18"/>
        <v>2.9560810810810811</v>
      </c>
      <c r="E161" s="537">
        <f t="shared" ref="E161:E169" si="19">D161-C161</f>
        <v>0.10121216722340343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4.477064220183486</v>
      </c>
      <c r="D162" s="536">
        <f t="shared" si="18"/>
        <v>4.4588550983899822</v>
      </c>
      <c r="E162" s="537">
        <f t="shared" si="19"/>
        <v>-1.8209121793503869E-2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3.7148760330578514</v>
      </c>
      <c r="D163" s="536">
        <f t="shared" si="18"/>
        <v>3.2967032967032965</v>
      </c>
      <c r="E163" s="537">
        <f t="shared" si="19"/>
        <v>-0.41817273635455487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3.5423728813559321</v>
      </c>
      <c r="D164" s="536">
        <f t="shared" si="18"/>
        <v>3.3547169811320754</v>
      </c>
      <c r="E164" s="537">
        <f t="shared" si="19"/>
        <v>-0.1876559002238567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10.5</v>
      </c>
      <c r="D165" s="536">
        <f t="shared" si="18"/>
        <v>1.375</v>
      </c>
      <c r="E165" s="537">
        <f t="shared" si="19"/>
        <v>-9.125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4.4285714285714288</v>
      </c>
      <c r="D166" s="536">
        <f t="shared" si="18"/>
        <v>3</v>
      </c>
      <c r="E166" s="537">
        <f t="shared" si="19"/>
        <v>-1.4285714285714288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2.6</v>
      </c>
      <c r="D167" s="536">
        <f t="shared" si="18"/>
        <v>3.0555555555555554</v>
      </c>
      <c r="E167" s="537">
        <f t="shared" si="19"/>
        <v>0.45555555555555527</v>
      </c>
    </row>
    <row r="168" spans="1:5" s="506" customFormat="1" x14ac:dyDescent="0.2">
      <c r="A168" s="512"/>
      <c r="B168" s="516" t="s">
        <v>798</v>
      </c>
      <c r="C168" s="538">
        <f t="shared" si="18"/>
        <v>4.3494475138121551</v>
      </c>
      <c r="D168" s="538">
        <f t="shared" si="18"/>
        <v>4.2228571428571424</v>
      </c>
      <c r="E168" s="539">
        <f t="shared" si="19"/>
        <v>-0.12659037095501269</v>
      </c>
    </row>
    <row r="169" spans="1:5" s="506" customFormat="1" x14ac:dyDescent="0.2">
      <c r="A169" s="512"/>
      <c r="B169" s="516" t="s">
        <v>732</v>
      </c>
      <c r="C169" s="538">
        <f t="shared" si="18"/>
        <v>3.7150238473767887</v>
      </c>
      <c r="D169" s="538">
        <f t="shared" si="18"/>
        <v>3.7312062937062938</v>
      </c>
      <c r="E169" s="539">
        <f t="shared" si="19"/>
        <v>1.6182446329505051E-2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1.129</v>
      </c>
      <c r="D173" s="541">
        <f t="shared" si="20"/>
        <v>1.0384</v>
      </c>
      <c r="E173" s="542">
        <f t="shared" ref="E173:E181" si="21">D173-C173</f>
        <v>-9.0600000000000014E-2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1.3738999999999999</v>
      </c>
      <c r="D174" s="541">
        <f t="shared" si="20"/>
        <v>1.339</v>
      </c>
      <c r="E174" s="542">
        <f t="shared" si="21"/>
        <v>-3.4899999999999931E-2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0.87916611570247927</v>
      </c>
      <c r="D175" s="541">
        <f t="shared" si="20"/>
        <v>0.77646153846153843</v>
      </c>
      <c r="E175" s="542">
        <f t="shared" si="21"/>
        <v>-0.10270457724094084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0.8649</v>
      </c>
      <c r="D176" s="541">
        <f t="shared" si="20"/>
        <v>0.7772</v>
      </c>
      <c r="E176" s="542">
        <f t="shared" si="21"/>
        <v>-8.77E-2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1.4402999999999999</v>
      </c>
      <c r="D177" s="541">
        <f t="shared" si="20"/>
        <v>0.752</v>
      </c>
      <c r="E177" s="542">
        <f t="shared" si="21"/>
        <v>-0.68829999999999991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1.1586000000000001</v>
      </c>
      <c r="D178" s="541">
        <f t="shared" si="20"/>
        <v>0.77890000000000004</v>
      </c>
      <c r="E178" s="542">
        <f t="shared" si="21"/>
        <v>-0.37970000000000004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0.877</v>
      </c>
      <c r="D179" s="541">
        <f t="shared" si="20"/>
        <v>0.87460000000000004</v>
      </c>
      <c r="E179" s="542">
        <f t="shared" si="21"/>
        <v>-2.3999999999999577E-3</v>
      </c>
    </row>
    <row r="180" spans="1:5" s="506" customFormat="1" x14ac:dyDescent="0.2">
      <c r="A180" s="512"/>
      <c r="B180" s="516" t="s">
        <v>800</v>
      </c>
      <c r="C180" s="543">
        <f t="shared" si="20"/>
        <v>1.2901757596685082</v>
      </c>
      <c r="D180" s="543">
        <f t="shared" si="20"/>
        <v>1.225704357142857</v>
      </c>
      <c r="E180" s="544">
        <f t="shared" si="21"/>
        <v>-6.44714025256512E-2</v>
      </c>
    </row>
    <row r="181" spans="1:5" s="506" customFormat="1" x14ac:dyDescent="0.2">
      <c r="A181" s="512"/>
      <c r="B181" s="516" t="s">
        <v>709</v>
      </c>
      <c r="C181" s="543">
        <f t="shared" si="20"/>
        <v>1.2217593402225755</v>
      </c>
      <c r="D181" s="543">
        <f t="shared" si="20"/>
        <v>1.1530093094405593</v>
      </c>
      <c r="E181" s="544">
        <f t="shared" si="21"/>
        <v>-6.8750030782016136E-2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110709168</v>
      </c>
      <c r="D185" s="513">
        <v>91235379</v>
      </c>
      <c r="E185" s="514">
        <f>D185-C185</f>
        <v>-19473789</v>
      </c>
    </row>
    <row r="186" spans="1:5" s="506" customFormat="1" ht="25.5" x14ac:dyDescent="0.2">
      <c r="A186" s="512">
        <v>2</v>
      </c>
      <c r="B186" s="511" t="s">
        <v>803</v>
      </c>
      <c r="C186" s="513">
        <v>55477982</v>
      </c>
      <c r="D186" s="513">
        <v>48013405</v>
      </c>
      <c r="E186" s="514">
        <f>D186-C186</f>
        <v>-7464577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55231186</v>
      </c>
      <c r="D188" s="546">
        <f>+D185-D186</f>
        <v>43221974</v>
      </c>
      <c r="E188" s="514">
        <f t="shared" ref="E188:E197" si="22">D188-C188</f>
        <v>-12009212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0.49888538589685727</v>
      </c>
      <c r="D189" s="547">
        <f>IF(D185=0,0,+D188/D185)</f>
        <v>0.47374137613874545</v>
      </c>
      <c r="E189" s="523">
        <f t="shared" si="22"/>
        <v>-2.5144009758111818E-2</v>
      </c>
    </row>
    <row r="190" spans="1:5" s="506" customFormat="1" x14ac:dyDescent="0.2">
      <c r="A190" s="512">
        <v>5</v>
      </c>
      <c r="B190" s="511" t="s">
        <v>750</v>
      </c>
      <c r="C190" s="513">
        <v>0</v>
      </c>
      <c r="D190" s="513">
        <v>2704607</v>
      </c>
      <c r="E190" s="546">
        <f t="shared" si="22"/>
        <v>2704607</v>
      </c>
    </row>
    <row r="191" spans="1:5" s="506" customFormat="1" x14ac:dyDescent="0.2">
      <c r="A191" s="512">
        <v>6</v>
      </c>
      <c r="B191" s="511" t="s">
        <v>736</v>
      </c>
      <c r="C191" s="513">
        <v>0</v>
      </c>
      <c r="D191" s="513">
        <v>1585231</v>
      </c>
      <c r="E191" s="546">
        <f t="shared" si="22"/>
        <v>1585231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1734591</v>
      </c>
      <c r="D193" s="513">
        <v>1181756</v>
      </c>
      <c r="E193" s="546">
        <f t="shared" si="22"/>
        <v>-552835</v>
      </c>
    </row>
    <row r="194" spans="1:5" s="506" customFormat="1" x14ac:dyDescent="0.2">
      <c r="A194" s="512">
        <v>9</v>
      </c>
      <c r="B194" s="511" t="s">
        <v>806</v>
      </c>
      <c r="C194" s="513">
        <v>2545989</v>
      </c>
      <c r="D194" s="513">
        <v>3125172</v>
      </c>
      <c r="E194" s="546">
        <f t="shared" si="22"/>
        <v>579183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4280580</v>
      </c>
      <c r="D195" s="513">
        <f>+D193+D194</f>
        <v>4306928</v>
      </c>
      <c r="E195" s="549">
        <f t="shared" si="22"/>
        <v>26348</v>
      </c>
    </row>
    <row r="196" spans="1:5" s="506" customFormat="1" x14ac:dyDescent="0.2">
      <c r="A196" s="512">
        <v>11</v>
      </c>
      <c r="B196" s="511" t="s">
        <v>808</v>
      </c>
      <c r="C196" s="513">
        <v>110709168</v>
      </c>
      <c r="D196" s="513">
        <v>91235379</v>
      </c>
      <c r="E196" s="546">
        <f t="shared" si="22"/>
        <v>-19473789</v>
      </c>
    </row>
    <row r="197" spans="1:5" s="506" customFormat="1" x14ac:dyDescent="0.2">
      <c r="A197" s="512">
        <v>12</v>
      </c>
      <c r="B197" s="511" t="s">
        <v>693</v>
      </c>
      <c r="C197" s="513">
        <v>93915766</v>
      </c>
      <c r="D197" s="513">
        <v>88958809</v>
      </c>
      <c r="E197" s="546">
        <f t="shared" si="22"/>
        <v>-4956957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1205.7719999999999</v>
      </c>
      <c r="D203" s="553">
        <v>922.0992</v>
      </c>
      <c r="E203" s="554">
        <f t="shared" ref="E203:E211" si="23">D203-C203</f>
        <v>-283.67279999999994</v>
      </c>
    </row>
    <row r="204" spans="1:5" s="506" customFormat="1" x14ac:dyDescent="0.2">
      <c r="A204" s="512">
        <v>2</v>
      </c>
      <c r="B204" s="511" t="s">
        <v>618</v>
      </c>
      <c r="C204" s="553">
        <v>1647.3060999999998</v>
      </c>
      <c r="D204" s="553">
        <v>1497.002</v>
      </c>
      <c r="E204" s="554">
        <f t="shared" si="23"/>
        <v>-150.30409999999983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212.75819999999999</v>
      </c>
      <c r="D205" s="553">
        <f>D206+D207</f>
        <v>211.97399999999999</v>
      </c>
      <c r="E205" s="554">
        <f t="shared" si="23"/>
        <v>-0.78419999999999845</v>
      </c>
    </row>
    <row r="206" spans="1:5" s="506" customFormat="1" x14ac:dyDescent="0.2">
      <c r="A206" s="512">
        <v>4</v>
      </c>
      <c r="B206" s="511" t="s">
        <v>114</v>
      </c>
      <c r="C206" s="553">
        <v>204.1164</v>
      </c>
      <c r="D206" s="553">
        <v>205.958</v>
      </c>
      <c r="E206" s="554">
        <f t="shared" si="23"/>
        <v>1.8415999999999997</v>
      </c>
    </row>
    <row r="207" spans="1:5" s="506" customFormat="1" x14ac:dyDescent="0.2">
      <c r="A207" s="512">
        <v>5</v>
      </c>
      <c r="B207" s="511" t="s">
        <v>731</v>
      </c>
      <c r="C207" s="553">
        <v>8.6417999999999999</v>
      </c>
      <c r="D207" s="553">
        <v>6.016</v>
      </c>
      <c r="E207" s="554">
        <f t="shared" si="23"/>
        <v>-2.6257999999999999</v>
      </c>
    </row>
    <row r="208" spans="1:5" s="506" customFormat="1" x14ac:dyDescent="0.2">
      <c r="A208" s="512">
        <v>6</v>
      </c>
      <c r="B208" s="511" t="s">
        <v>430</v>
      </c>
      <c r="C208" s="553">
        <v>8.1102000000000007</v>
      </c>
      <c r="D208" s="553">
        <v>7.0101000000000004</v>
      </c>
      <c r="E208" s="554">
        <f t="shared" si="23"/>
        <v>-1.1001000000000003</v>
      </c>
    </row>
    <row r="209" spans="1:5" s="506" customFormat="1" x14ac:dyDescent="0.2">
      <c r="A209" s="512">
        <v>7</v>
      </c>
      <c r="B209" s="511" t="s">
        <v>746</v>
      </c>
      <c r="C209" s="553">
        <v>48.234999999999999</v>
      </c>
      <c r="D209" s="553">
        <v>47.228400000000001</v>
      </c>
      <c r="E209" s="554">
        <f t="shared" si="23"/>
        <v>-1.0065999999999988</v>
      </c>
    </row>
    <row r="210" spans="1:5" s="506" customFormat="1" x14ac:dyDescent="0.2">
      <c r="A210" s="512"/>
      <c r="B210" s="516" t="s">
        <v>811</v>
      </c>
      <c r="C210" s="555">
        <f>C204+C205+C208</f>
        <v>1868.1744999999999</v>
      </c>
      <c r="D210" s="555">
        <f>D204+D205+D208</f>
        <v>1715.9860999999999</v>
      </c>
      <c r="E210" s="556">
        <f t="shared" si="23"/>
        <v>-152.1884</v>
      </c>
    </row>
    <row r="211" spans="1:5" s="506" customFormat="1" x14ac:dyDescent="0.2">
      <c r="A211" s="512"/>
      <c r="B211" s="516" t="s">
        <v>710</v>
      </c>
      <c r="C211" s="555">
        <f>C210+C203</f>
        <v>3073.9465</v>
      </c>
      <c r="D211" s="555">
        <f>D210+D203</f>
        <v>2638.0852999999997</v>
      </c>
      <c r="E211" s="556">
        <f t="shared" si="23"/>
        <v>-435.86120000000028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4090.4352952136496</v>
      </c>
      <c r="D215" s="557">
        <f>IF(D14*D137=0,0,D25/D14*D137)</f>
        <v>3800.0871219085479</v>
      </c>
      <c r="E215" s="557">
        <f t="shared" ref="E215:E223" si="24">D215-C215</f>
        <v>-290.34817330510168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1988.8795532837644</v>
      </c>
      <c r="D216" s="557">
        <f>IF(D15*D138=0,0,D26/D15*D138)</f>
        <v>1821.9130408353367</v>
      </c>
      <c r="E216" s="557">
        <f t="shared" si="24"/>
        <v>-166.96651244842769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808.08273248754233</v>
      </c>
      <c r="D217" s="557">
        <f>D218+D219</f>
        <v>822.07944825990296</v>
      </c>
      <c r="E217" s="557">
        <f t="shared" si="24"/>
        <v>13.996715772360631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803.4018509272687</v>
      </c>
      <c r="D218" s="557">
        <f t="shared" si="25"/>
        <v>779.28481746141335</v>
      </c>
      <c r="E218" s="557">
        <f t="shared" si="24"/>
        <v>-24.117033465855343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4.6808815602736651</v>
      </c>
      <c r="D219" s="557">
        <f t="shared" si="25"/>
        <v>42.794630798489571</v>
      </c>
      <c r="E219" s="557">
        <f t="shared" si="24"/>
        <v>38.113749238215902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9.3725158746688244</v>
      </c>
      <c r="D220" s="557">
        <f t="shared" si="25"/>
        <v>23.592723285853801</v>
      </c>
      <c r="E220" s="557">
        <f t="shared" si="24"/>
        <v>14.220207411184976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261.10530704875657</v>
      </c>
      <c r="D221" s="557">
        <f t="shared" si="25"/>
        <v>228.82135363397686</v>
      </c>
      <c r="E221" s="557">
        <f t="shared" si="24"/>
        <v>-32.283953414779717</v>
      </c>
    </row>
    <row r="222" spans="1:5" s="506" customFormat="1" x14ac:dyDescent="0.2">
      <c r="A222" s="512"/>
      <c r="B222" s="516" t="s">
        <v>813</v>
      </c>
      <c r="C222" s="558">
        <f>C216+C218+C219+C220</f>
        <v>2806.3348016459754</v>
      </c>
      <c r="D222" s="558">
        <f>D216+D218+D219+D220</f>
        <v>2667.5852123810932</v>
      </c>
      <c r="E222" s="558">
        <f t="shared" si="24"/>
        <v>-138.74958926488216</v>
      </c>
    </row>
    <row r="223" spans="1:5" s="506" customFormat="1" x14ac:dyDescent="0.2">
      <c r="A223" s="512"/>
      <c r="B223" s="516" t="s">
        <v>814</v>
      </c>
      <c r="C223" s="558">
        <f>C215+C222</f>
        <v>6896.7700968596255</v>
      </c>
      <c r="D223" s="558">
        <f>D215+D222</f>
        <v>6467.6723342896412</v>
      </c>
      <c r="E223" s="558">
        <f t="shared" si="24"/>
        <v>-429.0977625699843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8317.0723818433344</v>
      </c>
      <c r="D227" s="560">
        <f t="shared" si="26"/>
        <v>8630.0313458682103</v>
      </c>
      <c r="E227" s="560">
        <f t="shared" ref="E227:E235" si="27">D227-C227</f>
        <v>312.95896402487597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7658.5911992919846</v>
      </c>
      <c r="D228" s="560">
        <f t="shared" si="26"/>
        <v>7554.2410764982278</v>
      </c>
      <c r="E228" s="560">
        <f t="shared" si="27"/>
        <v>-104.35012279375678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7484.5857879978312</v>
      </c>
      <c r="D229" s="560">
        <f t="shared" si="26"/>
        <v>8387.3022163095484</v>
      </c>
      <c r="E229" s="560">
        <f t="shared" si="27"/>
        <v>902.71642831171721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7038.5623105247787</v>
      </c>
      <c r="D230" s="560">
        <f t="shared" si="26"/>
        <v>8492.2459919012617</v>
      </c>
      <c r="E230" s="560">
        <f t="shared" si="27"/>
        <v>1453.683681376483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18019.509824342153</v>
      </c>
      <c r="D231" s="560">
        <f t="shared" si="26"/>
        <v>4794.5478723404258</v>
      </c>
      <c r="E231" s="560">
        <f t="shared" si="27"/>
        <v>-13224.961952001726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5123.5481245838573</v>
      </c>
      <c r="D232" s="560">
        <f t="shared" si="26"/>
        <v>5108.0583729190739</v>
      </c>
      <c r="E232" s="560">
        <f t="shared" si="27"/>
        <v>-15.489751664783398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1514.0250855188142</v>
      </c>
      <c r="D233" s="560">
        <f t="shared" si="26"/>
        <v>708.93784248460668</v>
      </c>
      <c r="E233" s="560">
        <f t="shared" si="27"/>
        <v>-805.08724303420752</v>
      </c>
    </row>
    <row r="234" spans="1:5" x14ac:dyDescent="0.2">
      <c r="A234" s="512"/>
      <c r="B234" s="516" t="s">
        <v>816</v>
      </c>
      <c r="C234" s="561">
        <f t="shared" si="26"/>
        <v>7627.7692474659088</v>
      </c>
      <c r="D234" s="561">
        <f t="shared" si="26"/>
        <v>7647.1551838327832</v>
      </c>
      <c r="E234" s="561">
        <f t="shared" si="27"/>
        <v>19.385936366874375</v>
      </c>
    </row>
    <row r="235" spans="1:5" s="506" customFormat="1" x14ac:dyDescent="0.2">
      <c r="A235" s="512"/>
      <c r="B235" s="516" t="s">
        <v>817</v>
      </c>
      <c r="C235" s="561">
        <f t="shared" si="26"/>
        <v>7898.1520986132973</v>
      </c>
      <c r="D235" s="561">
        <f t="shared" si="26"/>
        <v>7990.7033332091278</v>
      </c>
      <c r="E235" s="561">
        <f t="shared" si="27"/>
        <v>92.551234595830465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11213.772786889709</v>
      </c>
      <c r="D239" s="560">
        <f t="shared" si="28"/>
        <v>10583.768663651155</v>
      </c>
      <c r="E239" s="562">
        <f t="shared" ref="E239:E247" si="29">D239-C239</f>
        <v>-630.0041232385538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6700.8673189866777</v>
      </c>
      <c r="D240" s="560">
        <f t="shared" si="28"/>
        <v>7098.7784324053855</v>
      </c>
      <c r="E240" s="562">
        <f t="shared" si="29"/>
        <v>397.91111341870783</v>
      </c>
    </row>
    <row r="241" spans="1:5" x14ac:dyDescent="0.2">
      <c r="A241" s="512">
        <v>3</v>
      </c>
      <c r="B241" s="511" t="s">
        <v>764</v>
      </c>
      <c r="C241" s="560">
        <f t="shared" si="28"/>
        <v>5152.1444929083218</v>
      </c>
      <c r="D241" s="560">
        <f t="shared" si="28"/>
        <v>4097.1660429286567</v>
      </c>
      <c r="E241" s="562">
        <f t="shared" si="29"/>
        <v>-1054.9784499796651</v>
      </c>
    </row>
    <row r="242" spans="1:5" x14ac:dyDescent="0.2">
      <c r="A242" s="512">
        <v>4</v>
      </c>
      <c r="B242" s="511" t="s">
        <v>114</v>
      </c>
      <c r="C242" s="560">
        <f t="shared" si="28"/>
        <v>5057.429224628253</v>
      </c>
      <c r="D242" s="560">
        <f t="shared" si="28"/>
        <v>4195.9652321365911</v>
      </c>
      <c r="E242" s="562">
        <f t="shared" si="29"/>
        <v>-861.46399249166188</v>
      </c>
    </row>
    <row r="243" spans="1:5" x14ac:dyDescent="0.2">
      <c r="A243" s="512">
        <v>5</v>
      </c>
      <c r="B243" s="511" t="s">
        <v>731</v>
      </c>
      <c r="C243" s="560">
        <f t="shared" si="28"/>
        <v>21408.574156305127</v>
      </c>
      <c r="D243" s="560">
        <f t="shared" si="28"/>
        <v>2298.0452959877161</v>
      </c>
      <c r="E243" s="562">
        <f t="shared" si="29"/>
        <v>-19110.528860317412</v>
      </c>
    </row>
    <row r="244" spans="1:5" x14ac:dyDescent="0.2">
      <c r="A244" s="512">
        <v>6</v>
      </c>
      <c r="B244" s="511" t="s">
        <v>430</v>
      </c>
      <c r="C244" s="560">
        <f t="shared" si="28"/>
        <v>7500.7608351993395</v>
      </c>
      <c r="D244" s="560">
        <f t="shared" si="28"/>
        <v>2767.760177950855</v>
      </c>
      <c r="E244" s="562">
        <f t="shared" si="29"/>
        <v>-4733.0006572484845</v>
      </c>
    </row>
    <row r="245" spans="1:5" x14ac:dyDescent="0.2">
      <c r="A245" s="512">
        <v>7</v>
      </c>
      <c r="B245" s="511" t="s">
        <v>746</v>
      </c>
      <c r="C245" s="560">
        <f t="shared" si="28"/>
        <v>1327.7899400767888</v>
      </c>
      <c r="D245" s="560">
        <f t="shared" si="28"/>
        <v>620.03828640463496</v>
      </c>
      <c r="E245" s="562">
        <f t="shared" si="29"/>
        <v>-707.75165367215379</v>
      </c>
    </row>
    <row r="246" spans="1:5" ht="25.5" x14ac:dyDescent="0.2">
      <c r="A246" s="512"/>
      <c r="B246" s="516" t="s">
        <v>819</v>
      </c>
      <c r="C246" s="561">
        <f t="shared" si="28"/>
        <v>6257.5848005377584</v>
      </c>
      <c r="D246" s="561">
        <f t="shared" si="28"/>
        <v>6135.4561136552811</v>
      </c>
      <c r="E246" s="563">
        <f t="shared" si="29"/>
        <v>-122.12868688247727</v>
      </c>
    </row>
    <row r="247" spans="1:5" x14ac:dyDescent="0.2">
      <c r="A247" s="512"/>
      <c r="B247" s="516" t="s">
        <v>820</v>
      </c>
      <c r="C247" s="561">
        <f t="shared" si="28"/>
        <v>9197.0718335068541</v>
      </c>
      <c r="D247" s="561">
        <f t="shared" si="28"/>
        <v>8749.0664454347279</v>
      </c>
      <c r="E247" s="563">
        <f t="shared" si="29"/>
        <v>-448.00538807212615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1320341.2068919416</v>
      </c>
      <c r="D251" s="546">
        <f>((IF((IF(D15=0,0,D26/D15)*D138)=0,0,D59/(IF(D15=0,0,D26/D15)*D138)))-(IF((IF(D17=0,0,D28/D17)*D140)=0,0,D61/(IF(D17=0,0,D28/D17)*D140))))*(IF(D17=0,0,D28/D17)*D140)</f>
        <v>2262118.2548960485</v>
      </c>
      <c r="E251" s="546">
        <f>D251-C251</f>
        <v>941777.04800410685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-158382.02030267337</v>
      </c>
      <c r="D252" s="546">
        <f>IF(D231=0,0,(D228-D231)*D207)+IF(D243=0,0,(D240-D243)*D219)</f>
        <v>222047.91645128239</v>
      </c>
      <c r="E252" s="546">
        <f>D252-C252</f>
        <v>380429.93675395579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1699322.1653148436</v>
      </c>
      <c r="D253" s="546">
        <f>IF(D233=0,0,(D228-D233)*D209+IF(D221=0,0,(D240-D245)*D221))</f>
        <v>1805766.8093079694</v>
      </c>
      <c r="E253" s="546">
        <f>D253-C253</f>
        <v>106444.64399312576</v>
      </c>
    </row>
    <row r="254" spans="1:5" ht="15" customHeight="1" x14ac:dyDescent="0.2">
      <c r="A254" s="512"/>
      <c r="B254" s="516" t="s">
        <v>747</v>
      </c>
      <c r="C254" s="564">
        <f>+C251+C252+C253</f>
        <v>2861281.3519041119</v>
      </c>
      <c r="D254" s="564">
        <f>+D251+D252+D253</f>
        <v>4289932.9806553004</v>
      </c>
      <c r="E254" s="564">
        <f>D254-C254</f>
        <v>1428651.6287511885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238485896</v>
      </c>
      <c r="D258" s="549">
        <f>+D44</f>
        <v>204381627</v>
      </c>
      <c r="E258" s="546">
        <f t="shared" ref="E258:E271" si="30">D258-C258</f>
        <v>-34104269</v>
      </c>
    </row>
    <row r="259" spans="1:5" x14ac:dyDescent="0.2">
      <c r="A259" s="512">
        <v>2</v>
      </c>
      <c r="B259" s="511" t="s">
        <v>730</v>
      </c>
      <c r="C259" s="546">
        <f>+(C43-C76)</f>
        <v>91265544</v>
      </c>
      <c r="D259" s="549">
        <f>+(D43-D76)</f>
        <v>79186474</v>
      </c>
      <c r="E259" s="546">
        <f t="shared" si="30"/>
        <v>-12079070</v>
      </c>
    </row>
    <row r="260" spans="1:5" x14ac:dyDescent="0.2">
      <c r="A260" s="512">
        <v>3</v>
      </c>
      <c r="B260" s="511" t="s">
        <v>734</v>
      </c>
      <c r="C260" s="546">
        <f>C195</f>
        <v>4280580</v>
      </c>
      <c r="D260" s="546">
        <f>D195</f>
        <v>4306928</v>
      </c>
      <c r="E260" s="546">
        <f t="shared" si="30"/>
        <v>26348</v>
      </c>
    </row>
    <row r="261" spans="1:5" x14ac:dyDescent="0.2">
      <c r="A261" s="512">
        <v>4</v>
      </c>
      <c r="B261" s="511" t="s">
        <v>735</v>
      </c>
      <c r="C261" s="546">
        <f>C188</f>
        <v>55231186</v>
      </c>
      <c r="D261" s="546">
        <f>D188</f>
        <v>43221974</v>
      </c>
      <c r="E261" s="546">
        <f t="shared" si="30"/>
        <v>-12009212</v>
      </c>
    </row>
    <row r="262" spans="1:5" x14ac:dyDescent="0.2">
      <c r="A262" s="512">
        <v>5</v>
      </c>
      <c r="B262" s="511" t="s">
        <v>736</v>
      </c>
      <c r="C262" s="546">
        <f>C191</f>
        <v>0</v>
      </c>
      <c r="D262" s="546">
        <f>D191</f>
        <v>1585231</v>
      </c>
      <c r="E262" s="546">
        <f t="shared" si="30"/>
        <v>1585231</v>
      </c>
    </row>
    <row r="263" spans="1:5" x14ac:dyDescent="0.2">
      <c r="A263" s="512">
        <v>6</v>
      </c>
      <c r="B263" s="511" t="s">
        <v>737</v>
      </c>
      <c r="C263" s="546">
        <f>+C259+C260+C261+C262</f>
        <v>150777310</v>
      </c>
      <c r="D263" s="546">
        <f>+D259+D260+D261+D262</f>
        <v>128300607</v>
      </c>
      <c r="E263" s="546">
        <f t="shared" si="30"/>
        <v>-22476703</v>
      </c>
    </row>
    <row r="264" spans="1:5" x14ac:dyDescent="0.2">
      <c r="A264" s="512">
        <v>7</v>
      </c>
      <c r="B264" s="511" t="s">
        <v>637</v>
      </c>
      <c r="C264" s="546">
        <f>+C258-C263</f>
        <v>87708586</v>
      </c>
      <c r="D264" s="546">
        <f>+D258-D263</f>
        <v>76081020</v>
      </c>
      <c r="E264" s="546">
        <f t="shared" si="30"/>
        <v>-11627566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87708586</v>
      </c>
      <c r="D266" s="546">
        <f>+D264+D265</f>
        <v>76081020</v>
      </c>
      <c r="E266" s="565">
        <f t="shared" si="30"/>
        <v>-11627566</v>
      </c>
    </row>
    <row r="267" spans="1:5" x14ac:dyDescent="0.2">
      <c r="A267" s="512">
        <v>10</v>
      </c>
      <c r="B267" s="511" t="s">
        <v>825</v>
      </c>
      <c r="C267" s="566">
        <f>IF(C258=0,0,C266/C258)</f>
        <v>0.36777263339715488</v>
      </c>
      <c r="D267" s="566">
        <f>IF(D258=0,0,D266/D258)</f>
        <v>0.37224980110369704</v>
      </c>
      <c r="E267" s="567">
        <f t="shared" si="30"/>
        <v>4.4771677065421622E-3</v>
      </c>
    </row>
    <row r="268" spans="1:5" x14ac:dyDescent="0.2">
      <c r="A268" s="512">
        <v>11</v>
      </c>
      <c r="B268" s="511" t="s">
        <v>699</v>
      </c>
      <c r="C268" s="546">
        <f>+C260*C267</f>
        <v>1574280.1790671933</v>
      </c>
      <c r="D268" s="568">
        <f>+D260*D267</f>
        <v>1603253.0913679437</v>
      </c>
      <c r="E268" s="546">
        <f t="shared" si="30"/>
        <v>28972.91230075038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1702587.2441318212</v>
      </c>
      <c r="D269" s="568">
        <f>((D17+D18+D28+D29)*D267)-(D50+D51+D61+D62)</f>
        <v>1506242.4123531319</v>
      </c>
      <c r="E269" s="546">
        <f t="shared" si="30"/>
        <v>-196344.83177868929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3276867.4231990147</v>
      </c>
      <c r="D271" s="546">
        <f>+D268+D269+D270</f>
        <v>3109495.5037210756</v>
      </c>
      <c r="E271" s="549">
        <f t="shared" si="30"/>
        <v>-167371.91947793914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0.41970192751231861</v>
      </c>
      <c r="D276" s="547">
        <f t="shared" si="31"/>
        <v>0.43896921562160457</v>
      </c>
      <c r="E276" s="574">
        <f t="shared" ref="E276:E284" si="32">D276-C276</f>
        <v>1.9267288109285963E-2</v>
      </c>
    </row>
    <row r="277" spans="1:5" x14ac:dyDescent="0.2">
      <c r="A277" s="512">
        <v>2</v>
      </c>
      <c r="B277" s="511" t="s">
        <v>618</v>
      </c>
      <c r="C277" s="547">
        <f t="shared" si="31"/>
        <v>0.3278475792649187</v>
      </c>
      <c r="D277" s="547">
        <f t="shared" si="31"/>
        <v>0.32891181185663854</v>
      </c>
      <c r="E277" s="574">
        <f t="shared" si="32"/>
        <v>1.0642325917198381E-3</v>
      </c>
    </row>
    <row r="278" spans="1:5" x14ac:dyDescent="0.2">
      <c r="A278" s="512">
        <v>3</v>
      </c>
      <c r="B278" s="511" t="s">
        <v>764</v>
      </c>
      <c r="C278" s="547">
        <f t="shared" si="31"/>
        <v>0.32499853053307359</v>
      </c>
      <c r="D278" s="547">
        <f t="shared" si="31"/>
        <v>0.39591968167691488</v>
      </c>
      <c r="E278" s="574">
        <f t="shared" si="32"/>
        <v>7.0921151143841288E-2</v>
      </c>
    </row>
    <row r="279" spans="1:5" x14ac:dyDescent="0.2">
      <c r="A279" s="512">
        <v>4</v>
      </c>
      <c r="B279" s="511" t="s">
        <v>114</v>
      </c>
      <c r="C279" s="547">
        <f t="shared" si="31"/>
        <v>0.32619431489558026</v>
      </c>
      <c r="D279" s="547">
        <f t="shared" si="31"/>
        <v>0.39589358913709238</v>
      </c>
      <c r="E279" s="574">
        <f t="shared" si="32"/>
        <v>6.9699274241512121E-2</v>
      </c>
    </row>
    <row r="280" spans="1:5" x14ac:dyDescent="0.2">
      <c r="A280" s="512">
        <v>5</v>
      </c>
      <c r="B280" s="511" t="s">
        <v>731</v>
      </c>
      <c r="C280" s="547">
        <f t="shared" si="31"/>
        <v>0.31436623471532193</v>
      </c>
      <c r="D280" s="547">
        <f t="shared" si="31"/>
        <v>0.39750833769741739</v>
      </c>
      <c r="E280" s="574">
        <f t="shared" si="32"/>
        <v>8.3142102982095456E-2</v>
      </c>
    </row>
    <row r="281" spans="1:5" x14ac:dyDescent="0.2">
      <c r="A281" s="512">
        <v>6</v>
      </c>
      <c r="B281" s="511" t="s">
        <v>430</v>
      </c>
      <c r="C281" s="547">
        <f t="shared" si="31"/>
        <v>0.2012631925642131</v>
      </c>
      <c r="D281" s="547">
        <f t="shared" si="31"/>
        <v>0.32991210451639058</v>
      </c>
      <c r="E281" s="574">
        <f t="shared" si="32"/>
        <v>0.12864891195217748</v>
      </c>
    </row>
    <row r="282" spans="1:5" x14ac:dyDescent="0.2">
      <c r="A282" s="512">
        <v>7</v>
      </c>
      <c r="B282" s="511" t="s">
        <v>746</v>
      </c>
      <c r="C282" s="547">
        <f t="shared" si="31"/>
        <v>8.9297374232408674E-2</v>
      </c>
      <c r="D282" s="547">
        <f t="shared" si="31"/>
        <v>3.9225885663607747E-2</v>
      </c>
      <c r="E282" s="574">
        <f t="shared" si="32"/>
        <v>-5.0071488568800927E-2</v>
      </c>
    </row>
    <row r="283" spans="1:5" ht="29.25" customHeight="1" x14ac:dyDescent="0.2">
      <c r="A283" s="512"/>
      <c r="B283" s="516" t="s">
        <v>832</v>
      </c>
      <c r="C283" s="575">
        <f t="shared" si="31"/>
        <v>0.32692772361918848</v>
      </c>
      <c r="D283" s="575">
        <f t="shared" si="31"/>
        <v>0.33663371264107123</v>
      </c>
      <c r="E283" s="576">
        <f t="shared" si="32"/>
        <v>9.7059890218827438E-3</v>
      </c>
    </row>
    <row r="284" spans="1:5" x14ac:dyDescent="0.2">
      <c r="A284" s="512"/>
      <c r="B284" s="516" t="s">
        <v>833</v>
      </c>
      <c r="C284" s="575">
        <f t="shared" si="31"/>
        <v>0.3597776442441275</v>
      </c>
      <c r="D284" s="575">
        <f t="shared" si="31"/>
        <v>0.36911802636092433</v>
      </c>
      <c r="E284" s="576">
        <f t="shared" si="32"/>
        <v>9.3403821167968304E-3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0.5012198854773201</v>
      </c>
      <c r="D287" s="547">
        <f t="shared" si="33"/>
        <v>0.51843862579158762</v>
      </c>
      <c r="E287" s="574">
        <f t="shared" ref="E287:E295" si="34">D287-C287</f>
        <v>1.7218740314267511E-2</v>
      </c>
    </row>
    <row r="288" spans="1:5" x14ac:dyDescent="0.2">
      <c r="A288" s="512">
        <v>2</v>
      </c>
      <c r="B288" s="511" t="s">
        <v>618</v>
      </c>
      <c r="C288" s="547">
        <f t="shared" si="33"/>
        <v>0.20878485302339789</v>
      </c>
      <c r="D288" s="547">
        <f t="shared" si="33"/>
        <v>0.23082969302782747</v>
      </c>
      <c r="E288" s="574">
        <f t="shared" si="34"/>
        <v>2.2044840004429578E-2</v>
      </c>
    </row>
    <row r="289" spans="1:5" x14ac:dyDescent="0.2">
      <c r="A289" s="512">
        <v>3</v>
      </c>
      <c r="B289" s="511" t="s">
        <v>764</v>
      </c>
      <c r="C289" s="547">
        <f t="shared" si="33"/>
        <v>0.27069852402377154</v>
      </c>
      <c r="D289" s="547">
        <f t="shared" si="33"/>
        <v>0.25173229648781387</v>
      </c>
      <c r="E289" s="574">
        <f t="shared" si="34"/>
        <v>-1.8966227535957669E-2</v>
      </c>
    </row>
    <row r="290" spans="1:5" x14ac:dyDescent="0.2">
      <c r="A290" s="512">
        <v>4</v>
      </c>
      <c r="B290" s="511" t="s">
        <v>114</v>
      </c>
      <c r="C290" s="547">
        <f t="shared" si="33"/>
        <v>0.27099192169359049</v>
      </c>
      <c r="D290" s="547">
        <f t="shared" si="33"/>
        <v>0.25168364350962019</v>
      </c>
      <c r="E290" s="574">
        <f t="shared" si="34"/>
        <v>-1.9308278183970295E-2</v>
      </c>
    </row>
    <row r="291" spans="1:5" x14ac:dyDescent="0.2">
      <c r="A291" s="512">
        <v>5</v>
      </c>
      <c r="B291" s="511" t="s">
        <v>731</v>
      </c>
      <c r="C291" s="547">
        <f t="shared" si="33"/>
        <v>0.25931503836250952</v>
      </c>
      <c r="D291" s="547">
        <f t="shared" si="33"/>
        <v>0.25336074485132343</v>
      </c>
      <c r="E291" s="574">
        <f t="shared" si="34"/>
        <v>-5.9542935111860928E-3</v>
      </c>
    </row>
    <row r="292" spans="1:5" x14ac:dyDescent="0.2">
      <c r="A292" s="512">
        <v>6</v>
      </c>
      <c r="B292" s="511" t="s">
        <v>430</v>
      </c>
      <c r="C292" s="547">
        <f t="shared" si="33"/>
        <v>0.25431110886024666</v>
      </c>
      <c r="D292" s="547">
        <f t="shared" si="33"/>
        <v>0.22950341448670231</v>
      </c>
      <c r="E292" s="574">
        <f t="shared" si="34"/>
        <v>-2.4807694373544353E-2</v>
      </c>
    </row>
    <row r="293" spans="1:5" x14ac:dyDescent="0.2">
      <c r="A293" s="512">
        <v>7</v>
      </c>
      <c r="B293" s="511" t="s">
        <v>746</v>
      </c>
      <c r="C293" s="547">
        <f t="shared" si="33"/>
        <v>8.9296697681175249E-2</v>
      </c>
      <c r="D293" s="547">
        <f t="shared" si="33"/>
        <v>3.9225964703322506E-2</v>
      </c>
      <c r="E293" s="574">
        <f t="shared" si="34"/>
        <v>-5.0070732977852743E-2</v>
      </c>
    </row>
    <row r="294" spans="1:5" ht="29.25" customHeight="1" x14ac:dyDescent="0.2">
      <c r="A294" s="512"/>
      <c r="B294" s="516" t="s">
        <v>835</v>
      </c>
      <c r="C294" s="575">
        <f t="shared" si="33"/>
        <v>0.22092267642542537</v>
      </c>
      <c r="D294" s="575">
        <f t="shared" si="33"/>
        <v>0.23483719889877619</v>
      </c>
      <c r="E294" s="576">
        <f t="shared" si="34"/>
        <v>1.3914522473350815E-2</v>
      </c>
    </row>
    <row r="295" spans="1:5" x14ac:dyDescent="0.2">
      <c r="A295" s="512"/>
      <c r="B295" s="516" t="s">
        <v>836</v>
      </c>
      <c r="C295" s="575">
        <f t="shared" si="33"/>
        <v>0.3709276392955283</v>
      </c>
      <c r="D295" s="575">
        <f t="shared" si="33"/>
        <v>0.38422821534210921</v>
      </c>
      <c r="E295" s="576">
        <f t="shared" si="34"/>
        <v>1.3300576046580914E-2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87708587</v>
      </c>
      <c r="D301" s="514">
        <f>+D48+D47+D50+D51+D52+D59+D58+D61+D62+D63</f>
        <v>77666252</v>
      </c>
      <c r="E301" s="514">
        <f>D301-C301</f>
        <v>-10042335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87708587</v>
      </c>
      <c r="D303" s="517">
        <f>+D301+D302</f>
        <v>77666252</v>
      </c>
      <c r="E303" s="517">
        <f>D303-C303</f>
        <v>-10042335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2879520</v>
      </c>
      <c r="D305" s="578">
        <v>3569821</v>
      </c>
      <c r="E305" s="579">
        <f>D305-C305</f>
        <v>690301</v>
      </c>
    </row>
    <row r="306" spans="1:5" x14ac:dyDescent="0.2">
      <c r="A306" s="512">
        <v>4</v>
      </c>
      <c r="B306" s="516" t="s">
        <v>843</v>
      </c>
      <c r="C306" s="580">
        <f>+C303+C305</f>
        <v>90588107</v>
      </c>
      <c r="D306" s="580">
        <f>+D303+D305</f>
        <v>81236073</v>
      </c>
      <c r="E306" s="580">
        <f>D306-C306</f>
        <v>-9352034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90588107</v>
      </c>
      <c r="D308" s="513">
        <v>81236073</v>
      </c>
      <c r="E308" s="514">
        <f>D308-C308</f>
        <v>-9352034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238485896</v>
      </c>
      <c r="D314" s="514">
        <f>+D14+D15+D16+D19+D25+D26+D27+D30</f>
        <v>204381627</v>
      </c>
      <c r="E314" s="514">
        <f>D314-C314</f>
        <v>-34104269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238485896</v>
      </c>
      <c r="D316" s="581">
        <f>D314+D315</f>
        <v>204381627</v>
      </c>
      <c r="E316" s="517">
        <f>D316-C316</f>
        <v>-34104269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238485898</v>
      </c>
      <c r="D318" s="513">
        <v>204381627</v>
      </c>
      <c r="E318" s="514">
        <f>D318-C318</f>
        <v>-34104271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-2</v>
      </c>
      <c r="D320" s="581">
        <f>D316-D318</f>
        <v>0</v>
      </c>
      <c r="E320" s="517">
        <f>D320-C320</f>
        <v>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4280580</v>
      </c>
      <c r="D324" s="513">
        <f>+D193+D194</f>
        <v>4306928</v>
      </c>
      <c r="E324" s="514">
        <f>D324-C324</f>
        <v>26348</v>
      </c>
    </row>
    <row r="325" spans="1:5" x14ac:dyDescent="0.2">
      <c r="A325" s="512">
        <v>2</v>
      </c>
      <c r="B325" s="511" t="s">
        <v>853</v>
      </c>
      <c r="C325" s="513">
        <v>850055</v>
      </c>
      <c r="D325" s="513">
        <v>428820</v>
      </c>
      <c r="E325" s="514">
        <f>D325-C325</f>
        <v>-421235</v>
      </c>
    </row>
    <row r="326" spans="1:5" x14ac:dyDescent="0.2">
      <c r="A326" s="512"/>
      <c r="B326" s="516" t="s">
        <v>854</v>
      </c>
      <c r="C326" s="581">
        <f>C324+C325</f>
        <v>5130635</v>
      </c>
      <c r="D326" s="581">
        <f>D324+D325</f>
        <v>4735748</v>
      </c>
      <c r="E326" s="517">
        <f>D326-C326</f>
        <v>-394887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5130635</v>
      </c>
      <c r="D328" s="513">
        <v>4735748</v>
      </c>
      <c r="E328" s="514">
        <f>D328-C328</f>
        <v>-394887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FILING&amp;RNEW 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18128253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34382207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4490532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4417970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72562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108538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853569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38981277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57109530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77577636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56029867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13380071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12991913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388158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284523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3616941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69694461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147272097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95705889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108675738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204381627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7957745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11308714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1777890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1749046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28844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35808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33482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13122412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21080157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40219243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12933357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3368196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3269852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98344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65299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141878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16366852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56586095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48176988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29489264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77666252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888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1118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273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265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8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9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54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1400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2288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1.0384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1.339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0.77646153846153843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0.7772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0.752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0.77890000000000004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0.87460000000000004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1.2257043571428572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1.1530093094405596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91235379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48013405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43221974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0.47374137613874545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2704607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1585231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1181756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3125172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4306928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1244665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88958809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77666252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77666252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3569821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81236073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81236073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204381627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204381627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204381627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4306928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428820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4735748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4735748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FILING&amp;RNEW 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114</v>
      </c>
      <c r="D12" s="49">
        <v>127</v>
      </c>
      <c r="E12" s="49">
        <f>+D12-C12</f>
        <v>13</v>
      </c>
      <c r="F12" s="70">
        <f>IF(C12=0,0,+E12/C12)</f>
        <v>0.11403508771929824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110</v>
      </c>
      <c r="D13" s="49">
        <v>115</v>
      </c>
      <c r="E13" s="49">
        <f>+D13-C13</f>
        <v>5</v>
      </c>
      <c r="F13" s="70">
        <f>IF(C13=0,0,+E13/C13)</f>
        <v>4.5454545454545456E-2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1734591</v>
      </c>
      <c r="D15" s="51">
        <v>1181756</v>
      </c>
      <c r="E15" s="51">
        <f>+D15-C15</f>
        <v>-552835</v>
      </c>
      <c r="F15" s="70">
        <f>IF(C15=0,0,+E15/C15)</f>
        <v>-0.3187120191445707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15769.00909090909</v>
      </c>
      <c r="D16" s="27">
        <f>IF(D13=0,0,+D15/+D13)</f>
        <v>10276.139130434784</v>
      </c>
      <c r="E16" s="27">
        <f>+D16-C16</f>
        <v>-5492.8699604743069</v>
      </c>
      <c r="F16" s="28">
        <f>IF(C16=0,0,+E16/C16)</f>
        <v>-0.34833323570350233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0.37677699999999997</v>
      </c>
      <c r="D18" s="210">
        <v>0.388548</v>
      </c>
      <c r="E18" s="210">
        <f>+D18-C18</f>
        <v>1.1771000000000031E-2</v>
      </c>
      <c r="F18" s="70">
        <f>IF(C18=0,0,+E18/C18)</f>
        <v>3.1241291267779171E-2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653553.99320699996</v>
      </c>
      <c r="D19" s="27">
        <f>+D15*D18</f>
        <v>459168.93028800003</v>
      </c>
      <c r="E19" s="27">
        <f>+D19-C19</f>
        <v>-194385.06291899993</v>
      </c>
      <c r="F19" s="28">
        <f>IF(C19=0,0,+E19/C19)</f>
        <v>-0.29742770289742904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5941.399938245454</v>
      </c>
      <c r="D20" s="27">
        <f>IF(D13=0,0,+D19/D13)</f>
        <v>3992.7733068521743</v>
      </c>
      <c r="E20" s="27">
        <f>+D20-C20</f>
        <v>-1948.6266313932797</v>
      </c>
      <c r="F20" s="28">
        <f>IF(C20=0,0,+E20/C20)</f>
        <v>-0.32797432451058423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316633</v>
      </c>
      <c r="D22" s="51">
        <v>354009</v>
      </c>
      <c r="E22" s="51">
        <f>+D22-C22</f>
        <v>37376</v>
      </c>
      <c r="F22" s="70">
        <f>IF(C22=0,0,+E22/C22)</f>
        <v>0.11804202341512098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1168282</v>
      </c>
      <c r="D23" s="49">
        <v>608592</v>
      </c>
      <c r="E23" s="49">
        <f>+D23-C23</f>
        <v>-559690</v>
      </c>
      <c r="F23" s="70">
        <f>IF(C23=0,0,+E23/C23)</f>
        <v>-0.47907097772626817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249676</v>
      </c>
      <c r="D24" s="49">
        <v>219155</v>
      </c>
      <c r="E24" s="49">
        <f>+D24-C24</f>
        <v>-30521</v>
      </c>
      <c r="F24" s="70">
        <f>IF(C24=0,0,+E24/C24)</f>
        <v>-0.1222424261843349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1734591</v>
      </c>
      <c r="D25" s="27">
        <f>+D22+D23+D24</f>
        <v>1181756</v>
      </c>
      <c r="E25" s="27">
        <f>+E22+E23+E24</f>
        <v>-552835</v>
      </c>
      <c r="F25" s="28">
        <f>IF(C25=0,0,+E25/C25)</f>
        <v>-0.3187120191445707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204</v>
      </c>
      <c r="D27" s="49">
        <v>219</v>
      </c>
      <c r="E27" s="49">
        <f>+D27-C27</f>
        <v>15</v>
      </c>
      <c r="F27" s="70">
        <f>IF(C27=0,0,+E27/C27)</f>
        <v>7.3529411764705885E-2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64</v>
      </c>
      <c r="D28" s="49">
        <v>70</v>
      </c>
      <c r="E28" s="49">
        <f>+D28-C28</f>
        <v>6</v>
      </c>
      <c r="F28" s="70">
        <f>IF(C28=0,0,+E28/C28)</f>
        <v>9.375E-2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414</v>
      </c>
      <c r="D29" s="49">
        <v>503</v>
      </c>
      <c r="E29" s="49">
        <f>+D29-C29</f>
        <v>89</v>
      </c>
      <c r="F29" s="70">
        <f>IF(C29=0,0,+E29/C29)</f>
        <v>0.21497584541062803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917</v>
      </c>
      <c r="D30" s="49">
        <v>1056</v>
      </c>
      <c r="E30" s="49">
        <f>+D30-C30</f>
        <v>139</v>
      </c>
      <c r="F30" s="70">
        <f>IF(C30=0,0,+E30/C30)</f>
        <v>0.15158124318429661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720413</v>
      </c>
      <c r="D33" s="51">
        <v>873254</v>
      </c>
      <c r="E33" s="51">
        <f>+D33-C33</f>
        <v>152841</v>
      </c>
      <c r="F33" s="70">
        <f>IF(C33=0,0,+E33/C33)</f>
        <v>0.21215747078411967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1741296</v>
      </c>
      <c r="D34" s="49">
        <v>2158382</v>
      </c>
      <c r="E34" s="49">
        <f>+D34-C34</f>
        <v>417086</v>
      </c>
      <c r="F34" s="70">
        <f>IF(C34=0,0,+E34/C34)</f>
        <v>0.23952619198573935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84280</v>
      </c>
      <c r="D35" s="49">
        <v>93536</v>
      </c>
      <c r="E35" s="49">
        <f>+D35-C35</f>
        <v>9256</v>
      </c>
      <c r="F35" s="70">
        <f>IF(C35=0,0,+E35/C35)</f>
        <v>0.10982439487422876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2545989</v>
      </c>
      <c r="D36" s="27">
        <f>+D33+D34+D35</f>
        <v>3125172</v>
      </c>
      <c r="E36" s="27">
        <f>+E33+E34+E35</f>
        <v>579183</v>
      </c>
      <c r="F36" s="28">
        <f>IF(C36=0,0,+E36/C36)</f>
        <v>0.22748841412904769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1734591</v>
      </c>
      <c r="D39" s="51">
        <f>+D25</f>
        <v>1181756</v>
      </c>
      <c r="E39" s="51">
        <f>+D39-C39</f>
        <v>-552835</v>
      </c>
      <c r="F39" s="70">
        <f>IF(C39=0,0,+E39/C39)</f>
        <v>-0.3187120191445707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2545989</v>
      </c>
      <c r="D40" s="49">
        <f>+D36</f>
        <v>3125172</v>
      </c>
      <c r="E40" s="49">
        <f>+D40-C40</f>
        <v>579183</v>
      </c>
      <c r="F40" s="70">
        <f>IF(C40=0,0,+E40/C40)</f>
        <v>0.22748841412904769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4280580</v>
      </c>
      <c r="D41" s="27">
        <f>+D39+D40</f>
        <v>4306928</v>
      </c>
      <c r="E41" s="27">
        <f>+E39+E40</f>
        <v>26348</v>
      </c>
      <c r="F41" s="28">
        <f>IF(C41=0,0,+E41/C41)</f>
        <v>6.1552406449593283E-3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1037046</v>
      </c>
      <c r="D43" s="51">
        <f t="shared" si="0"/>
        <v>1227263</v>
      </c>
      <c r="E43" s="51">
        <f>+D43-C43</f>
        <v>190217</v>
      </c>
      <c r="F43" s="70">
        <f>IF(C43=0,0,+E43/C43)</f>
        <v>0.18342195042457132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2909578</v>
      </c>
      <c r="D44" s="49">
        <f t="shared" si="0"/>
        <v>2766974</v>
      </c>
      <c r="E44" s="49">
        <f>+D44-C44</f>
        <v>-142604</v>
      </c>
      <c r="F44" s="70">
        <f>IF(C44=0,0,+E44/C44)</f>
        <v>-4.9011918566884957E-2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333956</v>
      </c>
      <c r="D45" s="49">
        <f t="shared" si="0"/>
        <v>312691</v>
      </c>
      <c r="E45" s="49">
        <f>+D45-C45</f>
        <v>-21265</v>
      </c>
      <c r="F45" s="70">
        <f>IF(C45=0,0,+E45/C45)</f>
        <v>-6.3676053132748031E-2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4280580</v>
      </c>
      <c r="D46" s="27">
        <f>+D43+D44+D45</f>
        <v>4306928</v>
      </c>
      <c r="E46" s="27">
        <f>+E43+E44+E45</f>
        <v>26348</v>
      </c>
      <c r="F46" s="28">
        <f>IF(C46=0,0,+E46/C46)</f>
        <v>6.1552406449593283E-3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FILING&amp;RNEW 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110709168</v>
      </c>
      <c r="D15" s="51">
        <v>91235379</v>
      </c>
      <c r="E15" s="51">
        <f>+D15-C15</f>
        <v>-19473789</v>
      </c>
      <c r="F15" s="70">
        <f>+E15/C15</f>
        <v>-0.17590041865367465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55231186</v>
      </c>
      <c r="D17" s="51">
        <v>43221974</v>
      </c>
      <c r="E17" s="51">
        <f>+D17-C17</f>
        <v>-12009212</v>
      </c>
      <c r="F17" s="70">
        <f>+E17/C17</f>
        <v>-0.21743534531378703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55477982</v>
      </c>
      <c r="D19" s="27">
        <f>+D15-D17</f>
        <v>48013405</v>
      </c>
      <c r="E19" s="27">
        <f>+D19-C19</f>
        <v>-7464577</v>
      </c>
      <c r="F19" s="28">
        <f>+E19/C19</f>
        <v>-0.13455026175970136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0.49888538589685727</v>
      </c>
      <c r="D21" s="628">
        <f>+D17/D15</f>
        <v>0.47374137613874545</v>
      </c>
      <c r="E21" s="628">
        <f>+D21-C21</f>
        <v>-2.5144009758111818E-2</v>
      </c>
      <c r="F21" s="28">
        <f>+E21/C21</f>
        <v>-5.0400373450326427E-2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FILING&amp;R&amp;12NEW 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70265597</v>
      </c>
      <c r="D10" s="641">
        <v>67481950</v>
      </c>
      <c r="E10" s="641">
        <v>57109530</v>
      </c>
    </row>
    <row r="11" spans="1:6" ht="26.1" customHeight="1" x14ac:dyDescent="0.25">
      <c r="A11" s="639">
        <v>2</v>
      </c>
      <c r="B11" s="640" t="s">
        <v>920</v>
      </c>
      <c r="C11" s="641">
        <v>169862103</v>
      </c>
      <c r="D11" s="641">
        <v>171003946</v>
      </c>
      <c r="E11" s="641">
        <v>147272097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240127700</v>
      </c>
      <c r="D12" s="641">
        <f>+D11+D10</f>
        <v>238485896</v>
      </c>
      <c r="E12" s="641">
        <f>+E11+E10</f>
        <v>204381627</v>
      </c>
    </row>
    <row r="13" spans="1:6" ht="26.1" customHeight="1" x14ac:dyDescent="0.25">
      <c r="A13" s="639">
        <v>4</v>
      </c>
      <c r="B13" s="640" t="s">
        <v>496</v>
      </c>
      <c r="C13" s="641">
        <v>88045146</v>
      </c>
      <c r="D13" s="641">
        <v>90588107</v>
      </c>
      <c r="E13" s="641">
        <v>81236073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91802230</v>
      </c>
      <c r="D16" s="641">
        <v>93915766</v>
      </c>
      <c r="E16" s="641">
        <v>88958809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9382</v>
      </c>
      <c r="D19" s="644">
        <v>9347</v>
      </c>
      <c r="E19" s="644">
        <v>8537</v>
      </c>
    </row>
    <row r="20" spans="1:5" ht="26.1" customHeight="1" x14ac:dyDescent="0.25">
      <c r="A20" s="639">
        <v>2</v>
      </c>
      <c r="B20" s="640" t="s">
        <v>385</v>
      </c>
      <c r="C20" s="645">
        <v>2512</v>
      </c>
      <c r="D20" s="645">
        <v>2516</v>
      </c>
      <c r="E20" s="645">
        <v>2288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3.7348726114649682</v>
      </c>
      <c r="D21" s="646">
        <f>IF(D20=0,0,+D19/D20)</f>
        <v>3.7150238473767887</v>
      </c>
      <c r="E21" s="646">
        <f>IF(E20=0,0,+E19/E20)</f>
        <v>3.7312062937062938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32062.320361413851</v>
      </c>
      <c r="D22" s="645">
        <f>IF(D10=0,0,D19*(D12/D10))</f>
        <v>33032.94688301094</v>
      </c>
      <c r="E22" s="645">
        <f>IF(E10=0,0,E19*(E12/E10))</f>
        <v>30551.922764887051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8584.582045179237</v>
      </c>
      <c r="D23" s="645">
        <f>IF(D10=0,0,D20*(D12/D10))</f>
        <v>8891.7186645614129</v>
      </c>
      <c r="E23" s="645">
        <f>IF(E10=0,0,E20*(E12/E10))</f>
        <v>8188.2159173083719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1.3054694665605093</v>
      </c>
      <c r="D26" s="647">
        <v>1.2217593402225755</v>
      </c>
      <c r="E26" s="647">
        <v>1.1530093094405596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12247.914535270698</v>
      </c>
      <c r="D27" s="645">
        <f>D19*D26</f>
        <v>11419.784553060414</v>
      </c>
      <c r="E27" s="645">
        <f>E19*E26</f>
        <v>9843.2404746940574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3279.3392999999996</v>
      </c>
      <c r="D28" s="645">
        <f>D20*D26</f>
        <v>3073.9465</v>
      </c>
      <c r="E28" s="645">
        <f>E20*E26</f>
        <v>2638.0853000000002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41856.380258907098</v>
      </c>
      <c r="D29" s="645">
        <f>D22*D26</f>
        <v>40358.311389394825</v>
      </c>
      <c r="E29" s="645">
        <f>E22*E26</f>
        <v>35226.651369223728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11206.909743165064</v>
      </c>
      <c r="D30" s="645">
        <f>D23*D26</f>
        <v>10863.540329059311</v>
      </c>
      <c r="E30" s="645">
        <f>E23*E26</f>
        <v>9441.0891803659233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25594.510765295247</v>
      </c>
      <c r="D33" s="641">
        <f>IF(D19=0,0,D12/D19)</f>
        <v>25514.699475767626</v>
      </c>
      <c r="E33" s="641">
        <f>IF(E19=0,0,E12/E19)</f>
        <v>23940.684901019093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95592.237261146496</v>
      </c>
      <c r="D34" s="641">
        <f>IF(D20=0,0,D12/D20)</f>
        <v>94787.717011128771</v>
      </c>
      <c r="E34" s="641">
        <f>IF(E20=0,0,E12/E20)</f>
        <v>89327.634178321678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7489.4049243231721</v>
      </c>
      <c r="D35" s="641">
        <f>IF(D22=0,0,D12/D22)</f>
        <v>7219.6373167861339</v>
      </c>
      <c r="E35" s="641">
        <f>IF(E22=0,0,E12/E22)</f>
        <v>6689.6485884971298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27971.973328025477</v>
      </c>
      <c r="D36" s="641">
        <f>IF(D23=0,0,D12/D23)</f>
        <v>26821.124801271857</v>
      </c>
      <c r="E36" s="641">
        <f>IF(E23=0,0,E12/E23)</f>
        <v>24960.458916083917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5736.9437709296535</v>
      </c>
      <c r="D37" s="641">
        <f>IF(D29=0,0,D12/D29)</f>
        <v>5909.2139336302425</v>
      </c>
      <c r="E37" s="641">
        <f>IF(E29=0,0,E12/E29)</f>
        <v>5801.9033616848683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21426.754163559715</v>
      </c>
      <c r="D38" s="641">
        <f>IF(D30=0,0,D12/D30)</f>
        <v>21952.87068268755</v>
      </c>
      <c r="E38" s="641">
        <f>IF(E30=0,0,E12/E30)</f>
        <v>21648.098338594282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2191.5318731754292</v>
      </c>
      <c r="D39" s="641">
        <f>IF(D22=0,0,D10/D22)</f>
        <v>2042.8679959736323</v>
      </c>
      <c r="E39" s="641">
        <f>IF(E22=0,0,E10/E22)</f>
        <v>1869.2614026124497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8185.092370275428</v>
      </c>
      <c r="D40" s="641">
        <f>IF(D23=0,0,D10/D23)</f>
        <v>7589.3033220848729</v>
      </c>
      <c r="E40" s="641">
        <f>IF(E23=0,0,E10/E23)</f>
        <v>6974.599910009827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9384.4751652099767</v>
      </c>
      <c r="D43" s="641">
        <f>IF(D19=0,0,D13/D19)</f>
        <v>9691.67722263828</v>
      </c>
      <c r="E43" s="641">
        <f>IF(E19=0,0,E13/E19)</f>
        <v>9515.7635000585688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35049.819267515923</v>
      </c>
      <c r="D44" s="641">
        <f>IF(D20=0,0,D13/D20)</f>
        <v>36004.81200317965</v>
      </c>
      <c r="E44" s="641">
        <f>IF(E20=0,0,E13/E20)</f>
        <v>35505.276660839161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2746.0628241354607</v>
      </c>
      <c r="D45" s="641">
        <f>IF(D22=0,0,D13/D22)</f>
        <v>2742.3562094179993</v>
      </c>
      <c r="E45" s="641">
        <f>IF(E22=0,0,E13/E22)</f>
        <v>2658.9512426158531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10256.194831225672</v>
      </c>
      <c r="D46" s="641">
        <f>IF(D23=0,0,D13/D23)</f>
        <v>10187.918715989683</v>
      </c>
      <c r="E46" s="641">
        <f>IF(E23=0,0,E13/E23)</f>
        <v>9921.0956111064424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2103.5059758007592</v>
      </c>
      <c r="D47" s="641">
        <f>IF(D29=0,0,D13/D29)</f>
        <v>2244.5960666184942</v>
      </c>
      <c r="E47" s="641">
        <f>IF(E29=0,0,E13/E29)</f>
        <v>2306.0969420151318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7856.3268570711462</v>
      </c>
      <c r="D48" s="641">
        <f>IF(D30=0,0,D13/D30)</f>
        <v>8338.7279152158444</v>
      </c>
      <c r="E48" s="641">
        <f>IF(E30=0,0,E13/E30)</f>
        <v>8604.5234239436977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9784.9317842677465</v>
      </c>
      <c r="D51" s="641">
        <f>IF(D19=0,0,D16/D19)</f>
        <v>10047.690809885526</v>
      </c>
      <c r="E51" s="641">
        <f>IF(E19=0,0,E16/E19)</f>
        <v>10420.38292140096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36545.473726114651</v>
      </c>
      <c r="D52" s="641">
        <f>IF(D20=0,0,D16/D20)</f>
        <v>37327.410969793324</v>
      </c>
      <c r="E52" s="641">
        <f>IF(E20=0,0,E16/E20)</f>
        <v>38880.598339160839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2863.2434884682125</v>
      </c>
      <c r="D53" s="641">
        <f>IF(D22=0,0,D16/D22)</f>
        <v>2843.0937855048437</v>
      </c>
      <c r="E53" s="641">
        <f>IF(E22=0,0,E16/E22)</f>
        <v>2911.7253825425109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10693.849685035339</v>
      </c>
      <c r="D54" s="641">
        <f>IF(D23=0,0,D16/D23)</f>
        <v>10562.161213479243</v>
      </c>
      <c r="E54" s="641">
        <f>IF(E23=0,0,E16/E23)</f>
        <v>10864.248072886983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2193.2672971754255</v>
      </c>
      <c r="D55" s="641">
        <f>IF(D29=0,0,D16/D29)</f>
        <v>2327.048946470014</v>
      </c>
      <c r="E55" s="641">
        <f>IF(E29=0,0,E16/E29)</f>
        <v>2525.326863106839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8191.5739578422927</v>
      </c>
      <c r="D56" s="641">
        <f>IF(D30=0,0,D16/D30)</f>
        <v>8645.0423301491337</v>
      </c>
      <c r="E56" s="641">
        <f>IF(E30=0,0,E16/E30)</f>
        <v>9422.5154852898104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12548614</v>
      </c>
      <c r="D59" s="649">
        <v>12450131</v>
      </c>
      <c r="E59" s="649">
        <v>12057764</v>
      </c>
    </row>
    <row r="60" spans="1:6" ht="26.1" customHeight="1" x14ac:dyDescent="0.25">
      <c r="A60" s="639">
        <v>2</v>
      </c>
      <c r="B60" s="640" t="s">
        <v>956</v>
      </c>
      <c r="C60" s="649">
        <v>3896996</v>
      </c>
      <c r="D60" s="649">
        <v>4295295</v>
      </c>
      <c r="E60" s="649">
        <v>4328737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16445610</v>
      </c>
      <c r="D61" s="652">
        <f>D59+D60</f>
        <v>16745426</v>
      </c>
      <c r="E61" s="652">
        <f>E59+E60</f>
        <v>16386501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5959747</v>
      </c>
      <c r="D64" s="641">
        <v>5155740</v>
      </c>
      <c r="E64" s="649">
        <v>1009436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1850811</v>
      </c>
      <c r="D65" s="649">
        <v>1778730</v>
      </c>
      <c r="E65" s="649">
        <v>362388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7810558</v>
      </c>
      <c r="D66" s="654">
        <f>D64+D65</f>
        <v>6934470</v>
      </c>
      <c r="E66" s="654">
        <f>E64+E65</f>
        <v>1371824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19144523</v>
      </c>
      <c r="D69" s="649">
        <v>21255462</v>
      </c>
      <c r="E69" s="649">
        <v>20222169</v>
      </c>
    </row>
    <row r="70" spans="1:6" ht="26.1" customHeight="1" x14ac:dyDescent="0.25">
      <c r="A70" s="639">
        <v>2</v>
      </c>
      <c r="B70" s="640" t="s">
        <v>964</v>
      </c>
      <c r="C70" s="649">
        <v>5945367</v>
      </c>
      <c r="D70" s="649">
        <v>7317723</v>
      </c>
      <c r="E70" s="649">
        <v>7254980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25089890</v>
      </c>
      <c r="D71" s="652">
        <f>D69+D70</f>
        <v>28573185</v>
      </c>
      <c r="E71" s="652">
        <f>E69+E70</f>
        <v>27477149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37652884</v>
      </c>
      <c r="D75" s="641">
        <f t="shared" si="0"/>
        <v>38861333</v>
      </c>
      <c r="E75" s="641">
        <f t="shared" si="0"/>
        <v>33289369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11693174</v>
      </c>
      <c r="D76" s="641">
        <f t="shared" si="0"/>
        <v>13391748</v>
      </c>
      <c r="E76" s="641">
        <f t="shared" si="0"/>
        <v>11946105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49346058</v>
      </c>
      <c r="D77" s="654">
        <f>D75+D76</f>
        <v>52253081</v>
      </c>
      <c r="E77" s="654">
        <f>E75+E76</f>
        <v>45235474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145.80000000000001</v>
      </c>
      <c r="D80" s="646">
        <v>137.19999999999999</v>
      </c>
      <c r="E80" s="646">
        <v>129.1</v>
      </c>
    </row>
    <row r="81" spans="1:5" ht="26.1" customHeight="1" x14ac:dyDescent="0.25">
      <c r="A81" s="639">
        <v>2</v>
      </c>
      <c r="B81" s="640" t="s">
        <v>597</v>
      </c>
      <c r="C81" s="646">
        <v>24.2</v>
      </c>
      <c r="D81" s="646">
        <v>19</v>
      </c>
      <c r="E81" s="646">
        <v>3.8</v>
      </c>
    </row>
    <row r="82" spans="1:5" ht="26.1" customHeight="1" x14ac:dyDescent="0.25">
      <c r="A82" s="639">
        <v>3</v>
      </c>
      <c r="B82" s="640" t="s">
        <v>970</v>
      </c>
      <c r="C82" s="646">
        <v>305.5</v>
      </c>
      <c r="D82" s="646">
        <v>305.39999999999998</v>
      </c>
      <c r="E82" s="646">
        <v>287.39999999999998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475.5</v>
      </c>
      <c r="D83" s="656">
        <f>D80+D81+D82</f>
        <v>461.59999999999997</v>
      </c>
      <c r="E83" s="656">
        <f>E80+E81+E82</f>
        <v>420.29999999999995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86067.311385459529</v>
      </c>
      <c r="D86" s="649">
        <f>IF(D80=0,0,D59/D80)</f>
        <v>90744.395043731784</v>
      </c>
      <c r="E86" s="649">
        <f>IF(E80=0,0,E59/E80)</f>
        <v>93398.636715724249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26728.367626886142</v>
      </c>
      <c r="D87" s="649">
        <f>IF(D80=0,0,D60/D80)</f>
        <v>31306.814868804668</v>
      </c>
      <c r="E87" s="649">
        <f>IF(E80=0,0,E60/E80)</f>
        <v>33530.108443067395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112795.67901234567</v>
      </c>
      <c r="D88" s="652">
        <f>+D86+D87</f>
        <v>122051.20991253645</v>
      </c>
      <c r="E88" s="652">
        <f>+E86+E87</f>
        <v>126928.74515879164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246270.53719008266</v>
      </c>
      <c r="D91" s="641">
        <f>IF(D81=0,0,D64/D81)</f>
        <v>271354.73684210528</v>
      </c>
      <c r="E91" s="641">
        <f>IF(E81=0,0,E64/E81)</f>
        <v>265641.05263157893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76479.793388429753</v>
      </c>
      <c r="D92" s="641">
        <f>IF(D81=0,0,D65/D81)</f>
        <v>93617.368421052626</v>
      </c>
      <c r="E92" s="641">
        <f>IF(E81=0,0,E65/E81)</f>
        <v>95365.263157894748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322750.3305785124</v>
      </c>
      <c r="D93" s="654">
        <f>+D91+D92</f>
        <v>364972.10526315792</v>
      </c>
      <c r="E93" s="654">
        <f>+E91+E92</f>
        <v>361006.31578947371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62666.196399345332</v>
      </c>
      <c r="D96" s="649">
        <f>IF(D82=0,0,D69/D82)</f>
        <v>69598.762278978393</v>
      </c>
      <c r="E96" s="649">
        <f>IF(E82=0,0,E69/E82)</f>
        <v>70362.453027139883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19461.103109656302</v>
      </c>
      <c r="D97" s="649">
        <f>IF(D82=0,0,D70/D82)</f>
        <v>23961.110019646367</v>
      </c>
      <c r="E97" s="649">
        <f>IF(E82=0,0,E70/E82)</f>
        <v>25243.493389004874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82127.299509001634</v>
      </c>
      <c r="D98" s="654">
        <f>+D96+D97</f>
        <v>93559.872298624759</v>
      </c>
      <c r="E98" s="654">
        <f>+E96+E97</f>
        <v>95605.946416144754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79185.875920084116</v>
      </c>
      <c r="D101" s="641">
        <f>IF(D83=0,0,D75/D83)</f>
        <v>84188.329722703653</v>
      </c>
      <c r="E101" s="641">
        <f>IF(E83=0,0,E75/E83)</f>
        <v>79203.828217939576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24591.322818086224</v>
      </c>
      <c r="D102" s="658">
        <f>IF(D83=0,0,D76/D83)</f>
        <v>29011.585788561526</v>
      </c>
      <c r="E102" s="658">
        <f>IF(E83=0,0,E76/E83)</f>
        <v>28422.805139186297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103777.19873817034</v>
      </c>
      <c r="D103" s="654">
        <f>+D101+D102</f>
        <v>113199.91551126518</v>
      </c>
      <c r="E103" s="654">
        <f>+E101+E102</f>
        <v>107626.63335712587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5259.6523129396719</v>
      </c>
      <c r="D108" s="641">
        <f>IF(D19=0,0,D77/D19)</f>
        <v>5590.358510752113</v>
      </c>
      <c r="E108" s="641">
        <f>IF(E19=0,0,E77/E19)</f>
        <v>5298.7553004568354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19644.131369426752</v>
      </c>
      <c r="D109" s="641">
        <f>IF(D20=0,0,D77/D20)</f>
        <v>20768.315182829887</v>
      </c>
      <c r="E109" s="641">
        <f>IF(E20=0,0,E77/E20)</f>
        <v>19770.749125874125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1539.066962208595</v>
      </c>
      <c r="D110" s="641">
        <f>IF(D22=0,0,D77/D22)</f>
        <v>1581.8473957246031</v>
      </c>
      <c r="E110" s="641">
        <f>IF(E22=0,0,E77/E22)</f>
        <v>1480.6097262064493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5748.2190443634709</v>
      </c>
      <c r="D111" s="641">
        <f>IF(D23=0,0,D77/D23)</f>
        <v>5876.6007980277682</v>
      </c>
      <c r="E111" s="641">
        <f>IF(E23=0,0,E77/E23)</f>
        <v>5524.4603289442557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1178.937540579589</v>
      </c>
      <c r="D112" s="641">
        <f>IF(D29=0,0,D77/D29)</f>
        <v>1294.7291202508247</v>
      </c>
      <c r="E112" s="641">
        <f>IF(E29=0,0,E77/E29)</f>
        <v>1284.126428194098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4403.1815309385765</v>
      </c>
      <c r="D113" s="641">
        <f>IF(D30=0,0,D77/D30)</f>
        <v>4809.9495576249838</v>
      </c>
      <c r="E113" s="641">
        <f>IF(E30=0,0,E77/E30)</f>
        <v>4791.340610792402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FILING&amp;R&amp;12NEW MILFORD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238485898</v>
      </c>
      <c r="D12" s="51">
        <v>204381627</v>
      </c>
      <c r="E12" s="51">
        <f t="shared" ref="E12:E19" si="0">D12-C12</f>
        <v>-34104271</v>
      </c>
      <c r="F12" s="70">
        <f t="shared" ref="F12:F19" si="1">IF(C12=0,0,E12/C12)</f>
        <v>-0.14300330244264589</v>
      </c>
    </row>
    <row r="13" spans="1:8" ht="23.1" customHeight="1" x14ac:dyDescent="0.2">
      <c r="A13" s="25">
        <v>2</v>
      </c>
      <c r="B13" s="48" t="s">
        <v>72</v>
      </c>
      <c r="C13" s="51">
        <v>145313145</v>
      </c>
      <c r="D13" s="51">
        <v>121534978</v>
      </c>
      <c r="E13" s="51">
        <f t="shared" si="0"/>
        <v>-23778167</v>
      </c>
      <c r="F13" s="70">
        <f t="shared" si="1"/>
        <v>-0.16363397131071658</v>
      </c>
    </row>
    <row r="14" spans="1:8" ht="23.1" customHeight="1" x14ac:dyDescent="0.2">
      <c r="A14" s="25">
        <v>3</v>
      </c>
      <c r="B14" s="48" t="s">
        <v>73</v>
      </c>
      <c r="C14" s="51">
        <v>2584646</v>
      </c>
      <c r="D14" s="51">
        <v>1610576</v>
      </c>
      <c r="E14" s="51">
        <f t="shared" si="0"/>
        <v>-974070</v>
      </c>
      <c r="F14" s="70">
        <f t="shared" si="1"/>
        <v>-0.3768678573390708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90588107</v>
      </c>
      <c r="D16" s="27">
        <f>D12-D13-D14-D15</f>
        <v>81236073</v>
      </c>
      <c r="E16" s="27">
        <f t="shared" si="0"/>
        <v>-9352034</v>
      </c>
      <c r="F16" s="28">
        <f t="shared" si="1"/>
        <v>-0.10323688516860166</v>
      </c>
    </row>
    <row r="17" spans="1:7" ht="23.1" customHeight="1" x14ac:dyDescent="0.2">
      <c r="A17" s="25">
        <v>5</v>
      </c>
      <c r="B17" s="48" t="s">
        <v>76</v>
      </c>
      <c r="C17" s="51">
        <v>2889896</v>
      </c>
      <c r="D17" s="51">
        <v>1177822</v>
      </c>
      <c r="E17" s="51">
        <f t="shared" si="0"/>
        <v>-1712074</v>
      </c>
      <c r="F17" s="70">
        <f t="shared" si="1"/>
        <v>-0.59243446822999857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346393</v>
      </c>
      <c r="D18" s="51">
        <v>66843</v>
      </c>
      <c r="E18" s="51">
        <f t="shared" si="0"/>
        <v>-279550</v>
      </c>
      <c r="F18" s="70">
        <f t="shared" si="1"/>
        <v>-0.80703131991697297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93824396</v>
      </c>
      <c r="D19" s="27">
        <f>SUM(D16:D18)</f>
        <v>82480738</v>
      </c>
      <c r="E19" s="27">
        <f t="shared" si="0"/>
        <v>-11343658</v>
      </c>
      <c r="F19" s="28">
        <f t="shared" si="1"/>
        <v>-0.12090307514476299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38861333</v>
      </c>
      <c r="D22" s="51">
        <v>33289369</v>
      </c>
      <c r="E22" s="51">
        <f t="shared" ref="E22:E31" si="2">D22-C22</f>
        <v>-5571964</v>
      </c>
      <c r="F22" s="70">
        <f t="shared" ref="F22:F31" si="3">IF(C22=0,0,E22/C22)</f>
        <v>-0.14338067096154422</v>
      </c>
    </row>
    <row r="23" spans="1:7" ht="23.1" customHeight="1" x14ac:dyDescent="0.2">
      <c r="A23" s="25">
        <v>2</v>
      </c>
      <c r="B23" s="48" t="s">
        <v>81</v>
      </c>
      <c r="C23" s="51">
        <v>13391748</v>
      </c>
      <c r="D23" s="51">
        <v>11946105</v>
      </c>
      <c r="E23" s="51">
        <f t="shared" si="2"/>
        <v>-1445643</v>
      </c>
      <c r="F23" s="70">
        <f t="shared" si="3"/>
        <v>-0.10795028401072063</v>
      </c>
    </row>
    <row r="24" spans="1:7" ht="23.1" customHeight="1" x14ac:dyDescent="0.2">
      <c r="A24" s="25">
        <v>3</v>
      </c>
      <c r="B24" s="48" t="s">
        <v>82</v>
      </c>
      <c r="C24" s="51">
        <v>1914545</v>
      </c>
      <c r="D24" s="51">
        <v>7904111</v>
      </c>
      <c r="E24" s="51">
        <f t="shared" si="2"/>
        <v>5989566</v>
      </c>
      <c r="F24" s="70">
        <f t="shared" si="3"/>
        <v>3.1284540191011443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13100512</v>
      </c>
      <c r="D25" s="51">
        <v>10418459</v>
      </c>
      <c r="E25" s="51">
        <f t="shared" si="2"/>
        <v>-2682053</v>
      </c>
      <c r="F25" s="70">
        <f t="shared" si="3"/>
        <v>-0.20472886861215805</v>
      </c>
    </row>
    <row r="26" spans="1:7" ht="23.1" customHeight="1" x14ac:dyDescent="0.2">
      <c r="A26" s="25">
        <v>5</v>
      </c>
      <c r="B26" s="48" t="s">
        <v>84</v>
      </c>
      <c r="C26" s="51">
        <v>5689580</v>
      </c>
      <c r="D26" s="51">
        <v>5511455</v>
      </c>
      <c r="E26" s="51">
        <f t="shared" si="2"/>
        <v>-178125</v>
      </c>
      <c r="F26" s="70">
        <f t="shared" si="3"/>
        <v>-3.1307231816759762E-2</v>
      </c>
    </row>
    <row r="27" spans="1:7" ht="23.1" customHeight="1" x14ac:dyDescent="0.2">
      <c r="A27" s="25">
        <v>6</v>
      </c>
      <c r="B27" s="48" t="s">
        <v>85</v>
      </c>
      <c r="C27" s="51">
        <v>2545989</v>
      </c>
      <c r="D27" s="51">
        <v>3125172</v>
      </c>
      <c r="E27" s="51">
        <f t="shared" si="2"/>
        <v>579183</v>
      </c>
      <c r="F27" s="70">
        <f t="shared" si="3"/>
        <v>0.22748841412904769</v>
      </c>
    </row>
    <row r="28" spans="1:7" ht="23.1" customHeight="1" x14ac:dyDescent="0.2">
      <c r="A28" s="25">
        <v>7</v>
      </c>
      <c r="B28" s="48" t="s">
        <v>86</v>
      </c>
      <c r="C28" s="51">
        <v>482517</v>
      </c>
      <c r="D28" s="51">
        <v>391263</v>
      </c>
      <c r="E28" s="51">
        <f t="shared" si="2"/>
        <v>-91254</v>
      </c>
      <c r="F28" s="70">
        <f t="shared" si="3"/>
        <v>-0.18912079781645</v>
      </c>
    </row>
    <row r="29" spans="1:7" ht="23.1" customHeight="1" x14ac:dyDescent="0.2">
      <c r="A29" s="25">
        <v>8</v>
      </c>
      <c r="B29" s="48" t="s">
        <v>87</v>
      </c>
      <c r="C29" s="51">
        <v>1856393</v>
      </c>
      <c r="D29" s="51">
        <v>1643424</v>
      </c>
      <c r="E29" s="51">
        <f t="shared" si="2"/>
        <v>-212969</v>
      </c>
      <c r="F29" s="70">
        <f t="shared" si="3"/>
        <v>-0.11472193657269771</v>
      </c>
    </row>
    <row r="30" spans="1:7" ht="23.1" customHeight="1" x14ac:dyDescent="0.2">
      <c r="A30" s="25">
        <v>9</v>
      </c>
      <c r="B30" s="48" t="s">
        <v>88</v>
      </c>
      <c r="C30" s="51">
        <v>16073149</v>
      </c>
      <c r="D30" s="51">
        <v>14729451</v>
      </c>
      <c r="E30" s="51">
        <f t="shared" si="2"/>
        <v>-1343698</v>
      </c>
      <c r="F30" s="70">
        <f t="shared" si="3"/>
        <v>-8.3598926383373906E-2</v>
      </c>
    </row>
    <row r="31" spans="1:7" ht="23.1" customHeight="1" x14ac:dyDescent="0.25">
      <c r="A31" s="29"/>
      <c r="B31" s="71" t="s">
        <v>89</v>
      </c>
      <c r="C31" s="27">
        <f>SUM(C22:C30)</f>
        <v>93915766</v>
      </c>
      <c r="D31" s="27">
        <f>SUM(D22:D30)</f>
        <v>88958809</v>
      </c>
      <c r="E31" s="27">
        <f t="shared" si="2"/>
        <v>-4956957</v>
      </c>
      <c r="F31" s="28">
        <f t="shared" si="3"/>
        <v>-5.2780882391993696E-2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-91370</v>
      </c>
      <c r="D33" s="27">
        <f>+D19-D31</f>
        <v>-6478071</v>
      </c>
      <c r="E33" s="27">
        <f>D33-C33</f>
        <v>-6386701</v>
      </c>
      <c r="F33" s="28">
        <f>IF(C33=0,0,E33/C33)</f>
        <v>69.899321440297697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44475</v>
      </c>
      <c r="D36" s="51">
        <v>27208</v>
      </c>
      <c r="E36" s="51">
        <f>D36-C36</f>
        <v>-17267</v>
      </c>
      <c r="F36" s="70">
        <f>IF(C36=0,0,E36/C36)</f>
        <v>-0.3882405845980888</v>
      </c>
    </row>
    <row r="37" spans="1:6" ht="23.1" customHeight="1" x14ac:dyDescent="0.2">
      <c r="A37" s="44">
        <v>2</v>
      </c>
      <c r="B37" s="48" t="s">
        <v>93</v>
      </c>
      <c r="C37" s="51">
        <v>25675</v>
      </c>
      <c r="D37" s="51">
        <v>-5250</v>
      </c>
      <c r="E37" s="51">
        <f>D37-C37</f>
        <v>-30925</v>
      </c>
      <c r="F37" s="70">
        <f>IF(C37=0,0,E37/C37)</f>
        <v>-1.2044790652385589</v>
      </c>
    </row>
    <row r="38" spans="1:6" ht="23.1" customHeight="1" x14ac:dyDescent="0.2">
      <c r="A38" s="44">
        <v>3</v>
      </c>
      <c r="B38" s="48" t="s">
        <v>94</v>
      </c>
      <c r="C38" s="51">
        <v>-72722</v>
      </c>
      <c r="D38" s="51">
        <v>0</v>
      </c>
      <c r="E38" s="51">
        <f>D38-C38</f>
        <v>72722</v>
      </c>
      <c r="F38" s="70">
        <f>IF(C38=0,0,E38/C38)</f>
        <v>-1</v>
      </c>
    </row>
    <row r="39" spans="1:6" ht="23.1" customHeight="1" x14ac:dyDescent="0.25">
      <c r="A39" s="20"/>
      <c r="B39" s="71" t="s">
        <v>95</v>
      </c>
      <c r="C39" s="27">
        <f>SUM(C36:C38)</f>
        <v>-2572</v>
      </c>
      <c r="D39" s="27">
        <f>SUM(D36:D38)</f>
        <v>21958</v>
      </c>
      <c r="E39" s="27">
        <f>D39-C39</f>
        <v>24530</v>
      </c>
      <c r="F39" s="28">
        <f>IF(C39=0,0,E39/C39)</f>
        <v>-9.5373250388802493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-93942</v>
      </c>
      <c r="D41" s="27">
        <f>D33+D39</f>
        <v>-6456113</v>
      </c>
      <c r="E41" s="27">
        <f>D41-C41</f>
        <v>-6362171</v>
      </c>
      <c r="F41" s="28">
        <f>IF(C41=0,0,E41/C41)</f>
        <v>67.724457644078257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-93942</v>
      </c>
      <c r="D48" s="27">
        <f>D41+D46</f>
        <v>-6456113</v>
      </c>
      <c r="E48" s="27">
        <f>D48-C48</f>
        <v>-6362171</v>
      </c>
      <c r="F48" s="28">
        <f>IF(C48=0,0,E48/C48)</f>
        <v>67.724457644078257</v>
      </c>
    </row>
    <row r="49" spans="1:6" ht="23.1" customHeight="1" x14ac:dyDescent="0.2">
      <c r="A49" s="44"/>
      <c r="B49" s="48" t="s">
        <v>102</v>
      </c>
      <c r="C49" s="51">
        <v>7315741</v>
      </c>
      <c r="D49" s="51">
        <v>415636</v>
      </c>
      <c r="E49" s="51">
        <f>D49-C49</f>
        <v>-6900105</v>
      </c>
      <c r="F49" s="70">
        <f>IF(C49=0,0,E49/C49)</f>
        <v>-0.9431860695997849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28515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35530582</v>
      </c>
      <c r="D14" s="97">
        <v>30974582</v>
      </c>
      <c r="E14" s="97">
        <f t="shared" ref="E14:E25" si="0">D14-C14</f>
        <v>-4556000</v>
      </c>
      <c r="F14" s="98">
        <f t="shared" ref="F14:F25" si="1">IF(C14=0,0,E14/C14)</f>
        <v>-0.12822756463713428</v>
      </c>
    </row>
    <row r="15" spans="1:6" ht="18" customHeight="1" x14ac:dyDescent="0.25">
      <c r="A15" s="99">
        <v>2</v>
      </c>
      <c r="B15" s="100" t="s">
        <v>113</v>
      </c>
      <c r="C15" s="97">
        <v>2950849</v>
      </c>
      <c r="D15" s="97">
        <v>3407625</v>
      </c>
      <c r="E15" s="97">
        <f t="shared" si="0"/>
        <v>456776</v>
      </c>
      <c r="F15" s="98">
        <f t="shared" si="1"/>
        <v>0.15479477262306543</v>
      </c>
    </row>
    <row r="16" spans="1:6" ht="18" customHeight="1" x14ac:dyDescent="0.25">
      <c r="A16" s="99">
        <v>3</v>
      </c>
      <c r="B16" s="100" t="s">
        <v>114</v>
      </c>
      <c r="C16" s="97">
        <v>3103139</v>
      </c>
      <c r="D16" s="97">
        <v>4037639</v>
      </c>
      <c r="E16" s="97">
        <f t="shared" si="0"/>
        <v>934500</v>
      </c>
      <c r="F16" s="98">
        <f t="shared" si="1"/>
        <v>0.30114667760612723</v>
      </c>
    </row>
    <row r="17" spans="1:6" ht="18" customHeight="1" x14ac:dyDescent="0.25">
      <c r="A17" s="99">
        <v>4</v>
      </c>
      <c r="B17" s="100" t="s">
        <v>115</v>
      </c>
      <c r="C17" s="97">
        <v>1301248</v>
      </c>
      <c r="D17" s="97">
        <v>380331</v>
      </c>
      <c r="E17" s="97">
        <f t="shared" si="0"/>
        <v>-920917</v>
      </c>
      <c r="F17" s="98">
        <f t="shared" si="1"/>
        <v>-0.70771828275624626</v>
      </c>
    </row>
    <row r="18" spans="1:6" ht="18" customHeight="1" x14ac:dyDescent="0.25">
      <c r="A18" s="99">
        <v>5</v>
      </c>
      <c r="B18" s="100" t="s">
        <v>116</v>
      </c>
      <c r="C18" s="97">
        <v>206461</v>
      </c>
      <c r="D18" s="97">
        <v>108538</v>
      </c>
      <c r="E18" s="97">
        <f t="shared" si="0"/>
        <v>-97923</v>
      </c>
      <c r="F18" s="98">
        <f t="shared" si="1"/>
        <v>-0.47429296574171392</v>
      </c>
    </row>
    <row r="19" spans="1:6" ht="18" customHeight="1" x14ac:dyDescent="0.25">
      <c r="A19" s="99">
        <v>6</v>
      </c>
      <c r="B19" s="100" t="s">
        <v>117</v>
      </c>
      <c r="C19" s="97">
        <v>2248688</v>
      </c>
      <c r="D19" s="97">
        <v>1055112</v>
      </c>
      <c r="E19" s="97">
        <f t="shared" si="0"/>
        <v>-1193576</v>
      </c>
      <c r="F19" s="98">
        <f t="shared" si="1"/>
        <v>-0.53078773044548644</v>
      </c>
    </row>
    <row r="20" spans="1:6" ht="18" customHeight="1" x14ac:dyDescent="0.25">
      <c r="A20" s="99">
        <v>7</v>
      </c>
      <c r="B20" s="100" t="s">
        <v>118</v>
      </c>
      <c r="C20" s="97">
        <v>18734058</v>
      </c>
      <c r="D20" s="97">
        <v>15236859</v>
      </c>
      <c r="E20" s="97">
        <f t="shared" si="0"/>
        <v>-3497199</v>
      </c>
      <c r="F20" s="98">
        <f t="shared" si="1"/>
        <v>-0.18667599940173132</v>
      </c>
    </row>
    <row r="21" spans="1:6" ht="18" customHeight="1" x14ac:dyDescent="0.25">
      <c r="A21" s="99">
        <v>8</v>
      </c>
      <c r="B21" s="100" t="s">
        <v>119</v>
      </c>
      <c r="C21" s="97">
        <v>2093758</v>
      </c>
      <c r="D21" s="97">
        <v>982713</v>
      </c>
      <c r="E21" s="97">
        <f t="shared" si="0"/>
        <v>-1111045</v>
      </c>
      <c r="F21" s="98">
        <f t="shared" si="1"/>
        <v>-0.53064633066476641</v>
      </c>
    </row>
    <row r="22" spans="1:6" ht="18" customHeight="1" x14ac:dyDescent="0.25">
      <c r="A22" s="99">
        <v>9</v>
      </c>
      <c r="B22" s="100" t="s">
        <v>120</v>
      </c>
      <c r="C22" s="97">
        <v>817818</v>
      </c>
      <c r="D22" s="97">
        <v>853569</v>
      </c>
      <c r="E22" s="97">
        <f t="shared" si="0"/>
        <v>35751</v>
      </c>
      <c r="F22" s="98">
        <f t="shared" si="1"/>
        <v>4.3715105316830885E-2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495349</v>
      </c>
      <c r="D24" s="97">
        <v>72562</v>
      </c>
      <c r="E24" s="97">
        <f t="shared" si="0"/>
        <v>-422787</v>
      </c>
      <c r="F24" s="98">
        <f t="shared" si="1"/>
        <v>-0.85351338147447553</v>
      </c>
    </row>
    <row r="25" spans="1:6" ht="18" customHeight="1" x14ac:dyDescent="0.25">
      <c r="A25" s="101"/>
      <c r="B25" s="102" t="s">
        <v>123</v>
      </c>
      <c r="C25" s="103">
        <f>SUM(C14:C24)</f>
        <v>67481950</v>
      </c>
      <c r="D25" s="103">
        <f>SUM(D14:D24)</f>
        <v>57109530</v>
      </c>
      <c r="E25" s="103">
        <f t="shared" si="0"/>
        <v>-10372420</v>
      </c>
      <c r="F25" s="104">
        <f t="shared" si="1"/>
        <v>-0.15370658376054633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59432584</v>
      </c>
      <c r="D27" s="97">
        <v>50358991</v>
      </c>
      <c r="E27" s="97">
        <f t="shared" ref="E27:E38" si="2">D27-C27</f>
        <v>-9073593</v>
      </c>
      <c r="F27" s="98">
        <f t="shared" ref="F27:F38" si="3">IF(C27=0,0,E27/C27)</f>
        <v>-0.15267034325816964</v>
      </c>
    </row>
    <row r="28" spans="1:6" ht="18" customHeight="1" x14ac:dyDescent="0.25">
      <c r="A28" s="99">
        <v>2</v>
      </c>
      <c r="B28" s="100" t="s">
        <v>113</v>
      </c>
      <c r="C28" s="97">
        <v>4399719</v>
      </c>
      <c r="D28" s="97">
        <v>5670876</v>
      </c>
      <c r="E28" s="97">
        <f t="shared" si="2"/>
        <v>1271157</v>
      </c>
      <c r="F28" s="98">
        <f t="shared" si="3"/>
        <v>0.28891776952118986</v>
      </c>
    </row>
    <row r="29" spans="1:6" ht="18" customHeight="1" x14ac:dyDescent="0.25">
      <c r="A29" s="99">
        <v>3</v>
      </c>
      <c r="B29" s="100" t="s">
        <v>114</v>
      </c>
      <c r="C29" s="97">
        <v>8746401</v>
      </c>
      <c r="D29" s="97">
        <v>11529718</v>
      </c>
      <c r="E29" s="97">
        <f t="shared" si="2"/>
        <v>2783317</v>
      </c>
      <c r="F29" s="98">
        <f t="shared" si="3"/>
        <v>0.31822426161343392</v>
      </c>
    </row>
    <row r="30" spans="1:6" ht="18" customHeight="1" x14ac:dyDescent="0.25">
      <c r="A30" s="99">
        <v>4</v>
      </c>
      <c r="B30" s="100" t="s">
        <v>115</v>
      </c>
      <c r="C30" s="97">
        <v>6247212</v>
      </c>
      <c r="D30" s="97">
        <v>1462195</v>
      </c>
      <c r="E30" s="97">
        <f t="shared" si="2"/>
        <v>-4785017</v>
      </c>
      <c r="F30" s="98">
        <f t="shared" si="3"/>
        <v>-0.76594439247459511</v>
      </c>
    </row>
    <row r="31" spans="1:6" ht="18" customHeight="1" x14ac:dyDescent="0.25">
      <c r="A31" s="99">
        <v>5</v>
      </c>
      <c r="B31" s="100" t="s">
        <v>116</v>
      </c>
      <c r="C31" s="97">
        <v>276437</v>
      </c>
      <c r="D31" s="97">
        <v>284523</v>
      </c>
      <c r="E31" s="97">
        <f t="shared" si="2"/>
        <v>8086</v>
      </c>
      <c r="F31" s="98">
        <f t="shared" si="3"/>
        <v>2.9250787702080401E-2</v>
      </c>
    </row>
    <row r="32" spans="1:6" ht="18" customHeight="1" x14ac:dyDescent="0.25">
      <c r="A32" s="99">
        <v>6</v>
      </c>
      <c r="B32" s="100" t="s">
        <v>117</v>
      </c>
      <c r="C32" s="97">
        <v>7042245</v>
      </c>
      <c r="D32" s="97">
        <v>5068767</v>
      </c>
      <c r="E32" s="97">
        <f t="shared" si="2"/>
        <v>-1973478</v>
      </c>
      <c r="F32" s="98">
        <f t="shared" si="3"/>
        <v>-0.28023421508340024</v>
      </c>
    </row>
    <row r="33" spans="1:6" ht="18" customHeight="1" x14ac:dyDescent="0.25">
      <c r="A33" s="99">
        <v>7</v>
      </c>
      <c r="B33" s="100" t="s">
        <v>118</v>
      </c>
      <c r="C33" s="97">
        <v>78941999</v>
      </c>
      <c r="D33" s="97">
        <v>67293177</v>
      </c>
      <c r="E33" s="97">
        <f t="shared" si="2"/>
        <v>-11648822</v>
      </c>
      <c r="F33" s="98">
        <f t="shared" si="3"/>
        <v>-0.14756178140358467</v>
      </c>
    </row>
    <row r="34" spans="1:6" ht="18" customHeight="1" x14ac:dyDescent="0.25">
      <c r="A34" s="99">
        <v>8</v>
      </c>
      <c r="B34" s="100" t="s">
        <v>119</v>
      </c>
      <c r="C34" s="97">
        <v>1648420</v>
      </c>
      <c r="D34" s="97">
        <v>1598751</v>
      </c>
      <c r="E34" s="97">
        <f t="shared" si="2"/>
        <v>-49669</v>
      </c>
      <c r="F34" s="98">
        <f t="shared" si="3"/>
        <v>-3.0131277223037819E-2</v>
      </c>
    </row>
    <row r="35" spans="1:6" ht="18" customHeight="1" x14ac:dyDescent="0.25">
      <c r="A35" s="99">
        <v>9</v>
      </c>
      <c r="B35" s="100" t="s">
        <v>120</v>
      </c>
      <c r="C35" s="97">
        <v>3882484</v>
      </c>
      <c r="D35" s="97">
        <v>3616941</v>
      </c>
      <c r="E35" s="97">
        <f t="shared" si="2"/>
        <v>-265543</v>
      </c>
      <c r="F35" s="98">
        <f t="shared" si="3"/>
        <v>-6.8395130540138738E-2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386445</v>
      </c>
      <c r="D37" s="97">
        <v>388158</v>
      </c>
      <c r="E37" s="97">
        <f t="shared" si="2"/>
        <v>1713</v>
      </c>
      <c r="F37" s="98">
        <f t="shared" si="3"/>
        <v>4.4327135814928387E-3</v>
      </c>
    </row>
    <row r="38" spans="1:6" ht="18" customHeight="1" x14ac:dyDescent="0.25">
      <c r="A38" s="101"/>
      <c r="B38" s="102" t="s">
        <v>126</v>
      </c>
      <c r="C38" s="103">
        <f>SUM(C27:C37)</f>
        <v>171003946</v>
      </c>
      <c r="D38" s="103">
        <f>SUM(D27:D37)</f>
        <v>147272097</v>
      </c>
      <c r="E38" s="103">
        <f t="shared" si="2"/>
        <v>-23731849</v>
      </c>
      <c r="F38" s="104">
        <f t="shared" si="3"/>
        <v>-0.13877954021014227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94963166</v>
      </c>
      <c r="D41" s="103">
        <f t="shared" si="4"/>
        <v>81333573</v>
      </c>
      <c r="E41" s="107">
        <f t="shared" ref="E41:E52" si="5">D41-C41</f>
        <v>-13629593</v>
      </c>
      <c r="F41" s="108">
        <f t="shared" ref="F41:F52" si="6">IF(C41=0,0,E41/C41)</f>
        <v>-0.14352504843825448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7350568</v>
      </c>
      <c r="D42" s="103">
        <f t="shared" si="4"/>
        <v>9078501</v>
      </c>
      <c r="E42" s="107">
        <f t="shared" si="5"/>
        <v>1727933</v>
      </c>
      <c r="F42" s="108">
        <f t="shared" si="6"/>
        <v>0.23507475884856791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11849540</v>
      </c>
      <c r="D43" s="103">
        <f t="shared" si="4"/>
        <v>15567357</v>
      </c>
      <c r="E43" s="107">
        <f t="shared" si="5"/>
        <v>3717817</v>
      </c>
      <c r="F43" s="108">
        <f t="shared" si="6"/>
        <v>0.31375201062657282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7548460</v>
      </c>
      <c r="D44" s="103">
        <f t="shared" si="4"/>
        <v>1842526</v>
      </c>
      <c r="E44" s="107">
        <f t="shared" si="5"/>
        <v>-5705934</v>
      </c>
      <c r="F44" s="108">
        <f t="shared" si="6"/>
        <v>-0.75590703269276116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482898</v>
      </c>
      <c r="D45" s="103">
        <f t="shared" si="4"/>
        <v>393061</v>
      </c>
      <c r="E45" s="107">
        <f t="shared" si="5"/>
        <v>-89837</v>
      </c>
      <c r="F45" s="108">
        <f t="shared" si="6"/>
        <v>-0.18603721696921502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9290933</v>
      </c>
      <c r="D46" s="103">
        <f t="shared" si="4"/>
        <v>6123879</v>
      </c>
      <c r="E46" s="107">
        <f t="shared" si="5"/>
        <v>-3167054</v>
      </c>
      <c r="F46" s="108">
        <f t="shared" si="6"/>
        <v>-0.3408757764155656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97676057</v>
      </c>
      <c r="D47" s="103">
        <f t="shared" si="4"/>
        <v>82530036</v>
      </c>
      <c r="E47" s="107">
        <f t="shared" si="5"/>
        <v>-15146021</v>
      </c>
      <c r="F47" s="108">
        <f t="shared" si="6"/>
        <v>-0.155063804428551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3742178</v>
      </c>
      <c r="D48" s="103">
        <f t="shared" si="4"/>
        <v>2581464</v>
      </c>
      <c r="E48" s="107">
        <f t="shared" si="5"/>
        <v>-1160714</v>
      </c>
      <c r="F48" s="108">
        <f t="shared" si="6"/>
        <v>-0.31017070807428188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4700302</v>
      </c>
      <c r="D49" s="103">
        <f t="shared" si="4"/>
        <v>4470510</v>
      </c>
      <c r="E49" s="107">
        <f t="shared" si="5"/>
        <v>-229792</v>
      </c>
      <c r="F49" s="108">
        <f t="shared" si="6"/>
        <v>-4.888877352987106E-2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881794</v>
      </c>
      <c r="D51" s="103">
        <f t="shared" si="4"/>
        <v>460720</v>
      </c>
      <c r="E51" s="107">
        <f t="shared" si="5"/>
        <v>-421074</v>
      </c>
      <c r="F51" s="108">
        <f t="shared" si="6"/>
        <v>-0.47751969280807083</v>
      </c>
    </row>
    <row r="52" spans="1:6" ht="18.75" customHeight="1" thickBot="1" x14ac:dyDescent="0.3">
      <c r="A52" s="109"/>
      <c r="B52" s="110" t="s">
        <v>128</v>
      </c>
      <c r="C52" s="111">
        <f>SUM(C41:C51)</f>
        <v>238485896</v>
      </c>
      <c r="D52" s="112">
        <f>SUM(D41:D51)</f>
        <v>204381627</v>
      </c>
      <c r="E52" s="111">
        <f t="shared" si="5"/>
        <v>-34104269</v>
      </c>
      <c r="F52" s="113">
        <f t="shared" si="6"/>
        <v>-0.14300329525566577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11738609</v>
      </c>
      <c r="D57" s="97">
        <v>10157385</v>
      </c>
      <c r="E57" s="97">
        <f t="shared" ref="E57:E68" si="7">D57-C57</f>
        <v>-1581224</v>
      </c>
      <c r="F57" s="98">
        <f t="shared" ref="F57:F68" si="8">IF(C57=0,0,E57/C57)</f>
        <v>-0.13470284255996601</v>
      </c>
    </row>
    <row r="58" spans="1:6" ht="18" customHeight="1" x14ac:dyDescent="0.25">
      <c r="A58" s="99">
        <v>2</v>
      </c>
      <c r="B58" s="100" t="s">
        <v>113</v>
      </c>
      <c r="C58" s="97">
        <v>877435</v>
      </c>
      <c r="D58" s="97">
        <v>1151329</v>
      </c>
      <c r="E58" s="97">
        <f t="shared" si="7"/>
        <v>273894</v>
      </c>
      <c r="F58" s="98">
        <f t="shared" si="8"/>
        <v>0.31215303697709801</v>
      </c>
    </row>
    <row r="59" spans="1:6" ht="18" customHeight="1" x14ac:dyDescent="0.25">
      <c r="A59" s="99">
        <v>3</v>
      </c>
      <c r="B59" s="100" t="s">
        <v>114</v>
      </c>
      <c r="C59" s="97">
        <v>975520</v>
      </c>
      <c r="D59" s="97">
        <v>1605041</v>
      </c>
      <c r="E59" s="97">
        <f t="shared" si="7"/>
        <v>629521</v>
      </c>
      <c r="F59" s="98">
        <f t="shared" si="8"/>
        <v>0.64531839429227489</v>
      </c>
    </row>
    <row r="60" spans="1:6" ht="18" customHeight="1" x14ac:dyDescent="0.25">
      <c r="A60" s="99">
        <v>4</v>
      </c>
      <c r="B60" s="100" t="s">
        <v>115</v>
      </c>
      <c r="C60" s="97">
        <v>461166</v>
      </c>
      <c r="D60" s="97">
        <v>144005</v>
      </c>
      <c r="E60" s="97">
        <f t="shared" si="7"/>
        <v>-317161</v>
      </c>
      <c r="F60" s="98">
        <f t="shared" si="8"/>
        <v>-0.6877371705633113</v>
      </c>
    </row>
    <row r="61" spans="1:6" ht="18" customHeight="1" x14ac:dyDescent="0.25">
      <c r="A61" s="99">
        <v>5</v>
      </c>
      <c r="B61" s="100" t="s">
        <v>116</v>
      </c>
      <c r="C61" s="97">
        <v>41553</v>
      </c>
      <c r="D61" s="97">
        <v>35808</v>
      </c>
      <c r="E61" s="97">
        <f t="shared" si="7"/>
        <v>-5745</v>
      </c>
      <c r="F61" s="98">
        <f t="shared" si="8"/>
        <v>-0.13825716554761389</v>
      </c>
    </row>
    <row r="62" spans="1:6" ht="18" customHeight="1" x14ac:dyDescent="0.25">
      <c r="A62" s="99">
        <v>6</v>
      </c>
      <c r="B62" s="100" t="s">
        <v>117</v>
      </c>
      <c r="C62" s="97">
        <v>799192</v>
      </c>
      <c r="D62" s="97">
        <v>382431</v>
      </c>
      <c r="E62" s="97">
        <f t="shared" si="7"/>
        <v>-416761</v>
      </c>
      <c r="F62" s="98">
        <f t="shared" si="8"/>
        <v>-0.52147794272214942</v>
      </c>
    </row>
    <row r="63" spans="1:6" ht="18" customHeight="1" x14ac:dyDescent="0.25">
      <c r="A63" s="99">
        <v>7</v>
      </c>
      <c r="B63" s="100" t="s">
        <v>118</v>
      </c>
      <c r="C63" s="97">
        <v>7877740</v>
      </c>
      <c r="D63" s="97">
        <v>6978254</v>
      </c>
      <c r="E63" s="97">
        <f t="shared" si="7"/>
        <v>-899486</v>
      </c>
      <c r="F63" s="98">
        <f t="shared" si="8"/>
        <v>-0.11418071680456578</v>
      </c>
    </row>
    <row r="64" spans="1:6" ht="18" customHeight="1" x14ac:dyDescent="0.25">
      <c r="A64" s="99">
        <v>8</v>
      </c>
      <c r="B64" s="100" t="s">
        <v>119</v>
      </c>
      <c r="C64" s="97">
        <v>1278532</v>
      </c>
      <c r="D64" s="97">
        <v>563578</v>
      </c>
      <c r="E64" s="97">
        <f t="shared" si="7"/>
        <v>-714954</v>
      </c>
      <c r="F64" s="98">
        <f t="shared" si="8"/>
        <v>-0.55919914401829596</v>
      </c>
    </row>
    <row r="65" spans="1:6" ht="18" customHeight="1" x14ac:dyDescent="0.25">
      <c r="A65" s="99">
        <v>9</v>
      </c>
      <c r="B65" s="100" t="s">
        <v>120</v>
      </c>
      <c r="C65" s="97">
        <v>73029</v>
      </c>
      <c r="D65" s="97">
        <v>33482</v>
      </c>
      <c r="E65" s="97">
        <f t="shared" si="7"/>
        <v>-39547</v>
      </c>
      <c r="F65" s="98">
        <f t="shared" si="8"/>
        <v>-0.54152459981651124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155721</v>
      </c>
      <c r="D67" s="97">
        <v>28844</v>
      </c>
      <c r="E67" s="97">
        <f t="shared" si="7"/>
        <v>-126877</v>
      </c>
      <c r="F67" s="98">
        <f t="shared" si="8"/>
        <v>-0.81477128967833501</v>
      </c>
    </row>
    <row r="68" spans="1:6" ht="18" customHeight="1" x14ac:dyDescent="0.25">
      <c r="A68" s="101"/>
      <c r="B68" s="102" t="s">
        <v>131</v>
      </c>
      <c r="C68" s="103">
        <f>SUM(C57:C67)</f>
        <v>24278497</v>
      </c>
      <c r="D68" s="103">
        <f>SUM(D57:D67)</f>
        <v>21080157</v>
      </c>
      <c r="E68" s="103">
        <f t="shared" si="7"/>
        <v>-3198340</v>
      </c>
      <c r="F68" s="104">
        <f t="shared" si="8"/>
        <v>-0.1317355024077479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12283190</v>
      </c>
      <c r="D70" s="97">
        <v>11744643</v>
      </c>
      <c r="E70" s="97">
        <f t="shared" ref="E70:E81" si="9">D70-C70</f>
        <v>-538547</v>
      </c>
      <c r="F70" s="98">
        <f t="shared" ref="F70:F81" si="10">IF(C70=0,0,E70/C70)</f>
        <v>-4.3844229389922322E-2</v>
      </c>
    </row>
    <row r="71" spans="1:6" ht="18" customHeight="1" x14ac:dyDescent="0.25">
      <c r="A71" s="99">
        <v>2</v>
      </c>
      <c r="B71" s="100" t="s">
        <v>113</v>
      </c>
      <c r="C71" s="97">
        <v>1044028</v>
      </c>
      <c r="D71" s="97">
        <v>1188714</v>
      </c>
      <c r="E71" s="97">
        <f t="shared" si="9"/>
        <v>144686</v>
      </c>
      <c r="F71" s="98">
        <f t="shared" si="10"/>
        <v>0.13858440578222039</v>
      </c>
    </row>
    <row r="72" spans="1:6" ht="18" customHeight="1" x14ac:dyDescent="0.25">
      <c r="A72" s="99">
        <v>3</v>
      </c>
      <c r="B72" s="100" t="s">
        <v>114</v>
      </c>
      <c r="C72" s="97">
        <v>2268070</v>
      </c>
      <c r="D72" s="97">
        <v>2921192</v>
      </c>
      <c r="E72" s="97">
        <f t="shared" si="9"/>
        <v>653122</v>
      </c>
      <c r="F72" s="98">
        <f t="shared" si="10"/>
        <v>0.28796377536848511</v>
      </c>
    </row>
    <row r="73" spans="1:6" ht="18" customHeight="1" x14ac:dyDescent="0.25">
      <c r="A73" s="99">
        <v>4</v>
      </c>
      <c r="B73" s="100" t="s">
        <v>115</v>
      </c>
      <c r="C73" s="97">
        <v>1795078</v>
      </c>
      <c r="D73" s="97">
        <v>348660</v>
      </c>
      <c r="E73" s="97">
        <f t="shared" si="9"/>
        <v>-1446418</v>
      </c>
      <c r="F73" s="98">
        <f t="shared" si="10"/>
        <v>-0.80576888580886175</v>
      </c>
    </row>
    <row r="74" spans="1:6" ht="18" customHeight="1" x14ac:dyDescent="0.25">
      <c r="A74" s="99">
        <v>5</v>
      </c>
      <c r="B74" s="100" t="s">
        <v>116</v>
      </c>
      <c r="C74" s="97">
        <v>70301</v>
      </c>
      <c r="D74" s="97">
        <v>65299</v>
      </c>
      <c r="E74" s="97">
        <f t="shared" si="9"/>
        <v>-5002</v>
      </c>
      <c r="F74" s="98">
        <f t="shared" si="10"/>
        <v>-7.1151192728410695E-2</v>
      </c>
    </row>
    <row r="75" spans="1:6" ht="18" customHeight="1" x14ac:dyDescent="0.25">
      <c r="A75" s="99">
        <v>6</v>
      </c>
      <c r="B75" s="100" t="s">
        <v>117</v>
      </c>
      <c r="C75" s="97">
        <v>3320496</v>
      </c>
      <c r="D75" s="97">
        <v>2567324</v>
      </c>
      <c r="E75" s="97">
        <f t="shared" si="9"/>
        <v>-753172</v>
      </c>
      <c r="F75" s="98">
        <f t="shared" si="10"/>
        <v>-0.22682514901388226</v>
      </c>
    </row>
    <row r="76" spans="1:6" ht="18" customHeight="1" x14ac:dyDescent="0.25">
      <c r="A76" s="99">
        <v>7</v>
      </c>
      <c r="B76" s="100" t="s">
        <v>118</v>
      </c>
      <c r="C76" s="97">
        <v>41061787</v>
      </c>
      <c r="D76" s="97">
        <v>36470781</v>
      </c>
      <c r="E76" s="97">
        <f t="shared" si="9"/>
        <v>-4591006</v>
      </c>
      <c r="F76" s="98">
        <f t="shared" si="10"/>
        <v>-0.11180726255289376</v>
      </c>
    </row>
    <row r="77" spans="1:6" ht="18" customHeight="1" x14ac:dyDescent="0.25">
      <c r="A77" s="99">
        <v>8</v>
      </c>
      <c r="B77" s="100" t="s">
        <v>119</v>
      </c>
      <c r="C77" s="97">
        <v>1140236</v>
      </c>
      <c r="D77" s="97">
        <v>1039260</v>
      </c>
      <c r="E77" s="97">
        <f t="shared" si="9"/>
        <v>-100976</v>
      </c>
      <c r="F77" s="98">
        <f t="shared" si="10"/>
        <v>-8.8557105721973339E-2</v>
      </c>
    </row>
    <row r="78" spans="1:6" ht="18" customHeight="1" x14ac:dyDescent="0.25">
      <c r="A78" s="99">
        <v>9</v>
      </c>
      <c r="B78" s="100" t="s">
        <v>120</v>
      </c>
      <c r="C78" s="97">
        <v>346693</v>
      </c>
      <c r="D78" s="97">
        <v>141878</v>
      </c>
      <c r="E78" s="97">
        <f t="shared" si="9"/>
        <v>-204815</v>
      </c>
      <c r="F78" s="98">
        <f t="shared" si="10"/>
        <v>-0.59076762438237862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100211</v>
      </c>
      <c r="D80" s="97">
        <v>98344</v>
      </c>
      <c r="E80" s="97">
        <f t="shared" si="9"/>
        <v>-1867</v>
      </c>
      <c r="F80" s="98">
        <f t="shared" si="10"/>
        <v>-1.8630689245691591E-2</v>
      </c>
    </row>
    <row r="81" spans="1:6" ht="18" customHeight="1" x14ac:dyDescent="0.25">
      <c r="A81" s="101"/>
      <c r="B81" s="102" t="s">
        <v>133</v>
      </c>
      <c r="C81" s="103">
        <f>SUM(C70:C80)</f>
        <v>63430090</v>
      </c>
      <c r="D81" s="103">
        <f>SUM(D70:D80)</f>
        <v>56586095</v>
      </c>
      <c r="E81" s="103">
        <f t="shared" si="9"/>
        <v>-6843995</v>
      </c>
      <c r="F81" s="104">
        <f t="shared" si="10"/>
        <v>-0.10789823883270543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24021799</v>
      </c>
      <c r="D84" s="103">
        <f t="shared" si="11"/>
        <v>21902028</v>
      </c>
      <c r="E84" s="103">
        <f t="shared" ref="E84:E95" si="12">D84-C84</f>
        <v>-2119771</v>
      </c>
      <c r="F84" s="104">
        <f t="shared" ref="F84:F95" si="13">IF(C84=0,0,E84/C84)</f>
        <v>-8.8243640703179638E-2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1921463</v>
      </c>
      <c r="D85" s="103">
        <f t="shared" si="11"/>
        <v>2340043</v>
      </c>
      <c r="E85" s="103">
        <f t="shared" si="12"/>
        <v>418580</v>
      </c>
      <c r="F85" s="104">
        <f t="shared" si="13"/>
        <v>0.21784442375419147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3243590</v>
      </c>
      <c r="D86" s="103">
        <f t="shared" si="11"/>
        <v>4526233</v>
      </c>
      <c r="E86" s="103">
        <f t="shared" si="12"/>
        <v>1282643</v>
      </c>
      <c r="F86" s="104">
        <f t="shared" si="13"/>
        <v>0.39543931261349308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2256244</v>
      </c>
      <c r="D87" s="103">
        <f t="shared" si="11"/>
        <v>492665</v>
      </c>
      <c r="E87" s="103">
        <f t="shared" si="12"/>
        <v>-1763579</v>
      </c>
      <c r="F87" s="104">
        <f t="shared" si="13"/>
        <v>-0.7816437406592549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111854</v>
      </c>
      <c r="D88" s="103">
        <f t="shared" si="11"/>
        <v>101107</v>
      </c>
      <c r="E88" s="103">
        <f t="shared" si="12"/>
        <v>-10747</v>
      </c>
      <c r="F88" s="104">
        <f t="shared" si="13"/>
        <v>-9.6080605074472081E-2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4119688</v>
      </c>
      <c r="D89" s="103">
        <f t="shared" si="11"/>
        <v>2949755</v>
      </c>
      <c r="E89" s="103">
        <f t="shared" si="12"/>
        <v>-1169933</v>
      </c>
      <c r="F89" s="104">
        <f t="shared" si="13"/>
        <v>-0.28398582611110357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48939527</v>
      </c>
      <c r="D90" s="103">
        <f t="shared" si="11"/>
        <v>43449035</v>
      </c>
      <c r="E90" s="103">
        <f t="shared" si="12"/>
        <v>-5490492</v>
      </c>
      <c r="F90" s="104">
        <f t="shared" si="13"/>
        <v>-0.11218931478434599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2418768</v>
      </c>
      <c r="D91" s="103">
        <f t="shared" si="11"/>
        <v>1602838</v>
      </c>
      <c r="E91" s="103">
        <f t="shared" si="12"/>
        <v>-815930</v>
      </c>
      <c r="F91" s="104">
        <f t="shared" si="13"/>
        <v>-0.33733289013249723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419722</v>
      </c>
      <c r="D92" s="103">
        <f t="shared" si="11"/>
        <v>175360</v>
      </c>
      <c r="E92" s="103">
        <f t="shared" si="12"/>
        <v>-244362</v>
      </c>
      <c r="F92" s="104">
        <f t="shared" si="13"/>
        <v>-0.58219964643263877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255932</v>
      </c>
      <c r="D94" s="103">
        <f t="shared" si="11"/>
        <v>127188</v>
      </c>
      <c r="E94" s="103">
        <f t="shared" si="12"/>
        <v>-128744</v>
      </c>
      <c r="F94" s="104">
        <f t="shared" si="13"/>
        <v>-0.50303986996545957</v>
      </c>
    </row>
    <row r="95" spans="1:6" ht="18.75" customHeight="1" thickBot="1" x14ac:dyDescent="0.3">
      <c r="A95" s="115"/>
      <c r="B95" s="116" t="s">
        <v>134</v>
      </c>
      <c r="C95" s="112">
        <f>SUM(C84:C94)</f>
        <v>87708587</v>
      </c>
      <c r="D95" s="112">
        <f>SUM(D84:D94)</f>
        <v>77666252</v>
      </c>
      <c r="E95" s="112">
        <f t="shared" si="12"/>
        <v>-10042335</v>
      </c>
      <c r="F95" s="113">
        <f t="shared" si="13"/>
        <v>-0.11449659997372891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1116</v>
      </c>
      <c r="D100" s="117">
        <v>1016</v>
      </c>
      <c r="E100" s="117">
        <f t="shared" ref="E100:E111" si="14">D100-C100</f>
        <v>-100</v>
      </c>
      <c r="F100" s="98">
        <f t="shared" ref="F100:F111" si="15">IF(C100=0,0,E100/C100)</f>
        <v>-8.9605734767025089E-2</v>
      </c>
    </row>
    <row r="101" spans="1:6" ht="18" customHeight="1" x14ac:dyDescent="0.25">
      <c r="A101" s="99">
        <v>2</v>
      </c>
      <c r="B101" s="100" t="s">
        <v>113</v>
      </c>
      <c r="C101" s="117">
        <v>83</v>
      </c>
      <c r="D101" s="117">
        <v>102</v>
      </c>
      <c r="E101" s="117">
        <f t="shared" si="14"/>
        <v>19</v>
      </c>
      <c r="F101" s="98">
        <f t="shared" si="15"/>
        <v>0.2289156626506024</v>
      </c>
    </row>
    <row r="102" spans="1:6" ht="18" customHeight="1" x14ac:dyDescent="0.25">
      <c r="A102" s="99">
        <v>3</v>
      </c>
      <c r="B102" s="100" t="s">
        <v>114</v>
      </c>
      <c r="C102" s="117">
        <v>100</v>
      </c>
      <c r="D102" s="117">
        <v>236</v>
      </c>
      <c r="E102" s="117">
        <f t="shared" si="14"/>
        <v>136</v>
      </c>
      <c r="F102" s="98">
        <f t="shared" si="15"/>
        <v>1.36</v>
      </c>
    </row>
    <row r="103" spans="1:6" ht="18" customHeight="1" x14ac:dyDescent="0.25">
      <c r="A103" s="99">
        <v>4</v>
      </c>
      <c r="B103" s="100" t="s">
        <v>115</v>
      </c>
      <c r="C103" s="117">
        <v>136</v>
      </c>
      <c r="D103" s="117">
        <v>29</v>
      </c>
      <c r="E103" s="117">
        <f t="shared" si="14"/>
        <v>-107</v>
      </c>
      <c r="F103" s="98">
        <f t="shared" si="15"/>
        <v>-0.78676470588235292</v>
      </c>
    </row>
    <row r="104" spans="1:6" ht="18" customHeight="1" x14ac:dyDescent="0.25">
      <c r="A104" s="99">
        <v>5</v>
      </c>
      <c r="B104" s="100" t="s">
        <v>116</v>
      </c>
      <c r="C104" s="117">
        <v>7</v>
      </c>
      <c r="D104" s="117">
        <v>9</v>
      </c>
      <c r="E104" s="117">
        <f t="shared" si="14"/>
        <v>2</v>
      </c>
      <c r="F104" s="98">
        <f t="shared" si="15"/>
        <v>0.2857142857142857</v>
      </c>
    </row>
    <row r="105" spans="1:6" ht="18" customHeight="1" x14ac:dyDescent="0.25">
      <c r="A105" s="99">
        <v>6</v>
      </c>
      <c r="B105" s="100" t="s">
        <v>117</v>
      </c>
      <c r="C105" s="117">
        <v>96</v>
      </c>
      <c r="D105" s="117">
        <v>75</v>
      </c>
      <c r="E105" s="117">
        <f t="shared" si="14"/>
        <v>-21</v>
      </c>
      <c r="F105" s="98">
        <f t="shared" si="15"/>
        <v>-0.21875</v>
      </c>
    </row>
    <row r="106" spans="1:6" ht="18" customHeight="1" x14ac:dyDescent="0.25">
      <c r="A106" s="99">
        <v>7</v>
      </c>
      <c r="B106" s="100" t="s">
        <v>118</v>
      </c>
      <c r="C106" s="117">
        <v>877</v>
      </c>
      <c r="D106" s="117">
        <v>737</v>
      </c>
      <c r="E106" s="117">
        <f t="shared" si="14"/>
        <v>-140</v>
      </c>
      <c r="F106" s="98">
        <f t="shared" si="15"/>
        <v>-0.15963511972633979</v>
      </c>
    </row>
    <row r="107" spans="1:6" ht="18" customHeight="1" x14ac:dyDescent="0.25">
      <c r="A107" s="99">
        <v>8</v>
      </c>
      <c r="B107" s="100" t="s">
        <v>119</v>
      </c>
      <c r="C107" s="117">
        <v>40</v>
      </c>
      <c r="D107" s="117">
        <v>22</v>
      </c>
      <c r="E107" s="117">
        <f t="shared" si="14"/>
        <v>-18</v>
      </c>
      <c r="F107" s="98">
        <f t="shared" si="15"/>
        <v>-0.45</v>
      </c>
    </row>
    <row r="108" spans="1:6" ht="18" customHeight="1" x14ac:dyDescent="0.25">
      <c r="A108" s="99">
        <v>9</v>
      </c>
      <c r="B108" s="100" t="s">
        <v>120</v>
      </c>
      <c r="C108" s="117">
        <v>55</v>
      </c>
      <c r="D108" s="117">
        <v>54</v>
      </c>
      <c r="E108" s="117">
        <f t="shared" si="14"/>
        <v>-1</v>
      </c>
      <c r="F108" s="98">
        <f t="shared" si="15"/>
        <v>-1.8181818181818181E-2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6</v>
      </c>
      <c r="D110" s="117">
        <v>8</v>
      </c>
      <c r="E110" s="117">
        <f t="shared" si="14"/>
        <v>2</v>
      </c>
      <c r="F110" s="98">
        <f t="shared" si="15"/>
        <v>0.33333333333333331</v>
      </c>
    </row>
    <row r="111" spans="1:6" ht="18" customHeight="1" x14ac:dyDescent="0.25">
      <c r="A111" s="101"/>
      <c r="B111" s="102" t="s">
        <v>138</v>
      </c>
      <c r="C111" s="118">
        <f>SUM(C100:C110)</f>
        <v>2516</v>
      </c>
      <c r="D111" s="118">
        <f>SUM(D100:D110)</f>
        <v>2288</v>
      </c>
      <c r="E111" s="118">
        <f t="shared" si="14"/>
        <v>-228</v>
      </c>
      <c r="F111" s="104">
        <f t="shared" si="15"/>
        <v>-9.0620031796502382E-2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4860</v>
      </c>
      <c r="D113" s="117">
        <v>4553</v>
      </c>
      <c r="E113" s="117">
        <f t="shared" ref="E113:E124" si="16">D113-C113</f>
        <v>-307</v>
      </c>
      <c r="F113" s="98">
        <f t="shared" ref="F113:F124" si="17">IF(C113=0,0,E113/C113)</f>
        <v>-6.3168724279835387E-2</v>
      </c>
    </row>
    <row r="114" spans="1:6" ht="18" customHeight="1" x14ac:dyDescent="0.25">
      <c r="A114" s="99">
        <v>2</v>
      </c>
      <c r="B114" s="100" t="s">
        <v>113</v>
      </c>
      <c r="C114" s="117">
        <v>508</v>
      </c>
      <c r="D114" s="117">
        <v>432</v>
      </c>
      <c r="E114" s="117">
        <f t="shared" si="16"/>
        <v>-76</v>
      </c>
      <c r="F114" s="98">
        <f t="shared" si="17"/>
        <v>-0.14960629921259844</v>
      </c>
    </row>
    <row r="115" spans="1:6" ht="18" customHeight="1" x14ac:dyDescent="0.25">
      <c r="A115" s="99">
        <v>3</v>
      </c>
      <c r="B115" s="100" t="s">
        <v>114</v>
      </c>
      <c r="C115" s="117">
        <v>489</v>
      </c>
      <c r="D115" s="117">
        <v>811</v>
      </c>
      <c r="E115" s="117">
        <f t="shared" si="16"/>
        <v>322</v>
      </c>
      <c r="F115" s="98">
        <f t="shared" si="17"/>
        <v>0.65848670756646221</v>
      </c>
    </row>
    <row r="116" spans="1:6" ht="18" customHeight="1" x14ac:dyDescent="0.25">
      <c r="A116" s="99">
        <v>4</v>
      </c>
      <c r="B116" s="100" t="s">
        <v>115</v>
      </c>
      <c r="C116" s="117">
        <v>347</v>
      </c>
      <c r="D116" s="117">
        <v>78</v>
      </c>
      <c r="E116" s="117">
        <f t="shared" si="16"/>
        <v>-269</v>
      </c>
      <c r="F116" s="98">
        <f t="shared" si="17"/>
        <v>-0.77521613832853031</v>
      </c>
    </row>
    <row r="117" spans="1:6" ht="18" customHeight="1" x14ac:dyDescent="0.25">
      <c r="A117" s="99">
        <v>5</v>
      </c>
      <c r="B117" s="100" t="s">
        <v>116</v>
      </c>
      <c r="C117" s="117">
        <v>31</v>
      </c>
      <c r="D117" s="117">
        <v>27</v>
      </c>
      <c r="E117" s="117">
        <f t="shared" si="16"/>
        <v>-4</v>
      </c>
      <c r="F117" s="98">
        <f t="shared" si="17"/>
        <v>-0.12903225806451613</v>
      </c>
    </row>
    <row r="118" spans="1:6" ht="18" customHeight="1" x14ac:dyDescent="0.25">
      <c r="A118" s="99">
        <v>6</v>
      </c>
      <c r="B118" s="100" t="s">
        <v>117</v>
      </c>
      <c r="C118" s="117">
        <v>309</v>
      </c>
      <c r="D118" s="117">
        <v>247</v>
      </c>
      <c r="E118" s="117">
        <f t="shared" si="16"/>
        <v>-62</v>
      </c>
      <c r="F118" s="98">
        <f t="shared" si="17"/>
        <v>-0.20064724919093851</v>
      </c>
    </row>
    <row r="119" spans="1:6" ht="18" customHeight="1" x14ac:dyDescent="0.25">
      <c r="A119" s="99">
        <v>7</v>
      </c>
      <c r="B119" s="100" t="s">
        <v>118</v>
      </c>
      <c r="C119" s="117">
        <v>2504</v>
      </c>
      <c r="D119" s="117">
        <v>2173</v>
      </c>
      <c r="E119" s="117">
        <f t="shared" si="16"/>
        <v>-331</v>
      </c>
      <c r="F119" s="98">
        <f t="shared" si="17"/>
        <v>-0.13218849840255592</v>
      </c>
    </row>
    <row r="120" spans="1:6" ht="18" customHeight="1" x14ac:dyDescent="0.25">
      <c r="A120" s="99">
        <v>8</v>
      </c>
      <c r="B120" s="100" t="s">
        <v>119</v>
      </c>
      <c r="C120" s="117">
        <v>93</v>
      </c>
      <c r="D120" s="117">
        <v>40</v>
      </c>
      <c r="E120" s="117">
        <f t="shared" si="16"/>
        <v>-53</v>
      </c>
      <c r="F120" s="98">
        <f t="shared" si="17"/>
        <v>-0.56989247311827962</v>
      </c>
    </row>
    <row r="121" spans="1:6" ht="18" customHeight="1" x14ac:dyDescent="0.25">
      <c r="A121" s="99">
        <v>9</v>
      </c>
      <c r="B121" s="100" t="s">
        <v>120</v>
      </c>
      <c r="C121" s="117">
        <v>143</v>
      </c>
      <c r="D121" s="117">
        <v>165</v>
      </c>
      <c r="E121" s="117">
        <f t="shared" si="16"/>
        <v>22</v>
      </c>
      <c r="F121" s="98">
        <f t="shared" si="17"/>
        <v>0.15384615384615385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63</v>
      </c>
      <c r="D123" s="117">
        <v>11</v>
      </c>
      <c r="E123" s="117">
        <f t="shared" si="16"/>
        <v>-52</v>
      </c>
      <c r="F123" s="98">
        <f t="shared" si="17"/>
        <v>-0.82539682539682535</v>
      </c>
    </row>
    <row r="124" spans="1:6" ht="18" customHeight="1" x14ac:dyDescent="0.25">
      <c r="A124" s="101"/>
      <c r="B124" s="102" t="s">
        <v>140</v>
      </c>
      <c r="C124" s="118">
        <f>SUM(C113:C123)</f>
        <v>9347</v>
      </c>
      <c r="D124" s="118">
        <f>SUM(D113:D123)</f>
        <v>8537</v>
      </c>
      <c r="E124" s="118">
        <f t="shared" si="16"/>
        <v>-810</v>
      </c>
      <c r="F124" s="104">
        <f t="shared" si="17"/>
        <v>-8.6658821012089438E-2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32407</v>
      </c>
      <c r="D126" s="117">
        <v>21317</v>
      </c>
      <c r="E126" s="117">
        <f t="shared" ref="E126:E137" si="18">D126-C126</f>
        <v>-11090</v>
      </c>
      <c r="F126" s="98">
        <f t="shared" ref="F126:F137" si="19">IF(C126=0,0,E126/C126)</f>
        <v>-0.34221001635449133</v>
      </c>
    </row>
    <row r="127" spans="1:6" ht="18" customHeight="1" x14ac:dyDescent="0.25">
      <c r="A127" s="99">
        <v>2</v>
      </c>
      <c r="B127" s="100" t="s">
        <v>113</v>
      </c>
      <c r="C127" s="117">
        <v>3241</v>
      </c>
      <c r="D127" s="117">
        <v>2585</v>
      </c>
      <c r="E127" s="117">
        <f t="shared" si="18"/>
        <v>-656</v>
      </c>
      <c r="F127" s="98">
        <f t="shared" si="19"/>
        <v>-0.20240666460968837</v>
      </c>
    </row>
    <row r="128" spans="1:6" ht="18" customHeight="1" x14ac:dyDescent="0.25">
      <c r="A128" s="99">
        <v>3</v>
      </c>
      <c r="B128" s="100" t="s">
        <v>114</v>
      </c>
      <c r="C128" s="117">
        <v>4177</v>
      </c>
      <c r="D128" s="117">
        <v>8304</v>
      </c>
      <c r="E128" s="117">
        <f t="shared" si="18"/>
        <v>4127</v>
      </c>
      <c r="F128" s="98">
        <f t="shared" si="19"/>
        <v>0.9880296863777831</v>
      </c>
    </row>
    <row r="129" spans="1:6" ht="18" customHeight="1" x14ac:dyDescent="0.25">
      <c r="A129" s="99">
        <v>4</v>
      </c>
      <c r="B129" s="100" t="s">
        <v>115</v>
      </c>
      <c r="C129" s="117">
        <v>5632</v>
      </c>
      <c r="D129" s="117">
        <v>1456</v>
      </c>
      <c r="E129" s="117">
        <f t="shared" si="18"/>
        <v>-4176</v>
      </c>
      <c r="F129" s="98">
        <f t="shared" si="19"/>
        <v>-0.74147727272727271</v>
      </c>
    </row>
    <row r="130" spans="1:6" ht="18" customHeight="1" x14ac:dyDescent="0.25">
      <c r="A130" s="99">
        <v>5</v>
      </c>
      <c r="B130" s="100" t="s">
        <v>116</v>
      </c>
      <c r="C130" s="117">
        <v>269</v>
      </c>
      <c r="D130" s="117">
        <v>180</v>
      </c>
      <c r="E130" s="117">
        <f t="shared" si="18"/>
        <v>-89</v>
      </c>
      <c r="F130" s="98">
        <f t="shared" si="19"/>
        <v>-0.33085501858736061</v>
      </c>
    </row>
    <row r="131" spans="1:6" ht="18" customHeight="1" x14ac:dyDescent="0.25">
      <c r="A131" s="99">
        <v>6</v>
      </c>
      <c r="B131" s="100" t="s">
        <v>117</v>
      </c>
      <c r="C131" s="117">
        <v>7093</v>
      </c>
      <c r="D131" s="117">
        <v>3592</v>
      </c>
      <c r="E131" s="117">
        <f t="shared" si="18"/>
        <v>-3501</v>
      </c>
      <c r="F131" s="98">
        <f t="shared" si="19"/>
        <v>-0.49358522486958972</v>
      </c>
    </row>
    <row r="132" spans="1:6" ht="18" customHeight="1" x14ac:dyDescent="0.25">
      <c r="A132" s="99">
        <v>7</v>
      </c>
      <c r="B132" s="100" t="s">
        <v>118</v>
      </c>
      <c r="C132" s="117">
        <v>46382</v>
      </c>
      <c r="D132" s="117">
        <v>29138</v>
      </c>
      <c r="E132" s="117">
        <f t="shared" si="18"/>
        <v>-17244</v>
      </c>
      <c r="F132" s="98">
        <f t="shared" si="19"/>
        <v>-0.37178215687120003</v>
      </c>
    </row>
    <row r="133" spans="1:6" ht="18" customHeight="1" x14ac:dyDescent="0.25">
      <c r="A133" s="99">
        <v>8</v>
      </c>
      <c r="B133" s="100" t="s">
        <v>119</v>
      </c>
      <c r="C133" s="117">
        <v>837</v>
      </c>
      <c r="D133" s="117">
        <v>721</v>
      </c>
      <c r="E133" s="117">
        <f t="shared" si="18"/>
        <v>-116</v>
      </c>
      <c r="F133" s="98">
        <f t="shared" si="19"/>
        <v>-0.13859020310633213</v>
      </c>
    </row>
    <row r="134" spans="1:6" ht="18" customHeight="1" x14ac:dyDescent="0.25">
      <c r="A134" s="99">
        <v>9</v>
      </c>
      <c r="B134" s="100" t="s">
        <v>120</v>
      </c>
      <c r="C134" s="117">
        <v>5826</v>
      </c>
      <c r="D134" s="117">
        <v>3322</v>
      </c>
      <c r="E134" s="117">
        <f t="shared" si="18"/>
        <v>-2504</v>
      </c>
      <c r="F134" s="98">
        <f t="shared" si="19"/>
        <v>-0.42979745966357707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1751</v>
      </c>
      <c r="D136" s="117">
        <v>222</v>
      </c>
      <c r="E136" s="117">
        <f t="shared" si="18"/>
        <v>-1529</v>
      </c>
      <c r="F136" s="98">
        <f t="shared" si="19"/>
        <v>-0.87321530553969162</v>
      </c>
    </row>
    <row r="137" spans="1:6" ht="18" customHeight="1" x14ac:dyDescent="0.25">
      <c r="A137" s="101"/>
      <c r="B137" s="102" t="s">
        <v>143</v>
      </c>
      <c r="C137" s="118">
        <f>SUM(C126:C136)</f>
        <v>107615</v>
      </c>
      <c r="D137" s="118">
        <f>SUM(D126:D136)</f>
        <v>70837</v>
      </c>
      <c r="E137" s="118">
        <f t="shared" si="18"/>
        <v>-36778</v>
      </c>
      <c r="F137" s="104">
        <f t="shared" si="19"/>
        <v>-0.34175533150583098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5101640</v>
      </c>
      <c r="D142" s="97">
        <v>5715450</v>
      </c>
      <c r="E142" s="97">
        <f t="shared" ref="E142:E153" si="20">D142-C142</f>
        <v>613810</v>
      </c>
      <c r="F142" s="98">
        <f t="shared" ref="F142:F153" si="21">IF(C142=0,0,E142/C142)</f>
        <v>0.12031621204161799</v>
      </c>
    </row>
    <row r="143" spans="1:6" ht="18" customHeight="1" x14ac:dyDescent="0.25">
      <c r="A143" s="99">
        <v>2</v>
      </c>
      <c r="B143" s="100" t="s">
        <v>113</v>
      </c>
      <c r="C143" s="97">
        <v>427106</v>
      </c>
      <c r="D143" s="97">
        <v>594576</v>
      </c>
      <c r="E143" s="97">
        <f t="shared" si="20"/>
        <v>167470</v>
      </c>
      <c r="F143" s="98">
        <f t="shared" si="21"/>
        <v>0.39210406784264329</v>
      </c>
    </row>
    <row r="144" spans="1:6" ht="18" customHeight="1" x14ac:dyDescent="0.25">
      <c r="A144" s="99">
        <v>3</v>
      </c>
      <c r="B144" s="100" t="s">
        <v>114</v>
      </c>
      <c r="C144" s="97">
        <v>2514016</v>
      </c>
      <c r="D144" s="97">
        <v>3902537</v>
      </c>
      <c r="E144" s="97">
        <f t="shared" si="20"/>
        <v>1388521</v>
      </c>
      <c r="F144" s="98">
        <f t="shared" si="21"/>
        <v>0.55231191846034389</v>
      </c>
    </row>
    <row r="145" spans="1:6" ht="18" customHeight="1" x14ac:dyDescent="0.25">
      <c r="A145" s="99">
        <v>4</v>
      </c>
      <c r="B145" s="100" t="s">
        <v>115</v>
      </c>
      <c r="C145" s="97">
        <v>2184268</v>
      </c>
      <c r="D145" s="97">
        <v>668678</v>
      </c>
      <c r="E145" s="97">
        <f t="shared" si="20"/>
        <v>-1515590</v>
      </c>
      <c r="F145" s="98">
        <f t="shared" si="21"/>
        <v>-0.69386632043320695</v>
      </c>
    </row>
    <row r="146" spans="1:6" ht="18" customHeight="1" x14ac:dyDescent="0.25">
      <c r="A146" s="99">
        <v>5</v>
      </c>
      <c r="B146" s="100" t="s">
        <v>116</v>
      </c>
      <c r="C146" s="97">
        <v>99168</v>
      </c>
      <c r="D146" s="97">
        <v>108606</v>
      </c>
      <c r="E146" s="97">
        <f t="shared" si="20"/>
        <v>9438</v>
      </c>
      <c r="F146" s="98">
        <f t="shared" si="21"/>
        <v>9.5171829622458862E-2</v>
      </c>
    </row>
    <row r="147" spans="1:6" ht="18" customHeight="1" x14ac:dyDescent="0.25">
      <c r="A147" s="99">
        <v>6</v>
      </c>
      <c r="B147" s="100" t="s">
        <v>117</v>
      </c>
      <c r="C147" s="97">
        <v>1365373</v>
      </c>
      <c r="D147" s="97">
        <v>1250726</v>
      </c>
      <c r="E147" s="97">
        <f t="shared" si="20"/>
        <v>-114647</v>
      </c>
      <c r="F147" s="98">
        <f t="shared" si="21"/>
        <v>-8.396753121674444E-2</v>
      </c>
    </row>
    <row r="148" spans="1:6" ht="18" customHeight="1" x14ac:dyDescent="0.25">
      <c r="A148" s="99">
        <v>7</v>
      </c>
      <c r="B148" s="100" t="s">
        <v>118</v>
      </c>
      <c r="C148" s="97">
        <v>11008122</v>
      </c>
      <c r="D148" s="97">
        <v>11252820</v>
      </c>
      <c r="E148" s="97">
        <f t="shared" si="20"/>
        <v>244698</v>
      </c>
      <c r="F148" s="98">
        <f t="shared" si="21"/>
        <v>2.2228859745558778E-2</v>
      </c>
    </row>
    <row r="149" spans="1:6" ht="18" customHeight="1" x14ac:dyDescent="0.25">
      <c r="A149" s="99">
        <v>8</v>
      </c>
      <c r="B149" s="100" t="s">
        <v>119</v>
      </c>
      <c r="C149" s="97">
        <v>611857</v>
      </c>
      <c r="D149" s="97">
        <v>609681</v>
      </c>
      <c r="E149" s="97">
        <f t="shared" si="20"/>
        <v>-2176</v>
      </c>
      <c r="F149" s="98">
        <f t="shared" si="21"/>
        <v>-3.556386541299683E-3</v>
      </c>
    </row>
    <row r="150" spans="1:6" ht="18" customHeight="1" x14ac:dyDescent="0.25">
      <c r="A150" s="99">
        <v>9</v>
      </c>
      <c r="B150" s="100" t="s">
        <v>120</v>
      </c>
      <c r="C150" s="97">
        <v>1655664</v>
      </c>
      <c r="D150" s="97">
        <v>1796054</v>
      </c>
      <c r="E150" s="97">
        <f t="shared" si="20"/>
        <v>140390</v>
      </c>
      <c r="F150" s="98">
        <f t="shared" si="21"/>
        <v>8.4793774582282391E-2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336519</v>
      </c>
      <c r="D152" s="97">
        <v>311822</v>
      </c>
      <c r="E152" s="97">
        <f t="shared" si="20"/>
        <v>-24697</v>
      </c>
      <c r="F152" s="98">
        <f t="shared" si="21"/>
        <v>-7.338961544519032E-2</v>
      </c>
    </row>
    <row r="153" spans="1:6" ht="33.75" customHeight="1" x14ac:dyDescent="0.25">
      <c r="A153" s="101"/>
      <c r="B153" s="102" t="s">
        <v>147</v>
      </c>
      <c r="C153" s="103">
        <f>SUM(C142:C152)</f>
        <v>25303733</v>
      </c>
      <c r="D153" s="103">
        <f>SUM(D142:D152)</f>
        <v>26210950</v>
      </c>
      <c r="E153" s="103">
        <f t="shared" si="20"/>
        <v>907217</v>
      </c>
      <c r="F153" s="104">
        <f t="shared" si="21"/>
        <v>3.5853089344564298E-2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1181561</v>
      </c>
      <c r="D155" s="97">
        <v>1213874</v>
      </c>
      <c r="E155" s="97">
        <f t="shared" ref="E155:E166" si="22">D155-C155</f>
        <v>32313</v>
      </c>
      <c r="F155" s="98">
        <f t="shared" ref="F155:F166" si="23">IF(C155=0,0,E155/C155)</f>
        <v>2.7347720515487561E-2</v>
      </c>
    </row>
    <row r="156" spans="1:6" ht="18" customHeight="1" x14ac:dyDescent="0.25">
      <c r="A156" s="99">
        <v>2</v>
      </c>
      <c r="B156" s="100" t="s">
        <v>113</v>
      </c>
      <c r="C156" s="97">
        <v>115141</v>
      </c>
      <c r="D156" s="97">
        <v>125307</v>
      </c>
      <c r="E156" s="97">
        <f t="shared" si="22"/>
        <v>10166</v>
      </c>
      <c r="F156" s="98">
        <f t="shared" si="23"/>
        <v>8.829174664107485E-2</v>
      </c>
    </row>
    <row r="157" spans="1:6" ht="18" customHeight="1" x14ac:dyDescent="0.25">
      <c r="A157" s="99">
        <v>3</v>
      </c>
      <c r="B157" s="100" t="s">
        <v>114</v>
      </c>
      <c r="C157" s="97">
        <v>384216</v>
      </c>
      <c r="D157" s="97">
        <v>922665</v>
      </c>
      <c r="E157" s="97">
        <f t="shared" si="22"/>
        <v>538449</v>
      </c>
      <c r="F157" s="98">
        <f t="shared" si="23"/>
        <v>1.4014226372665375</v>
      </c>
    </row>
    <row r="158" spans="1:6" ht="18" customHeight="1" x14ac:dyDescent="0.25">
      <c r="A158" s="99">
        <v>4</v>
      </c>
      <c r="B158" s="100" t="s">
        <v>115</v>
      </c>
      <c r="C158" s="97">
        <v>655470</v>
      </c>
      <c r="D158" s="97">
        <v>170214</v>
      </c>
      <c r="E158" s="97">
        <f t="shared" si="22"/>
        <v>-485256</v>
      </c>
      <c r="F158" s="98">
        <f t="shared" si="23"/>
        <v>-0.74031763467435585</v>
      </c>
    </row>
    <row r="159" spans="1:6" ht="18" customHeight="1" x14ac:dyDescent="0.25">
      <c r="A159" s="99">
        <v>5</v>
      </c>
      <c r="B159" s="100" t="s">
        <v>116</v>
      </c>
      <c r="C159" s="97">
        <v>27224</v>
      </c>
      <c r="D159" s="97">
        <v>23955</v>
      </c>
      <c r="E159" s="97">
        <f t="shared" si="22"/>
        <v>-3269</v>
      </c>
      <c r="F159" s="98">
        <f t="shared" si="23"/>
        <v>-0.12007787246547165</v>
      </c>
    </row>
    <row r="160" spans="1:6" ht="18" customHeight="1" x14ac:dyDescent="0.25">
      <c r="A160" s="99">
        <v>6</v>
      </c>
      <c r="B160" s="100" t="s">
        <v>117</v>
      </c>
      <c r="C160" s="97">
        <v>723225</v>
      </c>
      <c r="D160" s="97">
        <v>702471</v>
      </c>
      <c r="E160" s="97">
        <f t="shared" si="22"/>
        <v>-20754</v>
      </c>
      <c r="F160" s="98">
        <f t="shared" si="23"/>
        <v>-2.8696463756092503E-2</v>
      </c>
    </row>
    <row r="161" spans="1:6" ht="18" customHeight="1" x14ac:dyDescent="0.25">
      <c r="A161" s="99">
        <v>7</v>
      </c>
      <c r="B161" s="100" t="s">
        <v>118</v>
      </c>
      <c r="C161" s="97">
        <v>5280235</v>
      </c>
      <c r="D161" s="97">
        <v>5814310</v>
      </c>
      <c r="E161" s="97">
        <f t="shared" si="22"/>
        <v>534075</v>
      </c>
      <c r="F161" s="98">
        <f t="shared" si="23"/>
        <v>0.10114606641560461</v>
      </c>
    </row>
    <row r="162" spans="1:6" ht="18" customHeight="1" x14ac:dyDescent="0.25">
      <c r="A162" s="99">
        <v>8</v>
      </c>
      <c r="B162" s="100" t="s">
        <v>119</v>
      </c>
      <c r="C162" s="97">
        <v>392280</v>
      </c>
      <c r="D162" s="97">
        <v>401836</v>
      </c>
      <c r="E162" s="97">
        <f t="shared" si="22"/>
        <v>9556</v>
      </c>
      <c r="F162" s="98">
        <f t="shared" si="23"/>
        <v>2.436015091261344E-2</v>
      </c>
    </row>
    <row r="163" spans="1:6" ht="18" customHeight="1" x14ac:dyDescent="0.25">
      <c r="A163" s="99">
        <v>9</v>
      </c>
      <c r="B163" s="100" t="s">
        <v>120</v>
      </c>
      <c r="C163" s="97">
        <v>97560</v>
      </c>
      <c r="D163" s="97">
        <v>108030</v>
      </c>
      <c r="E163" s="97">
        <f t="shared" si="22"/>
        <v>10470</v>
      </c>
      <c r="F163" s="98">
        <f t="shared" si="23"/>
        <v>0.10731857318573186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49504</v>
      </c>
      <c r="D165" s="97">
        <v>41229</v>
      </c>
      <c r="E165" s="97">
        <f t="shared" si="22"/>
        <v>-8275</v>
      </c>
      <c r="F165" s="98">
        <f t="shared" si="23"/>
        <v>-0.16715820943762119</v>
      </c>
    </row>
    <row r="166" spans="1:6" ht="33.75" customHeight="1" x14ac:dyDescent="0.25">
      <c r="A166" s="101"/>
      <c r="B166" s="102" t="s">
        <v>149</v>
      </c>
      <c r="C166" s="103">
        <f>SUM(C155:C165)</f>
        <v>8906416</v>
      </c>
      <c r="D166" s="103">
        <f>SUM(D155:D165)</f>
        <v>9523891</v>
      </c>
      <c r="E166" s="103">
        <f t="shared" si="22"/>
        <v>617475</v>
      </c>
      <c r="F166" s="104">
        <f t="shared" si="23"/>
        <v>6.932923411616973E-2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2902</v>
      </c>
      <c r="D168" s="117">
        <v>2942</v>
      </c>
      <c r="E168" s="117">
        <f t="shared" ref="E168:E179" si="24">D168-C168</f>
        <v>40</v>
      </c>
      <c r="F168" s="98">
        <f t="shared" ref="F168:F179" si="25">IF(C168=0,0,E168/C168)</f>
        <v>1.3783597518952447E-2</v>
      </c>
    </row>
    <row r="169" spans="1:6" ht="18" customHeight="1" x14ac:dyDescent="0.25">
      <c r="A169" s="99">
        <v>2</v>
      </c>
      <c r="B169" s="100" t="s">
        <v>113</v>
      </c>
      <c r="C169" s="117">
        <v>240</v>
      </c>
      <c r="D169" s="117">
        <v>278</v>
      </c>
      <c r="E169" s="117">
        <f t="shared" si="24"/>
        <v>38</v>
      </c>
      <c r="F169" s="98">
        <f t="shared" si="25"/>
        <v>0.15833333333333333</v>
      </c>
    </row>
    <row r="170" spans="1:6" ht="18" customHeight="1" x14ac:dyDescent="0.25">
      <c r="A170" s="99">
        <v>3</v>
      </c>
      <c r="B170" s="100" t="s">
        <v>114</v>
      </c>
      <c r="C170" s="117">
        <v>1147</v>
      </c>
      <c r="D170" s="117">
        <v>2880</v>
      </c>
      <c r="E170" s="117">
        <f t="shared" si="24"/>
        <v>1733</v>
      </c>
      <c r="F170" s="98">
        <f t="shared" si="25"/>
        <v>1.5108979947689625</v>
      </c>
    </row>
    <row r="171" spans="1:6" ht="18" customHeight="1" x14ac:dyDescent="0.25">
      <c r="A171" s="99">
        <v>4</v>
      </c>
      <c r="B171" s="100" t="s">
        <v>115</v>
      </c>
      <c r="C171" s="117">
        <v>2035</v>
      </c>
      <c r="D171" s="117">
        <v>530</v>
      </c>
      <c r="E171" s="117">
        <f t="shared" si="24"/>
        <v>-1505</v>
      </c>
      <c r="F171" s="98">
        <f t="shared" si="25"/>
        <v>-0.73955773955773951</v>
      </c>
    </row>
    <row r="172" spans="1:6" ht="18" customHeight="1" x14ac:dyDescent="0.25">
      <c r="A172" s="99">
        <v>5</v>
      </c>
      <c r="B172" s="100" t="s">
        <v>116</v>
      </c>
      <c r="C172" s="117">
        <v>82</v>
      </c>
      <c r="D172" s="117">
        <v>84</v>
      </c>
      <c r="E172" s="117">
        <f t="shared" si="24"/>
        <v>2</v>
      </c>
      <c r="F172" s="98">
        <f t="shared" si="25"/>
        <v>2.4390243902439025E-2</v>
      </c>
    </row>
    <row r="173" spans="1:6" ht="18" customHeight="1" x14ac:dyDescent="0.25">
      <c r="A173" s="99">
        <v>6</v>
      </c>
      <c r="B173" s="100" t="s">
        <v>117</v>
      </c>
      <c r="C173" s="117">
        <v>867</v>
      </c>
      <c r="D173" s="117">
        <v>725</v>
      </c>
      <c r="E173" s="117">
        <f t="shared" si="24"/>
        <v>-142</v>
      </c>
      <c r="F173" s="98">
        <f t="shared" si="25"/>
        <v>-0.1637831603229527</v>
      </c>
    </row>
    <row r="174" spans="1:6" ht="18" customHeight="1" x14ac:dyDescent="0.25">
      <c r="A174" s="99">
        <v>7</v>
      </c>
      <c r="B174" s="100" t="s">
        <v>118</v>
      </c>
      <c r="C174" s="117">
        <v>7452</v>
      </c>
      <c r="D174" s="117">
        <v>7039</v>
      </c>
      <c r="E174" s="117">
        <f t="shared" si="24"/>
        <v>-413</v>
      </c>
      <c r="F174" s="98">
        <f t="shared" si="25"/>
        <v>-5.5421363392377888E-2</v>
      </c>
    </row>
    <row r="175" spans="1:6" ht="18" customHeight="1" x14ac:dyDescent="0.25">
      <c r="A175" s="99">
        <v>8</v>
      </c>
      <c r="B175" s="100" t="s">
        <v>119</v>
      </c>
      <c r="C175" s="117">
        <v>536</v>
      </c>
      <c r="D175" s="117">
        <v>486</v>
      </c>
      <c r="E175" s="117">
        <f t="shared" si="24"/>
        <v>-50</v>
      </c>
      <c r="F175" s="98">
        <f t="shared" si="25"/>
        <v>-9.3283582089552244E-2</v>
      </c>
    </row>
    <row r="176" spans="1:6" ht="18" customHeight="1" x14ac:dyDescent="0.25">
      <c r="A176" s="99">
        <v>9</v>
      </c>
      <c r="B176" s="100" t="s">
        <v>120</v>
      </c>
      <c r="C176" s="117">
        <v>1238</v>
      </c>
      <c r="D176" s="117">
        <v>1203</v>
      </c>
      <c r="E176" s="117">
        <f t="shared" si="24"/>
        <v>-35</v>
      </c>
      <c r="F176" s="98">
        <f t="shared" si="25"/>
        <v>-2.827140549273021E-2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239</v>
      </c>
      <c r="D178" s="117">
        <v>199</v>
      </c>
      <c r="E178" s="117">
        <f t="shared" si="24"/>
        <v>-40</v>
      </c>
      <c r="F178" s="98">
        <f t="shared" si="25"/>
        <v>-0.16736401673640167</v>
      </c>
    </row>
    <row r="179" spans="1:6" ht="33.75" customHeight="1" x14ac:dyDescent="0.25">
      <c r="A179" s="101"/>
      <c r="B179" s="102" t="s">
        <v>151</v>
      </c>
      <c r="C179" s="118">
        <f>SUM(C168:C178)</f>
        <v>16738</v>
      </c>
      <c r="D179" s="118">
        <f>SUM(D168:D178)</f>
        <v>16366</v>
      </c>
      <c r="E179" s="118">
        <f t="shared" si="24"/>
        <v>-372</v>
      </c>
      <c r="F179" s="104">
        <f t="shared" si="25"/>
        <v>-2.222487752419644E-2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FILING&amp;RNEW MILFORD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12450131</v>
      </c>
      <c r="D15" s="146">
        <v>12057764</v>
      </c>
      <c r="E15" s="146">
        <f>+D15-C15</f>
        <v>-392367</v>
      </c>
      <c r="F15" s="150">
        <f>IF(C15=0,0,E15/C15)</f>
        <v>-3.1515090082184678E-2</v>
      </c>
    </row>
    <row r="16" spans="1:7" ht="15" customHeight="1" x14ac:dyDescent="0.2">
      <c r="A16" s="141">
        <v>2</v>
      </c>
      <c r="B16" s="149" t="s">
        <v>158</v>
      </c>
      <c r="C16" s="146">
        <v>5155740</v>
      </c>
      <c r="D16" s="146">
        <v>1009436</v>
      </c>
      <c r="E16" s="146">
        <f>+D16-C16</f>
        <v>-4146304</v>
      </c>
      <c r="F16" s="150">
        <f>IF(C16=0,0,E16/C16)</f>
        <v>-0.80421122865000949</v>
      </c>
    </row>
    <row r="17" spans="1:7" ht="15" customHeight="1" x14ac:dyDescent="0.2">
      <c r="A17" s="141">
        <v>3</v>
      </c>
      <c r="B17" s="149" t="s">
        <v>159</v>
      </c>
      <c r="C17" s="146">
        <v>21255462</v>
      </c>
      <c r="D17" s="146">
        <v>20222169</v>
      </c>
      <c r="E17" s="146">
        <f>+D17-C17</f>
        <v>-1033293</v>
      </c>
      <c r="F17" s="150">
        <f>IF(C17=0,0,E17/C17)</f>
        <v>-4.8613057669600404E-2</v>
      </c>
    </row>
    <row r="18" spans="1:7" ht="15.75" customHeight="1" x14ac:dyDescent="0.25">
      <c r="A18" s="141"/>
      <c r="B18" s="151" t="s">
        <v>160</v>
      </c>
      <c r="C18" s="147">
        <f>SUM(C15:C17)</f>
        <v>38861333</v>
      </c>
      <c r="D18" s="147">
        <f>SUM(D15:D17)</f>
        <v>33289369</v>
      </c>
      <c r="E18" s="147">
        <f>+D18-C18</f>
        <v>-5571964</v>
      </c>
      <c r="F18" s="148">
        <f>IF(C18=0,0,E18/C18)</f>
        <v>-0.14338067096154422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4295295</v>
      </c>
      <c r="D21" s="146">
        <v>4328737</v>
      </c>
      <c r="E21" s="146">
        <f>+D21-C21</f>
        <v>33442</v>
      </c>
      <c r="F21" s="150">
        <f>IF(C21=0,0,E21/C21)</f>
        <v>7.785728337634551E-3</v>
      </c>
    </row>
    <row r="22" spans="1:7" ht="15" customHeight="1" x14ac:dyDescent="0.2">
      <c r="A22" s="141">
        <v>2</v>
      </c>
      <c r="B22" s="149" t="s">
        <v>163</v>
      </c>
      <c r="C22" s="146">
        <v>1778730</v>
      </c>
      <c r="D22" s="146">
        <v>362388</v>
      </c>
      <c r="E22" s="146">
        <f>+D22-C22</f>
        <v>-1416342</v>
      </c>
      <c r="F22" s="150">
        <f>IF(C22=0,0,E22/C22)</f>
        <v>-0.79626587509065461</v>
      </c>
    </row>
    <row r="23" spans="1:7" ht="15" customHeight="1" x14ac:dyDescent="0.2">
      <c r="A23" s="141">
        <v>3</v>
      </c>
      <c r="B23" s="149" t="s">
        <v>164</v>
      </c>
      <c r="C23" s="146">
        <v>7317723</v>
      </c>
      <c r="D23" s="146">
        <v>7254980</v>
      </c>
      <c r="E23" s="146">
        <f>+D23-C23</f>
        <v>-62743</v>
      </c>
      <c r="F23" s="150">
        <f>IF(C23=0,0,E23/C23)</f>
        <v>-8.5741151994958003E-3</v>
      </c>
    </row>
    <row r="24" spans="1:7" ht="15.75" customHeight="1" x14ac:dyDescent="0.25">
      <c r="A24" s="141"/>
      <c r="B24" s="151" t="s">
        <v>165</v>
      </c>
      <c r="C24" s="147">
        <f>SUM(C21:C23)</f>
        <v>13391748</v>
      </c>
      <c r="D24" s="147">
        <f>SUM(D21:D23)</f>
        <v>11946105</v>
      </c>
      <c r="E24" s="147">
        <f>+D24-C24</f>
        <v>-1445643</v>
      </c>
      <c r="F24" s="148">
        <f>IF(C24=0,0,E24/C24)</f>
        <v>-0.10795028401072063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1914545</v>
      </c>
      <c r="D28" s="146">
        <v>7904111</v>
      </c>
      <c r="E28" s="146">
        <f>+D28-C28</f>
        <v>5989566</v>
      </c>
      <c r="F28" s="150">
        <f>IF(C28=0,0,E28/C28)</f>
        <v>3.1284540191011443</v>
      </c>
    </row>
    <row r="29" spans="1:7" ht="15" customHeight="1" x14ac:dyDescent="0.2">
      <c r="A29" s="141">
        <v>3</v>
      </c>
      <c r="B29" s="149" t="s">
        <v>169</v>
      </c>
      <c r="C29" s="146">
        <v>68511</v>
      </c>
      <c r="D29" s="146">
        <v>60359</v>
      </c>
      <c r="E29" s="146">
        <f>+D29-C29</f>
        <v>-8152</v>
      </c>
      <c r="F29" s="150">
        <f>IF(C29=0,0,E29/C29)</f>
        <v>-0.1189881916772489</v>
      </c>
    </row>
    <row r="30" spans="1:7" ht="15.75" customHeight="1" x14ac:dyDescent="0.25">
      <c r="A30" s="141"/>
      <c r="B30" s="151" t="s">
        <v>170</v>
      </c>
      <c r="C30" s="147">
        <f>SUM(C27:C29)</f>
        <v>1983056</v>
      </c>
      <c r="D30" s="147">
        <f>SUM(D27:D29)</f>
        <v>7964470</v>
      </c>
      <c r="E30" s="147">
        <f>+D30-C30</f>
        <v>5981414</v>
      </c>
      <c r="F30" s="148">
        <f>IF(C30=0,0,E30/C30)</f>
        <v>3.0162607611686205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7049561</v>
      </c>
      <c r="D33" s="146">
        <v>6044248</v>
      </c>
      <c r="E33" s="146">
        <f>+D33-C33</f>
        <v>-1005313</v>
      </c>
      <c r="F33" s="150">
        <f>IF(C33=0,0,E33/C33)</f>
        <v>-0.14260646868648985</v>
      </c>
    </row>
    <row r="34" spans="1:7" ht="15" customHeight="1" x14ac:dyDescent="0.2">
      <c r="A34" s="141">
        <v>2</v>
      </c>
      <c r="B34" s="149" t="s">
        <v>174</v>
      </c>
      <c r="C34" s="146">
        <v>6050951</v>
      </c>
      <c r="D34" s="146">
        <v>4374211</v>
      </c>
      <c r="E34" s="146">
        <f>+D34-C34</f>
        <v>-1676740</v>
      </c>
      <c r="F34" s="150">
        <f>IF(C34=0,0,E34/C34)</f>
        <v>-0.27710354950816823</v>
      </c>
    </row>
    <row r="35" spans="1:7" ht="15.75" customHeight="1" x14ac:dyDescent="0.25">
      <c r="A35" s="141"/>
      <c r="B35" s="151" t="s">
        <v>175</v>
      </c>
      <c r="C35" s="147">
        <f>SUM(C33:C34)</f>
        <v>13100512</v>
      </c>
      <c r="D35" s="147">
        <f>SUM(D33:D34)</f>
        <v>10418459</v>
      </c>
      <c r="E35" s="147">
        <f>+D35-C35</f>
        <v>-2682053</v>
      </c>
      <c r="F35" s="148">
        <f>IF(C35=0,0,E35/C35)</f>
        <v>-0.20472886861215805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2091797</v>
      </c>
      <c r="D38" s="146">
        <v>2012327</v>
      </c>
      <c r="E38" s="146">
        <f>+D38-C38</f>
        <v>-79470</v>
      </c>
      <c r="F38" s="150">
        <f>IF(C38=0,0,E38/C38)</f>
        <v>-3.7991258233949089E-2</v>
      </c>
    </row>
    <row r="39" spans="1:7" ht="15" customHeight="1" x14ac:dyDescent="0.2">
      <c r="A39" s="141">
        <v>2</v>
      </c>
      <c r="B39" s="149" t="s">
        <v>179</v>
      </c>
      <c r="C39" s="146">
        <v>3275722</v>
      </c>
      <c r="D39" s="146">
        <v>3153043</v>
      </c>
      <c r="E39" s="146">
        <f>+D39-C39</f>
        <v>-122679</v>
      </c>
      <c r="F39" s="150">
        <f>IF(C39=0,0,E39/C39)</f>
        <v>-3.7450980272440704E-2</v>
      </c>
    </row>
    <row r="40" spans="1:7" ht="15" customHeight="1" x14ac:dyDescent="0.2">
      <c r="A40" s="141">
        <v>3</v>
      </c>
      <c r="B40" s="149" t="s">
        <v>180</v>
      </c>
      <c r="C40" s="146">
        <v>322061</v>
      </c>
      <c r="D40" s="146">
        <v>346085</v>
      </c>
      <c r="E40" s="146">
        <f>+D40-C40</f>
        <v>24024</v>
      </c>
      <c r="F40" s="150">
        <f>IF(C40=0,0,E40/C40)</f>
        <v>7.4594564383765813E-2</v>
      </c>
    </row>
    <row r="41" spans="1:7" ht="15.75" customHeight="1" x14ac:dyDescent="0.25">
      <c r="A41" s="141"/>
      <c r="B41" s="151" t="s">
        <v>181</v>
      </c>
      <c r="C41" s="147">
        <f>SUM(C38:C40)</f>
        <v>5689580</v>
      </c>
      <c r="D41" s="147">
        <f>SUM(D38:D40)</f>
        <v>5511455</v>
      </c>
      <c r="E41" s="147">
        <f>+D41-C41</f>
        <v>-178125</v>
      </c>
      <c r="F41" s="148">
        <f>IF(C41=0,0,E41/C41)</f>
        <v>-3.1307231816759762E-2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2545989</v>
      </c>
      <c r="D44" s="146">
        <v>3125172</v>
      </c>
      <c r="E44" s="146">
        <f>+D44-C44</f>
        <v>579183</v>
      </c>
      <c r="F44" s="150">
        <f>IF(C44=0,0,E44/C44)</f>
        <v>0.22748841412904769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482517</v>
      </c>
      <c r="D47" s="146">
        <v>391263</v>
      </c>
      <c r="E47" s="146">
        <f>+D47-C47</f>
        <v>-91254</v>
      </c>
      <c r="F47" s="150">
        <f>IF(C47=0,0,E47/C47)</f>
        <v>-0.18912079781645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1856393</v>
      </c>
      <c r="D50" s="146">
        <v>1643424</v>
      </c>
      <c r="E50" s="146">
        <f>+D50-C50</f>
        <v>-212969</v>
      </c>
      <c r="F50" s="150">
        <f>IF(C50=0,0,E50/C50)</f>
        <v>-0.11472193657269771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147605</v>
      </c>
      <c r="D53" s="146">
        <v>143182</v>
      </c>
      <c r="E53" s="146">
        <f t="shared" ref="E53:E59" si="0">+D53-C53</f>
        <v>-4423</v>
      </c>
      <c r="F53" s="150">
        <f t="shared" ref="F53:F59" si="1">IF(C53=0,0,E53/C53)</f>
        <v>-2.9965109583008704E-2</v>
      </c>
    </row>
    <row r="54" spans="1:7" ht="15" customHeight="1" x14ac:dyDescent="0.2">
      <c r="A54" s="141">
        <v>2</v>
      </c>
      <c r="B54" s="149" t="s">
        <v>193</v>
      </c>
      <c r="C54" s="146">
        <v>207603</v>
      </c>
      <c r="D54" s="146">
        <v>162610</v>
      </c>
      <c r="E54" s="146">
        <f t="shared" si="0"/>
        <v>-44993</v>
      </c>
      <c r="F54" s="150">
        <f t="shared" si="1"/>
        <v>-0.21672615520970315</v>
      </c>
    </row>
    <row r="55" spans="1:7" ht="15" customHeight="1" x14ac:dyDescent="0.2">
      <c r="A55" s="141">
        <v>3</v>
      </c>
      <c r="B55" s="149" t="s">
        <v>194</v>
      </c>
      <c r="C55" s="146">
        <v>53539</v>
      </c>
      <c r="D55" s="146">
        <v>16372</v>
      </c>
      <c r="E55" s="146">
        <f t="shared" si="0"/>
        <v>-37167</v>
      </c>
      <c r="F55" s="150">
        <f t="shared" si="1"/>
        <v>-0.69420422495750767</v>
      </c>
    </row>
    <row r="56" spans="1:7" ht="15" customHeight="1" x14ac:dyDescent="0.2">
      <c r="A56" s="141">
        <v>4</v>
      </c>
      <c r="B56" s="149" t="s">
        <v>195</v>
      </c>
      <c r="C56" s="146">
        <v>905071</v>
      </c>
      <c r="D56" s="146">
        <v>847424</v>
      </c>
      <c r="E56" s="146">
        <f t="shared" si="0"/>
        <v>-57647</v>
      </c>
      <c r="F56" s="150">
        <f t="shared" si="1"/>
        <v>-6.3693345604930438E-2</v>
      </c>
    </row>
    <row r="57" spans="1:7" ht="15" customHeight="1" x14ac:dyDescent="0.2">
      <c r="A57" s="141">
        <v>5</v>
      </c>
      <c r="B57" s="149" t="s">
        <v>196</v>
      </c>
      <c r="C57" s="146">
        <v>249556</v>
      </c>
      <c r="D57" s="146">
        <v>206722</v>
      </c>
      <c r="E57" s="146">
        <f t="shared" si="0"/>
        <v>-42834</v>
      </c>
      <c r="F57" s="150">
        <f t="shared" si="1"/>
        <v>-0.1716408341213996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1563374</v>
      </c>
      <c r="D59" s="147">
        <f>SUM(D53:D58)</f>
        <v>1376310</v>
      </c>
      <c r="E59" s="147">
        <f t="shared" si="0"/>
        <v>-187064</v>
      </c>
      <c r="F59" s="148">
        <f t="shared" si="1"/>
        <v>-0.11965403032159931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154863</v>
      </c>
      <c r="D62" s="146">
        <v>164982</v>
      </c>
      <c r="E62" s="146">
        <f t="shared" ref="E62:E90" si="2">+D62-C62</f>
        <v>10119</v>
      </c>
      <c r="F62" s="150">
        <f t="shared" ref="F62:F90" si="3">IF(C62=0,0,E62/C62)</f>
        <v>6.5341624532651438E-2</v>
      </c>
    </row>
    <row r="63" spans="1:7" ht="15" customHeight="1" x14ac:dyDescent="0.2">
      <c r="A63" s="141">
        <v>2</v>
      </c>
      <c r="B63" s="149" t="s">
        <v>202</v>
      </c>
      <c r="C63" s="146">
        <v>377051</v>
      </c>
      <c r="D63" s="146">
        <v>249416</v>
      </c>
      <c r="E63" s="146">
        <f t="shared" si="2"/>
        <v>-127635</v>
      </c>
      <c r="F63" s="150">
        <f t="shared" si="3"/>
        <v>-0.33850858371944381</v>
      </c>
    </row>
    <row r="64" spans="1:7" ht="15" customHeight="1" x14ac:dyDescent="0.2">
      <c r="A64" s="141">
        <v>3</v>
      </c>
      <c r="B64" s="149" t="s">
        <v>203</v>
      </c>
      <c r="C64" s="146">
        <v>670829</v>
      </c>
      <c r="D64" s="146">
        <v>223368</v>
      </c>
      <c r="E64" s="146">
        <f t="shared" si="2"/>
        <v>-447461</v>
      </c>
      <c r="F64" s="150">
        <f t="shared" si="3"/>
        <v>-0.66702691744095743</v>
      </c>
    </row>
    <row r="65" spans="1:6" ht="15" customHeight="1" x14ac:dyDescent="0.2">
      <c r="A65" s="141">
        <v>4</v>
      </c>
      <c r="B65" s="149" t="s">
        <v>204</v>
      </c>
      <c r="C65" s="146">
        <v>226334</v>
      </c>
      <c r="D65" s="146">
        <v>215298</v>
      </c>
      <c r="E65" s="146">
        <f t="shared" si="2"/>
        <v>-11036</v>
      </c>
      <c r="F65" s="150">
        <f t="shared" si="3"/>
        <v>-4.8759797467459592E-2</v>
      </c>
    </row>
    <row r="66" spans="1:6" ht="15" customHeight="1" x14ac:dyDescent="0.2">
      <c r="A66" s="141">
        <v>5</v>
      </c>
      <c r="B66" s="149" t="s">
        <v>205</v>
      </c>
      <c r="C66" s="146">
        <v>351276</v>
      </c>
      <c r="D66" s="146">
        <v>309062</v>
      </c>
      <c r="E66" s="146">
        <f t="shared" si="2"/>
        <v>-42214</v>
      </c>
      <c r="F66" s="150">
        <f t="shared" si="3"/>
        <v>-0.12017331101470069</v>
      </c>
    </row>
    <row r="67" spans="1:6" ht="15" customHeight="1" x14ac:dyDescent="0.2">
      <c r="A67" s="141">
        <v>6</v>
      </c>
      <c r="B67" s="149" t="s">
        <v>206</v>
      </c>
      <c r="C67" s="146">
        <v>223841</v>
      </c>
      <c r="D67" s="146">
        <v>137654</v>
      </c>
      <c r="E67" s="146">
        <f t="shared" si="2"/>
        <v>-86187</v>
      </c>
      <c r="F67" s="150">
        <f t="shared" si="3"/>
        <v>-0.38503670015770125</v>
      </c>
    </row>
    <row r="68" spans="1:6" ht="15" customHeight="1" x14ac:dyDescent="0.2">
      <c r="A68" s="141">
        <v>7</v>
      </c>
      <c r="B68" s="149" t="s">
        <v>207</v>
      </c>
      <c r="C68" s="146">
        <v>1212216</v>
      </c>
      <c r="D68" s="146">
        <v>1428288</v>
      </c>
      <c r="E68" s="146">
        <f t="shared" si="2"/>
        <v>216072</v>
      </c>
      <c r="F68" s="150">
        <f t="shared" si="3"/>
        <v>0.17824546120493379</v>
      </c>
    </row>
    <row r="69" spans="1:6" ht="15" customHeight="1" x14ac:dyDescent="0.2">
      <c r="A69" s="141">
        <v>8</v>
      </c>
      <c r="B69" s="149" t="s">
        <v>208</v>
      </c>
      <c r="C69" s="146">
        <v>97158</v>
      </c>
      <c r="D69" s="146">
        <v>81367</v>
      </c>
      <c r="E69" s="146">
        <f t="shared" si="2"/>
        <v>-15791</v>
      </c>
      <c r="F69" s="150">
        <f t="shared" si="3"/>
        <v>-0.16252907634986311</v>
      </c>
    </row>
    <row r="70" spans="1:6" ht="15" customHeight="1" x14ac:dyDescent="0.2">
      <c r="A70" s="141">
        <v>9</v>
      </c>
      <c r="B70" s="149" t="s">
        <v>209</v>
      </c>
      <c r="C70" s="146">
        <v>170955</v>
      </c>
      <c r="D70" s="146">
        <v>87029</v>
      </c>
      <c r="E70" s="146">
        <f t="shared" si="2"/>
        <v>-83926</v>
      </c>
      <c r="F70" s="150">
        <f t="shared" si="3"/>
        <v>-0.4909245122985581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53866</v>
      </c>
      <c r="D72" s="146">
        <v>22041</v>
      </c>
      <c r="E72" s="146">
        <f t="shared" si="2"/>
        <v>-31825</v>
      </c>
      <c r="F72" s="150">
        <f t="shared" si="3"/>
        <v>-0.59081795566776818</v>
      </c>
    </row>
    <row r="73" spans="1:6" ht="15" customHeight="1" x14ac:dyDescent="0.2">
      <c r="A73" s="141">
        <v>12</v>
      </c>
      <c r="B73" s="149" t="s">
        <v>212</v>
      </c>
      <c r="C73" s="146">
        <v>1301926</v>
      </c>
      <c r="D73" s="146">
        <v>1230504</v>
      </c>
      <c r="E73" s="146">
        <f t="shared" si="2"/>
        <v>-71422</v>
      </c>
      <c r="F73" s="150">
        <f t="shared" si="3"/>
        <v>-5.485872468942167E-2</v>
      </c>
    </row>
    <row r="74" spans="1:6" ht="15" customHeight="1" x14ac:dyDescent="0.2">
      <c r="A74" s="141">
        <v>13</v>
      </c>
      <c r="B74" s="149" t="s">
        <v>213</v>
      </c>
      <c r="C74" s="146">
        <v>80372</v>
      </c>
      <c r="D74" s="146">
        <v>48039</v>
      </c>
      <c r="E74" s="146">
        <f t="shared" si="2"/>
        <v>-32333</v>
      </c>
      <c r="F74" s="150">
        <f t="shared" si="3"/>
        <v>-0.40229184293037379</v>
      </c>
    </row>
    <row r="75" spans="1:6" ht="15" customHeight="1" x14ac:dyDescent="0.2">
      <c r="A75" s="141">
        <v>14</v>
      </c>
      <c r="B75" s="149" t="s">
        <v>214</v>
      </c>
      <c r="C75" s="146">
        <v>103291</v>
      </c>
      <c r="D75" s="146">
        <v>78327</v>
      </c>
      <c r="E75" s="146">
        <f t="shared" si="2"/>
        <v>-24964</v>
      </c>
      <c r="F75" s="150">
        <f t="shared" si="3"/>
        <v>-0.24168611011607982</v>
      </c>
    </row>
    <row r="76" spans="1:6" ht="15" customHeight="1" x14ac:dyDescent="0.2">
      <c r="A76" s="141">
        <v>15</v>
      </c>
      <c r="B76" s="149" t="s">
        <v>215</v>
      </c>
      <c r="C76" s="146">
        <v>136431</v>
      </c>
      <c r="D76" s="146">
        <v>1477</v>
      </c>
      <c r="E76" s="146">
        <f t="shared" si="2"/>
        <v>-134954</v>
      </c>
      <c r="F76" s="150">
        <f t="shared" si="3"/>
        <v>-0.98917401470340316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10519</v>
      </c>
      <c r="E78" s="146">
        <f t="shared" si="2"/>
        <v>10519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52043</v>
      </c>
      <c r="E79" s="146">
        <f t="shared" si="2"/>
        <v>52043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972937</v>
      </c>
      <c r="E80" s="146">
        <f t="shared" si="2"/>
        <v>972937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619047</v>
      </c>
      <c r="E81" s="146">
        <f t="shared" si="2"/>
        <v>619047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271938</v>
      </c>
      <c r="E82" s="146">
        <f t="shared" si="2"/>
        <v>271938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32871</v>
      </c>
      <c r="E83" s="146">
        <f t="shared" si="2"/>
        <v>32871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203002</v>
      </c>
      <c r="E84" s="146">
        <f t="shared" si="2"/>
        <v>203002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0</v>
      </c>
      <c r="E86" s="146">
        <f t="shared" si="2"/>
        <v>0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3032062</v>
      </c>
      <c r="E87" s="146">
        <f t="shared" si="2"/>
        <v>3032062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2486175</v>
      </c>
      <c r="E88" s="146">
        <f t="shared" si="2"/>
        <v>2486175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0</v>
      </c>
      <c r="D89" s="146">
        <v>0</v>
      </c>
      <c r="E89" s="146">
        <f t="shared" si="2"/>
        <v>0</v>
      </c>
      <c r="F89" s="150">
        <f t="shared" si="3"/>
        <v>0</v>
      </c>
    </row>
    <row r="90" spans="1:7" ht="15.75" customHeight="1" x14ac:dyDescent="0.25">
      <c r="A90" s="141"/>
      <c r="B90" s="151" t="s">
        <v>229</v>
      </c>
      <c r="C90" s="147">
        <f>SUM(C62:C89)</f>
        <v>5160409</v>
      </c>
      <c r="D90" s="147">
        <f>SUM(D62:D89)</f>
        <v>11957446</v>
      </c>
      <c r="E90" s="147">
        <f t="shared" si="2"/>
        <v>6797037</v>
      </c>
      <c r="F90" s="148">
        <f t="shared" si="3"/>
        <v>1.3171508304864983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9280855</v>
      </c>
      <c r="D93" s="146">
        <v>1335336</v>
      </c>
      <c r="E93" s="146">
        <f>+D93-C93</f>
        <v>-7945519</v>
      </c>
      <c r="F93" s="150">
        <f>IF(C93=0,0,E93/C93)</f>
        <v>-0.85611929073345072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93915766</v>
      </c>
      <c r="D95" s="147">
        <f>+D93+D90+D59+D50+D47+D44+D41+D35+D30+D24+D18</f>
        <v>88958809</v>
      </c>
      <c r="E95" s="147">
        <f>+D95-C95</f>
        <v>-4956957</v>
      </c>
      <c r="F95" s="148">
        <f>IF(C95=0,0,E95/C95)</f>
        <v>-5.2780882391993696E-2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25041202</v>
      </c>
      <c r="D103" s="146">
        <v>24028718</v>
      </c>
      <c r="E103" s="146">
        <f t="shared" ref="E103:E121" si="4">D103-C103</f>
        <v>-1012484</v>
      </c>
      <c r="F103" s="150">
        <f t="shared" ref="F103:F121" si="5">IF(C103=0,0,E103/C103)</f>
        <v>-4.0432723636828614E-2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513171</v>
      </c>
      <c r="D104" s="146">
        <v>605607</v>
      </c>
      <c r="E104" s="146">
        <f t="shared" si="4"/>
        <v>92436</v>
      </c>
      <c r="F104" s="150">
        <f t="shared" si="5"/>
        <v>0.18012709213887768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1491898</v>
      </c>
      <c r="D105" s="146">
        <v>852643</v>
      </c>
      <c r="E105" s="146">
        <f t="shared" si="4"/>
        <v>-639255</v>
      </c>
      <c r="F105" s="150">
        <f t="shared" si="5"/>
        <v>-0.4284843870023286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626302</v>
      </c>
      <c r="D106" s="146">
        <v>983958</v>
      </c>
      <c r="E106" s="146">
        <f t="shared" si="4"/>
        <v>357656</v>
      </c>
      <c r="F106" s="150">
        <f t="shared" si="5"/>
        <v>0.57105996787492297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1863236</v>
      </c>
      <c r="D107" s="146">
        <v>1197075</v>
      </c>
      <c r="E107" s="146">
        <f t="shared" si="4"/>
        <v>-666161</v>
      </c>
      <c r="F107" s="150">
        <f t="shared" si="5"/>
        <v>-0.35752905160698911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263016</v>
      </c>
      <c r="D108" s="146">
        <v>214933</v>
      </c>
      <c r="E108" s="146">
        <f t="shared" si="4"/>
        <v>-48083</v>
      </c>
      <c r="F108" s="150">
        <f t="shared" si="5"/>
        <v>-0.18281397329440033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602216</v>
      </c>
      <c r="D109" s="146">
        <v>426551</v>
      </c>
      <c r="E109" s="146">
        <f t="shared" si="4"/>
        <v>-175665</v>
      </c>
      <c r="F109" s="150">
        <f t="shared" si="5"/>
        <v>-0.29169766329689018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562082</v>
      </c>
      <c r="D110" s="146">
        <v>188098</v>
      </c>
      <c r="E110" s="146">
        <f t="shared" si="4"/>
        <v>-373984</v>
      </c>
      <c r="F110" s="150">
        <f t="shared" si="5"/>
        <v>-0.66535487704640961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4301104</v>
      </c>
      <c r="D111" s="146">
        <v>3708623</v>
      </c>
      <c r="E111" s="146">
        <f t="shared" si="4"/>
        <v>-592481</v>
      </c>
      <c r="F111" s="150">
        <f t="shared" si="5"/>
        <v>-0.13775091232390568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1444760</v>
      </c>
      <c r="D112" s="146">
        <v>1439236</v>
      </c>
      <c r="E112" s="146">
        <f t="shared" si="4"/>
        <v>-5524</v>
      </c>
      <c r="F112" s="150">
        <f t="shared" si="5"/>
        <v>-3.8234724106425981E-3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980089</v>
      </c>
      <c r="D113" s="146">
        <v>954649</v>
      </c>
      <c r="E113" s="146">
        <f t="shared" si="4"/>
        <v>-25440</v>
      </c>
      <c r="F113" s="150">
        <f t="shared" si="5"/>
        <v>-2.5956826369850083E-2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249284</v>
      </c>
      <c r="D114" s="146">
        <v>210979</v>
      </c>
      <c r="E114" s="146">
        <f t="shared" si="4"/>
        <v>-38305</v>
      </c>
      <c r="F114" s="150">
        <f t="shared" si="5"/>
        <v>-0.15366008247621188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1296776</v>
      </c>
      <c r="D115" s="146">
        <v>1165598</v>
      </c>
      <c r="E115" s="146">
        <f t="shared" si="4"/>
        <v>-131178</v>
      </c>
      <c r="F115" s="150">
        <f t="shared" si="5"/>
        <v>-0.10115702326384819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394029</v>
      </c>
      <c r="D116" s="146">
        <v>389326</v>
      </c>
      <c r="E116" s="146">
        <f t="shared" si="4"/>
        <v>-4703</v>
      </c>
      <c r="F116" s="150">
        <f t="shared" si="5"/>
        <v>-1.1935669709589904E-2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1859324</v>
      </c>
      <c r="D117" s="146">
        <v>1897300</v>
      </c>
      <c r="E117" s="146">
        <f t="shared" si="4"/>
        <v>37976</v>
      </c>
      <c r="F117" s="150">
        <f t="shared" si="5"/>
        <v>2.0424627445243541E-2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452348</v>
      </c>
      <c r="D118" s="146">
        <v>385697</v>
      </c>
      <c r="E118" s="146">
        <f t="shared" si="4"/>
        <v>-66651</v>
      </c>
      <c r="F118" s="150">
        <f t="shared" si="5"/>
        <v>-0.14734452235889184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7132290</v>
      </c>
      <c r="D119" s="146">
        <v>5685573</v>
      </c>
      <c r="E119" s="146">
        <f t="shared" si="4"/>
        <v>-1446717</v>
      </c>
      <c r="F119" s="150">
        <f t="shared" si="5"/>
        <v>-0.20284046217974872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2370519</v>
      </c>
      <c r="D120" s="146">
        <v>1751232</v>
      </c>
      <c r="E120" s="146">
        <f t="shared" si="4"/>
        <v>-619287</v>
      </c>
      <c r="F120" s="150">
        <f t="shared" si="5"/>
        <v>-0.26124532222690472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51443646</v>
      </c>
      <c r="D121" s="147">
        <f>SUM(D103:D120)</f>
        <v>46085796</v>
      </c>
      <c r="E121" s="147">
        <f t="shared" si="4"/>
        <v>-5357850</v>
      </c>
      <c r="F121" s="148">
        <f t="shared" si="5"/>
        <v>-0.10414988859848698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1111553</v>
      </c>
      <c r="D124" s="146">
        <v>1682425</v>
      </c>
      <c r="E124" s="146">
        <f t="shared" ref="E124:E130" si="6">D124-C124</f>
        <v>570872</v>
      </c>
      <c r="F124" s="150">
        <f t="shared" ref="F124:F130" si="7">IF(C124=0,0,E124/C124)</f>
        <v>0.51358054901565642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430453</v>
      </c>
      <c r="D126" s="146">
        <v>510600</v>
      </c>
      <c r="E126" s="146">
        <f t="shared" si="6"/>
        <v>80147</v>
      </c>
      <c r="F126" s="150">
        <f t="shared" si="7"/>
        <v>0.18619222075348529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887803</v>
      </c>
      <c r="D127" s="146">
        <v>869231</v>
      </c>
      <c r="E127" s="146">
        <f t="shared" si="6"/>
        <v>-18572</v>
      </c>
      <c r="F127" s="150">
        <f t="shared" si="7"/>
        <v>-2.0919055240858613E-2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143265</v>
      </c>
      <c r="D128" s="146">
        <v>29149</v>
      </c>
      <c r="E128" s="146">
        <f t="shared" si="6"/>
        <v>-114116</v>
      </c>
      <c r="F128" s="150">
        <f t="shared" si="7"/>
        <v>-0.79653788434020867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3243608</v>
      </c>
      <c r="D129" s="146">
        <v>5119533</v>
      </c>
      <c r="E129" s="146">
        <f t="shared" si="6"/>
        <v>1875925</v>
      </c>
      <c r="F129" s="150">
        <f t="shared" si="7"/>
        <v>0.5783451637805801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5816682</v>
      </c>
      <c r="D130" s="147">
        <f>SUM(D124:D129)</f>
        <v>8210938</v>
      </c>
      <c r="E130" s="147">
        <f t="shared" si="6"/>
        <v>2394256</v>
      </c>
      <c r="F130" s="148">
        <f t="shared" si="7"/>
        <v>0.41161885762364181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2568715</v>
      </c>
      <c r="D133" s="146">
        <v>2484373</v>
      </c>
      <c r="E133" s="146">
        <f t="shared" ref="E133:E167" si="8">D133-C133</f>
        <v>-84342</v>
      </c>
      <c r="F133" s="150">
        <f t="shared" ref="F133:F167" si="9">IF(C133=0,0,E133/C133)</f>
        <v>-3.2834315990680166E-2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505501</v>
      </c>
      <c r="D134" s="146">
        <v>421517</v>
      </c>
      <c r="E134" s="146">
        <f t="shared" si="8"/>
        <v>-83984</v>
      </c>
      <c r="F134" s="150">
        <f t="shared" si="9"/>
        <v>-0.16614012633011607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120633</v>
      </c>
      <c r="D135" s="146">
        <v>103483</v>
      </c>
      <c r="E135" s="146">
        <f t="shared" si="8"/>
        <v>-17150</v>
      </c>
      <c r="F135" s="150">
        <f t="shared" si="9"/>
        <v>-0.14216673712831482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1809279</v>
      </c>
      <c r="D137" s="146">
        <v>1727944</v>
      </c>
      <c r="E137" s="146">
        <f t="shared" si="8"/>
        <v>-81335</v>
      </c>
      <c r="F137" s="150">
        <f t="shared" si="9"/>
        <v>-4.4954371326920838E-2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0</v>
      </c>
      <c r="D138" s="146">
        <v>0</v>
      </c>
      <c r="E138" s="146">
        <f t="shared" si="8"/>
        <v>0</v>
      </c>
      <c r="F138" s="150">
        <f t="shared" si="9"/>
        <v>0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1520340</v>
      </c>
      <c r="D139" s="146">
        <v>1222270</v>
      </c>
      <c r="E139" s="146">
        <f t="shared" si="8"/>
        <v>-298070</v>
      </c>
      <c r="F139" s="150">
        <f t="shared" si="9"/>
        <v>-0.19605482984069353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568560</v>
      </c>
      <c r="D140" s="146">
        <v>516724</v>
      </c>
      <c r="E140" s="146">
        <f t="shared" si="8"/>
        <v>-51836</v>
      </c>
      <c r="F140" s="150">
        <f t="shared" si="9"/>
        <v>-9.1170676797523567E-2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519526</v>
      </c>
      <c r="D141" s="146">
        <v>566371</v>
      </c>
      <c r="E141" s="146">
        <f t="shared" si="8"/>
        <v>46845</v>
      </c>
      <c r="F141" s="150">
        <f t="shared" si="9"/>
        <v>9.0168730727624796E-2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4556146</v>
      </c>
      <c r="D142" s="146">
        <v>3066594</v>
      </c>
      <c r="E142" s="146">
        <f t="shared" si="8"/>
        <v>-1489552</v>
      </c>
      <c r="F142" s="150">
        <f t="shared" si="9"/>
        <v>-0.32693245563245776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427495</v>
      </c>
      <c r="D143" s="146">
        <v>316815</v>
      </c>
      <c r="E143" s="146">
        <f t="shared" si="8"/>
        <v>-110680</v>
      </c>
      <c r="F143" s="150">
        <f t="shared" si="9"/>
        <v>-0.25890361290775332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203129</v>
      </c>
      <c r="D144" s="146">
        <v>209669</v>
      </c>
      <c r="E144" s="146">
        <f t="shared" si="8"/>
        <v>6540</v>
      </c>
      <c r="F144" s="150">
        <f t="shared" si="9"/>
        <v>3.2196289057692402E-2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473815</v>
      </c>
      <c r="D145" s="146">
        <v>434079</v>
      </c>
      <c r="E145" s="146">
        <f t="shared" si="8"/>
        <v>-39736</v>
      </c>
      <c r="F145" s="150">
        <f t="shared" si="9"/>
        <v>-8.3863955341219668E-2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195035</v>
      </c>
      <c r="D148" s="146">
        <v>54430</v>
      </c>
      <c r="E148" s="146">
        <f t="shared" si="8"/>
        <v>-140605</v>
      </c>
      <c r="F148" s="150">
        <f t="shared" si="9"/>
        <v>-0.72092188581536643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638787</v>
      </c>
      <c r="D150" s="146">
        <v>669925</v>
      </c>
      <c r="E150" s="146">
        <f t="shared" si="8"/>
        <v>31138</v>
      </c>
      <c r="F150" s="150">
        <f t="shared" si="9"/>
        <v>4.8745512980070037E-2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225500</v>
      </c>
      <c r="D151" s="146">
        <v>237300</v>
      </c>
      <c r="E151" s="146">
        <f t="shared" si="8"/>
        <v>11800</v>
      </c>
      <c r="F151" s="150">
        <f t="shared" si="9"/>
        <v>5.2328159645232818E-2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294289</v>
      </c>
      <c r="D152" s="146">
        <v>192805</v>
      </c>
      <c r="E152" s="146">
        <f t="shared" si="8"/>
        <v>-101484</v>
      </c>
      <c r="F152" s="150">
        <f t="shared" si="9"/>
        <v>-0.34484469348157765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896663</v>
      </c>
      <c r="D154" s="146">
        <v>841314</v>
      </c>
      <c r="E154" s="146">
        <f t="shared" si="8"/>
        <v>-55349</v>
      </c>
      <c r="F154" s="150">
        <f t="shared" si="9"/>
        <v>-6.1727761712036741E-2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3983537</v>
      </c>
      <c r="D156" s="146">
        <v>2279777</v>
      </c>
      <c r="E156" s="146">
        <f t="shared" si="8"/>
        <v>-1703760</v>
      </c>
      <c r="F156" s="150">
        <f t="shared" si="9"/>
        <v>-0.42770030754076088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1570302</v>
      </c>
      <c r="D157" s="146">
        <v>1600821</v>
      </c>
      <c r="E157" s="146">
        <f t="shared" si="8"/>
        <v>30519</v>
      </c>
      <c r="F157" s="150">
        <f t="shared" si="9"/>
        <v>1.9435115028828848E-2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192521</v>
      </c>
      <c r="D158" s="146">
        <v>158581</v>
      </c>
      <c r="E158" s="146">
        <f t="shared" si="8"/>
        <v>-33940</v>
      </c>
      <c r="F158" s="150">
        <f t="shared" si="9"/>
        <v>-0.17629245640735297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909965</v>
      </c>
      <c r="D160" s="146">
        <v>1000339</v>
      </c>
      <c r="E160" s="146">
        <f t="shared" si="8"/>
        <v>90374</v>
      </c>
      <c r="F160" s="150">
        <f t="shared" si="9"/>
        <v>9.9315907754693858E-2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363992</v>
      </c>
      <c r="D161" s="146">
        <v>305532</v>
      </c>
      <c r="E161" s="146">
        <f t="shared" si="8"/>
        <v>-58460</v>
      </c>
      <c r="F161" s="150">
        <f t="shared" si="9"/>
        <v>-0.16060792544891098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99025</v>
      </c>
      <c r="D162" s="146">
        <v>98340</v>
      </c>
      <c r="E162" s="146">
        <f t="shared" si="8"/>
        <v>-685</v>
      </c>
      <c r="F162" s="150">
        <f t="shared" si="9"/>
        <v>-6.9174450896238322E-3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38</v>
      </c>
      <c r="D163" s="146">
        <v>0</v>
      </c>
      <c r="E163" s="146">
        <f t="shared" si="8"/>
        <v>-38</v>
      </c>
      <c r="F163" s="150">
        <f t="shared" si="9"/>
        <v>-1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256912</v>
      </c>
      <c r="D164" s="146">
        <v>274150</v>
      </c>
      <c r="E164" s="146">
        <f t="shared" si="8"/>
        <v>17238</v>
      </c>
      <c r="F164" s="150">
        <f t="shared" si="9"/>
        <v>6.7096904776732885E-2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2143507</v>
      </c>
      <c r="D166" s="146">
        <v>1695894</v>
      </c>
      <c r="E166" s="146">
        <f t="shared" si="8"/>
        <v>-447613</v>
      </c>
      <c r="F166" s="150">
        <f t="shared" si="9"/>
        <v>-0.20882273769108289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25043212</v>
      </c>
      <c r="D167" s="147">
        <f>SUM(D133:D166)</f>
        <v>20479047</v>
      </c>
      <c r="E167" s="147">
        <f t="shared" si="8"/>
        <v>-4564165</v>
      </c>
      <c r="F167" s="148">
        <f t="shared" si="9"/>
        <v>-0.18225158178591469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3587628</v>
      </c>
      <c r="D170" s="146">
        <v>3335232</v>
      </c>
      <c r="E170" s="146">
        <f t="shared" ref="E170:E183" si="10">D170-C170</f>
        <v>-252396</v>
      </c>
      <c r="F170" s="150">
        <f t="shared" ref="F170:F183" si="11">IF(C170=0,0,E170/C170)</f>
        <v>-7.0351775602152736E-2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1605318</v>
      </c>
      <c r="D171" s="146">
        <v>1549991</v>
      </c>
      <c r="E171" s="146">
        <f t="shared" si="10"/>
        <v>-55327</v>
      </c>
      <c r="F171" s="150">
        <f t="shared" si="11"/>
        <v>-3.4464822546062528E-2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0</v>
      </c>
      <c r="D173" s="146">
        <v>0</v>
      </c>
      <c r="E173" s="146">
        <f t="shared" si="10"/>
        <v>0</v>
      </c>
      <c r="F173" s="150">
        <f t="shared" si="11"/>
        <v>0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1569551</v>
      </c>
      <c r="D175" s="146">
        <v>1557139</v>
      </c>
      <c r="E175" s="146">
        <f t="shared" si="10"/>
        <v>-12412</v>
      </c>
      <c r="F175" s="150">
        <f t="shared" si="11"/>
        <v>-7.9079940696415718E-3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27935</v>
      </c>
      <c r="D176" s="146">
        <v>25559</v>
      </c>
      <c r="E176" s="146">
        <f t="shared" si="10"/>
        <v>-2376</v>
      </c>
      <c r="F176" s="150">
        <f t="shared" si="11"/>
        <v>-8.5054591014855921E-2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715096</v>
      </c>
      <c r="D179" s="146">
        <v>714580</v>
      </c>
      <c r="E179" s="146">
        <f t="shared" si="10"/>
        <v>-516</v>
      </c>
      <c r="F179" s="150">
        <f t="shared" si="11"/>
        <v>-7.2158143801671383E-4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760561</v>
      </c>
      <c r="D181" s="146">
        <v>55690</v>
      </c>
      <c r="E181" s="146">
        <f t="shared" si="10"/>
        <v>-704871</v>
      </c>
      <c r="F181" s="150">
        <f t="shared" si="11"/>
        <v>-0.9267777338043891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3127326</v>
      </c>
      <c r="D182" s="146">
        <v>6944473</v>
      </c>
      <c r="E182" s="146">
        <f t="shared" si="10"/>
        <v>3817147</v>
      </c>
      <c r="F182" s="150">
        <f t="shared" si="11"/>
        <v>1.2205785389818651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11393415</v>
      </c>
      <c r="D183" s="147">
        <f>SUM(D170:D182)</f>
        <v>14182664</v>
      </c>
      <c r="E183" s="147">
        <f t="shared" si="10"/>
        <v>2789249</v>
      </c>
      <c r="F183" s="148">
        <f t="shared" si="11"/>
        <v>0.24481237627173241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218811</v>
      </c>
      <c r="D186" s="146">
        <v>364</v>
      </c>
      <c r="E186" s="146">
        <f>D186-C186</f>
        <v>-218447</v>
      </c>
      <c r="F186" s="150">
        <f>IF(C186=0,0,E186/C186)</f>
        <v>-0.99833646388892694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93915766</v>
      </c>
      <c r="D188" s="147">
        <f>+D186+D183+D167+D130+D121</f>
        <v>88958809</v>
      </c>
      <c r="E188" s="147">
        <f>D188-C188</f>
        <v>-4956957</v>
      </c>
      <c r="F188" s="148">
        <f>IF(C188=0,0,E188/C188)</f>
        <v>-5.2780882391993696E-2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88045146</v>
      </c>
      <c r="D11" s="164">
        <v>90588107</v>
      </c>
      <c r="E11" s="51">
        <v>81236073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3875185</v>
      </c>
      <c r="D12" s="49">
        <v>3236289</v>
      </c>
      <c r="E12" s="49">
        <v>1244665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91920331</v>
      </c>
      <c r="D13" s="51">
        <f>+D11+D12</f>
        <v>93824396</v>
      </c>
      <c r="E13" s="51">
        <f>+E11+E12</f>
        <v>82480738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91802230</v>
      </c>
      <c r="D14" s="49">
        <v>93915766</v>
      </c>
      <c r="E14" s="49">
        <v>88958809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118101</v>
      </c>
      <c r="D15" s="51">
        <f>+D13-D14</f>
        <v>-91370</v>
      </c>
      <c r="E15" s="51">
        <f>+E13-E14</f>
        <v>-6478071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72146</v>
      </c>
      <c r="D16" s="49">
        <v>-2572</v>
      </c>
      <c r="E16" s="49">
        <v>21958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190247</v>
      </c>
      <c r="D17" s="51">
        <f>D15+D16</f>
        <v>-93942</v>
      </c>
      <c r="E17" s="51">
        <f>E15+E16</f>
        <v>-6456113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1.2838115012383023E-3</v>
      </c>
      <c r="D20" s="169">
        <f>IF(+D27=0,0,+D24/+D27)</f>
        <v>-9.7386723157290138E-4</v>
      </c>
      <c r="E20" s="169">
        <f>IF(+E27=0,0,+E24/+E27)</f>
        <v>-7.85195068049655E-2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7.8425978246025483E-4</v>
      </c>
      <c r="D21" s="169">
        <f>IF(D27=0,0,+D26/D27)</f>
        <v>-2.7413664436965114E-5</v>
      </c>
      <c r="E21" s="169">
        <f>IF(E27=0,0,+E26/E27)</f>
        <v>2.6614887833483646E-4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2.0680712836985572E-3</v>
      </c>
      <c r="D22" s="169">
        <f>IF(D27=0,0,+D28/D27)</f>
        <v>-1.0012808960098666E-3</v>
      </c>
      <c r="E22" s="169">
        <f>IF(E27=0,0,+E28/E27)</f>
        <v>-7.8253357926630671E-2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118101</v>
      </c>
      <c r="D24" s="51">
        <f>+D15</f>
        <v>-91370</v>
      </c>
      <c r="E24" s="51">
        <f>+E15</f>
        <v>-6478071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91920331</v>
      </c>
      <c r="D25" s="51">
        <f>+D13</f>
        <v>93824396</v>
      </c>
      <c r="E25" s="51">
        <f>+E13</f>
        <v>82480738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72146</v>
      </c>
      <c r="D26" s="51">
        <f>+D16</f>
        <v>-2572</v>
      </c>
      <c r="E26" s="51">
        <f>+E16</f>
        <v>21958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91992477</v>
      </c>
      <c r="D27" s="51">
        <f>+D25+D26</f>
        <v>93821824</v>
      </c>
      <c r="E27" s="51">
        <f>+E25+E26</f>
        <v>82502696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190247</v>
      </c>
      <c r="D28" s="51">
        <f>+D17</f>
        <v>-93942</v>
      </c>
      <c r="E28" s="51">
        <f>+E17</f>
        <v>-6456113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28931108</v>
      </c>
      <c r="D31" s="51">
        <v>26176392</v>
      </c>
      <c r="E31" s="51">
        <v>12487373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34704604</v>
      </c>
      <c r="D32" s="51">
        <v>30388996</v>
      </c>
      <c r="E32" s="51">
        <v>20545903</v>
      </c>
      <c r="F32" s="13"/>
    </row>
    <row r="33" spans="1:6" ht="24" customHeight="1" x14ac:dyDescent="0.2">
      <c r="A33" s="25">
        <v>3</v>
      </c>
      <c r="B33" s="48" t="s">
        <v>331</v>
      </c>
      <c r="C33" s="51">
        <v>10936202</v>
      </c>
      <c r="D33" s="51">
        <f>+D32-C32</f>
        <v>-4315608</v>
      </c>
      <c r="E33" s="51">
        <f>+E32-D32</f>
        <v>-9843093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1.4601</v>
      </c>
      <c r="D34" s="171">
        <f>IF(C32=0,0,+D33/C32)</f>
        <v>-0.12435260750994306</v>
      </c>
      <c r="E34" s="171">
        <f>IF(D32=0,0,+E33/D32)</f>
        <v>-0.32390319838141413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0.37677677897555545</v>
      </c>
      <c r="D38" s="172">
        <f>IF((D40+D41)=0,0,+D39/(D40+D41))</f>
        <v>0.38854838048592771</v>
      </c>
      <c r="E38" s="172">
        <f>IF((E40+E41)=0,0,+E39/(E40+E41))</f>
        <v>0.43262370845066839</v>
      </c>
      <c r="F38" s="5"/>
    </row>
    <row r="39" spans="1:6" ht="24" customHeight="1" x14ac:dyDescent="0.2">
      <c r="A39" s="21">
        <v>2</v>
      </c>
      <c r="B39" s="48" t="s">
        <v>336</v>
      </c>
      <c r="C39" s="51">
        <v>91802230</v>
      </c>
      <c r="D39" s="51">
        <v>93915766</v>
      </c>
      <c r="E39" s="23">
        <v>88958809</v>
      </c>
      <c r="F39" s="5"/>
    </row>
    <row r="40" spans="1:6" ht="24" customHeight="1" x14ac:dyDescent="0.2">
      <c r="A40" s="21">
        <v>3</v>
      </c>
      <c r="B40" s="48" t="s">
        <v>337</v>
      </c>
      <c r="C40" s="51">
        <v>240127700</v>
      </c>
      <c r="D40" s="51">
        <v>238485896</v>
      </c>
      <c r="E40" s="23">
        <v>204381627</v>
      </c>
      <c r="F40" s="5"/>
    </row>
    <row r="41" spans="1:6" ht="24" customHeight="1" x14ac:dyDescent="0.2">
      <c r="A41" s="21">
        <v>4</v>
      </c>
      <c r="B41" s="48" t="s">
        <v>338</v>
      </c>
      <c r="C41" s="51">
        <v>3523807</v>
      </c>
      <c r="D41" s="51">
        <v>3223427</v>
      </c>
      <c r="E41" s="23">
        <v>1244665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1.301363417186759</v>
      </c>
      <c r="D43" s="173">
        <f>IF(D38=0,0,IF((D46-D47)=0,0,((+D44-D45)/(D46-D47)/D38)))</f>
        <v>1.289709720341937</v>
      </c>
      <c r="E43" s="173">
        <f>IF(E38=0,0,IF((E46-E47)=0,0,((+E44-E45)/(E46-E47)/E38)))</f>
        <v>1.2161366330307148</v>
      </c>
      <c r="F43" s="5"/>
    </row>
    <row r="44" spans="1:6" ht="24" customHeight="1" x14ac:dyDescent="0.2">
      <c r="A44" s="21">
        <v>6</v>
      </c>
      <c r="B44" s="48" t="s">
        <v>340</v>
      </c>
      <c r="C44" s="51">
        <v>54625501</v>
      </c>
      <c r="D44" s="51">
        <v>55897705</v>
      </c>
      <c r="E44" s="23">
        <v>48176988</v>
      </c>
      <c r="F44" s="5"/>
    </row>
    <row r="45" spans="1:6" ht="24" customHeight="1" x14ac:dyDescent="0.2">
      <c r="A45" s="21">
        <v>7</v>
      </c>
      <c r="B45" s="48" t="s">
        <v>341</v>
      </c>
      <c r="C45" s="51">
        <v>274542</v>
      </c>
      <c r="D45" s="51">
        <v>419722</v>
      </c>
      <c r="E45" s="23">
        <v>175360</v>
      </c>
      <c r="F45" s="5"/>
    </row>
    <row r="46" spans="1:6" ht="24" customHeight="1" x14ac:dyDescent="0.2">
      <c r="A46" s="21">
        <v>8</v>
      </c>
      <c r="B46" s="48" t="s">
        <v>342</v>
      </c>
      <c r="C46" s="51">
        <v>115856329</v>
      </c>
      <c r="D46" s="51">
        <v>115409470</v>
      </c>
      <c r="E46" s="23">
        <v>95705889</v>
      </c>
      <c r="F46" s="5"/>
    </row>
    <row r="47" spans="1:6" ht="24" customHeight="1" x14ac:dyDescent="0.2">
      <c r="A47" s="21">
        <v>9</v>
      </c>
      <c r="B47" s="48" t="s">
        <v>343</v>
      </c>
      <c r="C47" s="51">
        <v>5009190</v>
      </c>
      <c r="D47" s="51">
        <v>4700302</v>
      </c>
      <c r="E47" s="174">
        <v>4470510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0.63939093398740909</v>
      </c>
      <c r="D49" s="175">
        <f>IF(D38=0,0,IF(D51=0,0,(D50/D51)/D38))</f>
        <v>0.65259770730697175</v>
      </c>
      <c r="E49" s="175">
        <f>IF(E38=0,0,IF(E51=0,0,(E50/E51)/E38))</f>
        <v>0.61977345481760748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25840252</v>
      </c>
      <c r="D50" s="176">
        <v>25943262</v>
      </c>
      <c r="E50" s="176">
        <v>24242071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107262062</v>
      </c>
      <c r="D51" s="176">
        <v>102313734</v>
      </c>
      <c r="E51" s="176">
        <v>90412074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0.71974230360112812</v>
      </c>
      <c r="D53" s="175">
        <f>IF(D38=0,0,IF(D55=0,0,(D54/D55)/D38))</f>
        <v>0.72970533823948258</v>
      </c>
      <c r="E53" s="175">
        <f>IF(E38=0,0,IF(E55=0,0,(E54/E55)/E38))</f>
        <v>0.6663496918644396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4034622</v>
      </c>
      <c r="D54" s="176">
        <v>5499834</v>
      </c>
      <c r="E54" s="176">
        <v>5018898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14877902</v>
      </c>
      <c r="D55" s="176">
        <v>19398000</v>
      </c>
      <c r="E55" s="176">
        <v>17409883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1987111.3128976051</v>
      </c>
      <c r="D57" s="53">
        <f>+D60*D38</f>
        <v>1663212.4265404525</v>
      </c>
      <c r="E57" s="53">
        <f>+E60*E38</f>
        <v>1863279.1633900204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2208785</v>
      </c>
      <c r="D58" s="51">
        <v>1734591</v>
      </c>
      <c r="E58" s="52">
        <v>1181756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3065190</v>
      </c>
      <c r="D59" s="51">
        <v>2545989</v>
      </c>
      <c r="E59" s="52">
        <v>3125172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5273975</v>
      </c>
      <c r="D60" s="51">
        <v>4280580</v>
      </c>
      <c r="E60" s="52">
        <v>4306928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2.1645566920298179E-2</v>
      </c>
      <c r="D62" s="178">
        <f>IF(D63=0,0,+D57/D63)</f>
        <v>1.7709618921070744E-2</v>
      </c>
      <c r="E62" s="178">
        <f>IF(E63=0,0,+E57/E63)</f>
        <v>2.0945414898596724E-2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91802230</v>
      </c>
      <c r="D63" s="176">
        <v>93915766</v>
      </c>
      <c r="E63" s="176">
        <v>88958809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1.6752394587302344</v>
      </c>
      <c r="D67" s="179">
        <f>IF(D69=0,0,D68/D69)</f>
        <v>1.4159301036710099</v>
      </c>
      <c r="E67" s="179">
        <f>IF(E69=0,0,E68/E69)</f>
        <v>1.007099572402339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22877256</v>
      </c>
      <c r="D68" s="180">
        <v>24834328</v>
      </c>
      <c r="E68" s="180">
        <v>14864692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13656111</v>
      </c>
      <c r="D69" s="180">
        <v>17539233</v>
      </c>
      <c r="E69" s="180">
        <v>14759903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29.831892545951302</v>
      </c>
      <c r="D71" s="181">
        <f>IF((D77/365)=0,0,+D74/(D77/365))</f>
        <v>44.30869571988525</v>
      </c>
      <c r="E71" s="181">
        <f>IF((E77/365)=0,0,+E74/(E77/365))</f>
        <v>16.261486493628066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6859877</v>
      </c>
      <c r="D72" s="182">
        <v>10710102</v>
      </c>
      <c r="E72" s="182">
        <v>3717748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198805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7058682</v>
      </c>
      <c r="D74" s="180">
        <f>+D72+D73</f>
        <v>10710102</v>
      </c>
      <c r="E74" s="180">
        <f>+E72+E73</f>
        <v>3717748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91802230</v>
      </c>
      <c r="D75" s="180">
        <f>+D14</f>
        <v>93915766</v>
      </c>
      <c r="E75" s="180">
        <f>+E14</f>
        <v>88958809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5437648</v>
      </c>
      <c r="D76" s="180">
        <v>5689580</v>
      </c>
      <c r="E76" s="180">
        <v>5511455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86364582</v>
      </c>
      <c r="D77" s="180">
        <f>+D75-D76</f>
        <v>88226186</v>
      </c>
      <c r="E77" s="180">
        <f>+E75-E76</f>
        <v>83447354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27.480601088446146</v>
      </c>
      <c r="D79" s="179">
        <f>IF((D84/365)=0,0,+D83/(D84/365))</f>
        <v>25.273951689927685</v>
      </c>
      <c r="E79" s="179">
        <f>IF((E84/365)=0,0,+E83/(E84/365))</f>
        <v>27.585727709905424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10247728</v>
      </c>
      <c r="D80" s="189">
        <v>10457444</v>
      </c>
      <c r="E80" s="189">
        <v>8601320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3618869</v>
      </c>
      <c r="D82" s="190">
        <v>4184788</v>
      </c>
      <c r="E82" s="190">
        <v>2461714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6628859</v>
      </c>
      <c r="D83" s="191">
        <f>+D80+D81-D82</f>
        <v>6272656</v>
      </c>
      <c r="E83" s="191">
        <f>+E80+E81-E82</f>
        <v>6139606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88045146</v>
      </c>
      <c r="D84" s="191">
        <f>+D11</f>
        <v>90588107</v>
      </c>
      <c r="E84" s="191">
        <f>+E11</f>
        <v>81236073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57.714405599739948</v>
      </c>
      <c r="D86" s="179">
        <f>IF((D90/365)=0,0,+D87/(D90/365))</f>
        <v>72.561450689934617</v>
      </c>
      <c r="E86" s="179">
        <f>IF((E90/365)=0,0,+E87/(E90/365))</f>
        <v>64.560040993031365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13656111</v>
      </c>
      <c r="D87" s="51">
        <f>+D69</f>
        <v>17539233</v>
      </c>
      <c r="E87" s="51">
        <f>+E69</f>
        <v>14759903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91802230</v>
      </c>
      <c r="D88" s="51">
        <f t="shared" si="0"/>
        <v>93915766</v>
      </c>
      <c r="E88" s="51">
        <f t="shared" si="0"/>
        <v>88958809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5437648</v>
      </c>
      <c r="D89" s="52">
        <f t="shared" si="0"/>
        <v>5689580</v>
      </c>
      <c r="E89" s="52">
        <f t="shared" si="0"/>
        <v>5511455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86364582</v>
      </c>
      <c r="D90" s="51">
        <f>+D88-D89</f>
        <v>88226186</v>
      </c>
      <c r="E90" s="51">
        <f>+E88-E89</f>
        <v>83447354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50.355428061498777</v>
      </c>
      <c r="D94" s="192">
        <f>IF(D96=0,0,(D95/D96)*100)</f>
        <v>42.810535329128093</v>
      </c>
      <c r="E94" s="192">
        <f>IF(E96=0,0,(E95/E96)*100)</f>
        <v>30.954389532744703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34704604</v>
      </c>
      <c r="D95" s="51">
        <f>+D32</f>
        <v>30388996</v>
      </c>
      <c r="E95" s="51">
        <f>+E32</f>
        <v>20545903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68919291</v>
      </c>
      <c r="D96" s="51">
        <v>70984854</v>
      </c>
      <c r="E96" s="51">
        <v>66374764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27.319479458091411</v>
      </c>
      <c r="D98" s="192">
        <f>IF(D104=0,0,(D101/D104)*100)</f>
        <v>23.163532743436392</v>
      </c>
      <c r="E98" s="192">
        <f>IF(E104=0,0,(E101/E104)*100)</f>
        <v>-4.822344328141047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190247</v>
      </c>
      <c r="D99" s="51">
        <f>+D28</f>
        <v>-93942</v>
      </c>
      <c r="E99" s="51">
        <f>+E28</f>
        <v>-6456113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5437648</v>
      </c>
      <c r="D100" s="52">
        <f>+D76</f>
        <v>5689580</v>
      </c>
      <c r="E100" s="52">
        <f>+E76</f>
        <v>5511455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5627895</v>
      </c>
      <c r="D101" s="51">
        <f>+D99+D100</f>
        <v>5595638</v>
      </c>
      <c r="E101" s="51">
        <f>+E99+E100</f>
        <v>-944658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13656111</v>
      </c>
      <c r="D102" s="180">
        <f>+D69</f>
        <v>17539233</v>
      </c>
      <c r="E102" s="180">
        <f>+E69</f>
        <v>14759903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6944190</v>
      </c>
      <c r="D103" s="194">
        <v>6617868</v>
      </c>
      <c r="E103" s="194">
        <v>4829283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20600301</v>
      </c>
      <c r="D104" s="180">
        <f>+D102+D103</f>
        <v>24157101</v>
      </c>
      <c r="E104" s="180">
        <f>+E102+E103</f>
        <v>19589186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16.673207872477651</v>
      </c>
      <c r="D106" s="197">
        <f>IF(D109=0,0,(D107/D109)*100)</f>
        <v>17.882812226402105</v>
      </c>
      <c r="E106" s="197">
        <f>IF(E109=0,0,(E107/E109)*100)</f>
        <v>19.03151764089532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6944190</v>
      </c>
      <c r="D107" s="180">
        <f>+D103</f>
        <v>6617868</v>
      </c>
      <c r="E107" s="180">
        <f>+E103</f>
        <v>4829283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34704604</v>
      </c>
      <c r="D108" s="180">
        <f>+D32</f>
        <v>30388996</v>
      </c>
      <c r="E108" s="180">
        <f>+E32</f>
        <v>20545903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41648794</v>
      </c>
      <c r="D109" s="180">
        <f>+D107+D108</f>
        <v>37006864</v>
      </c>
      <c r="E109" s="180">
        <f>+E107+E108</f>
        <v>25375186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2.5584092974237902</v>
      </c>
      <c r="D111" s="197">
        <f>IF((+D113+D115)=0,0,((+D112+D113+D114)/(+D113+D115)))</f>
        <v>0.77942471254477608</v>
      </c>
      <c r="E111" s="197">
        <f>IF((+E113+E115)=0,0,((+E112+E113+E114)/(+E113+E115)))</f>
        <v>-0.68582932932126572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190247</v>
      </c>
      <c r="D112" s="180">
        <f>+D17</f>
        <v>-93942</v>
      </c>
      <c r="E112" s="180">
        <f>+E17</f>
        <v>-6456113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538204</v>
      </c>
      <c r="D113" s="180">
        <v>482517</v>
      </c>
      <c r="E113" s="180">
        <v>391263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5437648</v>
      </c>
      <c r="D114" s="180">
        <v>5689580</v>
      </c>
      <c r="E114" s="180">
        <v>5511455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1871926</v>
      </c>
      <c r="D115" s="180">
        <v>7315741</v>
      </c>
      <c r="E115" s="180">
        <v>415636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12.124181447567036</v>
      </c>
      <c r="D119" s="197">
        <f>IF(+D121=0,0,(+D120)/(+D121))</f>
        <v>12.591156464976326</v>
      </c>
      <c r="E119" s="197">
        <f>IF(+E121=0,0,(+E120)/(+E121))</f>
        <v>13.744360790390196</v>
      </c>
    </row>
    <row r="120" spans="1:8" ht="24" customHeight="1" x14ac:dyDescent="0.25">
      <c r="A120" s="17">
        <v>21</v>
      </c>
      <c r="B120" s="48" t="s">
        <v>381</v>
      </c>
      <c r="C120" s="180">
        <v>65927031</v>
      </c>
      <c r="D120" s="180">
        <v>71638392</v>
      </c>
      <c r="E120" s="180">
        <v>75751426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5437648</v>
      </c>
      <c r="D121" s="180">
        <v>5689580</v>
      </c>
      <c r="E121" s="180">
        <v>5511455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9382</v>
      </c>
      <c r="D124" s="198">
        <v>9347</v>
      </c>
      <c r="E124" s="198">
        <v>8537</v>
      </c>
    </row>
    <row r="125" spans="1:8" ht="24" customHeight="1" x14ac:dyDescent="0.2">
      <c r="A125" s="44">
        <v>2</v>
      </c>
      <c r="B125" s="48" t="s">
        <v>385</v>
      </c>
      <c r="C125" s="198">
        <v>2512</v>
      </c>
      <c r="D125" s="198">
        <v>2516</v>
      </c>
      <c r="E125" s="198">
        <v>2288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3.7348726114649682</v>
      </c>
      <c r="D126" s="199">
        <f>IF(D125=0,0,D124/D125)</f>
        <v>3.7150238473767887</v>
      </c>
      <c r="E126" s="199">
        <f>IF(E125=0,0,E124/E125)</f>
        <v>3.7312062937062938</v>
      </c>
    </row>
    <row r="127" spans="1:8" ht="24" customHeight="1" x14ac:dyDescent="0.2">
      <c r="A127" s="44">
        <v>4</v>
      </c>
      <c r="B127" s="48" t="s">
        <v>387</v>
      </c>
      <c r="C127" s="198">
        <v>30</v>
      </c>
      <c r="D127" s="198">
        <v>29</v>
      </c>
      <c r="E127" s="198">
        <v>27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95</v>
      </c>
      <c r="E128" s="198">
        <v>95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95</v>
      </c>
      <c r="D129" s="198">
        <v>95</v>
      </c>
      <c r="E129" s="198">
        <v>95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0.85680000000000001</v>
      </c>
      <c r="D130" s="171">
        <v>0.88300000000000001</v>
      </c>
      <c r="E130" s="171">
        <v>0.86619999999999997</v>
      </c>
    </row>
    <row r="131" spans="1:8" ht="24" customHeight="1" x14ac:dyDescent="0.2">
      <c r="A131" s="44">
        <v>7</v>
      </c>
      <c r="B131" s="48" t="s">
        <v>391</v>
      </c>
      <c r="C131" s="171">
        <v>0.27050000000000002</v>
      </c>
      <c r="D131" s="171">
        <v>0.26950000000000002</v>
      </c>
      <c r="E131" s="171">
        <v>0.2462</v>
      </c>
    </row>
    <row r="132" spans="1:8" ht="24" customHeight="1" x14ac:dyDescent="0.2">
      <c r="A132" s="44">
        <v>8</v>
      </c>
      <c r="B132" s="48" t="s">
        <v>392</v>
      </c>
      <c r="C132" s="199">
        <v>475.5</v>
      </c>
      <c r="D132" s="199">
        <v>461.6</v>
      </c>
      <c r="E132" s="199">
        <v>420.3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0.46161746020971339</v>
      </c>
      <c r="D135" s="203">
        <f>IF(D149=0,0,D143/D149)</f>
        <v>0.46421683569916439</v>
      </c>
      <c r="E135" s="203">
        <f>IF(E149=0,0,E143/E149)</f>
        <v>0.44639716563172288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0.44668758331504443</v>
      </c>
      <c r="D136" s="203">
        <f>IF(D149=0,0,D144/D149)</f>
        <v>0.42901377278931413</v>
      </c>
      <c r="E136" s="203">
        <f>IF(E149=0,0,E144/E149)</f>
        <v>0.44236889258152351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6.1958291359139328E-2</v>
      </c>
      <c r="D137" s="203">
        <f>IF(D149=0,0,D145/D149)</f>
        <v>8.1338143367606114E-2</v>
      </c>
      <c r="E137" s="203">
        <f>IF(E149=0,0,E145/E149)</f>
        <v>8.5183209741255261E-2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7.1939638783863752E-3</v>
      </c>
      <c r="D138" s="203">
        <f>IF(D149=0,0,D146/D149)</f>
        <v>3.6974681303585349E-3</v>
      </c>
      <c r="E138" s="203">
        <f>IF(E149=0,0,E146/E149)</f>
        <v>2.254214367321775E-3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2.0860525462077052E-2</v>
      </c>
      <c r="D139" s="203">
        <f>IF(D149=0,0,D147/D149)</f>
        <v>1.9708930711776766E-2</v>
      </c>
      <c r="E139" s="203">
        <f>IF(E149=0,0,E147/E149)</f>
        <v>2.1873345787583931E-2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1.6821757756393786E-3</v>
      </c>
      <c r="D140" s="203">
        <f>IF(D149=0,0,D148/D149)</f>
        <v>2.0248493017800935E-3</v>
      </c>
      <c r="E140" s="203">
        <f>IF(E149=0,0,E148/E149)</f>
        <v>1.9231718905926901E-3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0.99999999999999989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110847139</v>
      </c>
      <c r="D143" s="205">
        <f>+D46-D147</f>
        <v>110709168</v>
      </c>
      <c r="E143" s="205">
        <f>+E46-E147</f>
        <v>91235379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107262062</v>
      </c>
      <c r="D144" s="205">
        <f>+D51</f>
        <v>102313734</v>
      </c>
      <c r="E144" s="205">
        <f>+E51</f>
        <v>90412074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14877902</v>
      </c>
      <c r="D145" s="205">
        <f>+D55</f>
        <v>19398000</v>
      </c>
      <c r="E145" s="205">
        <f>+E55</f>
        <v>17409883</v>
      </c>
    </row>
    <row r="146" spans="1:7" ht="20.100000000000001" customHeight="1" x14ac:dyDescent="0.2">
      <c r="A146" s="202">
        <v>11</v>
      </c>
      <c r="B146" s="201" t="s">
        <v>404</v>
      </c>
      <c r="C146" s="204">
        <v>1727470</v>
      </c>
      <c r="D146" s="205">
        <v>881794</v>
      </c>
      <c r="E146" s="205">
        <v>460720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5009190</v>
      </c>
      <c r="D147" s="205">
        <f>+D47</f>
        <v>4700302</v>
      </c>
      <c r="E147" s="205">
        <f>+E47</f>
        <v>4470510</v>
      </c>
    </row>
    <row r="148" spans="1:7" ht="20.100000000000001" customHeight="1" x14ac:dyDescent="0.2">
      <c r="A148" s="202">
        <v>13</v>
      </c>
      <c r="B148" s="201" t="s">
        <v>406</v>
      </c>
      <c r="C148" s="206">
        <v>403937</v>
      </c>
      <c r="D148" s="205">
        <v>482898</v>
      </c>
      <c r="E148" s="205">
        <v>393061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240127700</v>
      </c>
      <c r="D149" s="205">
        <f>SUM(D143:D148)</f>
        <v>238485896</v>
      </c>
      <c r="E149" s="205">
        <f>SUM(E143:E148)</f>
        <v>204381627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0.63957391125789087</v>
      </c>
      <c r="D152" s="203">
        <f>IF(D166=0,0,D160/D166)</f>
        <v>0.63252624284096604</v>
      </c>
      <c r="E152" s="203">
        <f>IF(E166=0,0,E160/E166)</f>
        <v>0.61805001224985079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0.30407469055936137</v>
      </c>
      <c r="D153" s="203">
        <f>IF(D166=0,0,D161/D166)</f>
        <v>0.29578930509962498</v>
      </c>
      <c r="E153" s="203">
        <f>IF(E166=0,0,E161/E166)</f>
        <v>0.31213133601451504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4.7477340243198544E-2</v>
      </c>
      <c r="D154" s="203">
        <f>IF(D166=0,0,D162/D166)</f>
        <v>6.2705764488031251E-2</v>
      </c>
      <c r="E154" s="203">
        <f>IF(E166=0,0,E162/E166)</f>
        <v>6.4621349308834938E-2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4.5012382332538436E-3</v>
      </c>
      <c r="D155" s="203">
        <f>IF(D166=0,0,D163/D166)</f>
        <v>2.9179811094209055E-3</v>
      </c>
      <c r="E155" s="203">
        <f>IF(E166=0,0,E163/E166)</f>
        <v>1.637622477263355E-3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3.2306679399081782E-3</v>
      </c>
      <c r="D156" s="203">
        <f>IF(D166=0,0,D164/D166)</f>
        <v>4.7854151384288061E-3</v>
      </c>
      <c r="E156" s="203">
        <f>IF(E166=0,0,E164/E166)</f>
        <v>2.2578661321264737E-3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1.1421517663872478E-3</v>
      </c>
      <c r="D157" s="203">
        <f>IF(D166=0,0,D165/D166)</f>
        <v>1.2752913235279915E-3</v>
      </c>
      <c r="E157" s="203">
        <f>IF(E166=0,0,E165/E166)</f>
        <v>1.3018138174093943E-3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1.0000000000000002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54350959</v>
      </c>
      <c r="D160" s="208">
        <f>+D44-D164</f>
        <v>55477983</v>
      </c>
      <c r="E160" s="208">
        <f>+E44-E164</f>
        <v>48001628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25840252</v>
      </c>
      <c r="D161" s="208">
        <f>+D50</f>
        <v>25943262</v>
      </c>
      <c r="E161" s="208">
        <f>+E50</f>
        <v>24242071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4034622</v>
      </c>
      <c r="D162" s="208">
        <f>+D54</f>
        <v>5499834</v>
      </c>
      <c r="E162" s="208">
        <f>+E54</f>
        <v>5018898</v>
      </c>
    </row>
    <row r="163" spans="1:6" ht="20.100000000000001" customHeight="1" x14ac:dyDescent="0.2">
      <c r="A163" s="202">
        <v>11</v>
      </c>
      <c r="B163" s="201" t="s">
        <v>420</v>
      </c>
      <c r="C163" s="207">
        <v>382515</v>
      </c>
      <c r="D163" s="208">
        <v>255932</v>
      </c>
      <c r="E163" s="208">
        <v>127188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274542</v>
      </c>
      <c r="D164" s="208">
        <f>+D45</f>
        <v>419722</v>
      </c>
      <c r="E164" s="208">
        <f>+E45</f>
        <v>175360</v>
      </c>
    </row>
    <row r="165" spans="1:6" ht="20.100000000000001" customHeight="1" x14ac:dyDescent="0.2">
      <c r="A165" s="202">
        <v>13</v>
      </c>
      <c r="B165" s="201" t="s">
        <v>422</v>
      </c>
      <c r="C165" s="209">
        <v>97060</v>
      </c>
      <c r="D165" s="208">
        <v>111854</v>
      </c>
      <c r="E165" s="208">
        <v>101107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84979950</v>
      </c>
      <c r="D166" s="208">
        <f>SUM(D160:D165)</f>
        <v>87708587</v>
      </c>
      <c r="E166" s="208">
        <f>SUM(E160:E165)</f>
        <v>77666252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1057</v>
      </c>
      <c r="D169" s="198">
        <v>1068</v>
      </c>
      <c r="E169" s="198">
        <v>888</v>
      </c>
    </row>
    <row r="170" spans="1:6" ht="20.100000000000001" customHeight="1" x14ac:dyDescent="0.2">
      <c r="A170" s="202">
        <v>2</v>
      </c>
      <c r="B170" s="201" t="s">
        <v>426</v>
      </c>
      <c r="C170" s="198">
        <v>1167</v>
      </c>
      <c r="D170" s="198">
        <v>1199</v>
      </c>
      <c r="E170" s="198">
        <v>1118</v>
      </c>
    </row>
    <row r="171" spans="1:6" ht="20.100000000000001" customHeight="1" x14ac:dyDescent="0.2">
      <c r="A171" s="202">
        <v>3</v>
      </c>
      <c r="B171" s="201" t="s">
        <v>427</v>
      </c>
      <c r="C171" s="198">
        <v>283</v>
      </c>
      <c r="D171" s="198">
        <v>242</v>
      </c>
      <c r="E171" s="198">
        <v>273</v>
      </c>
    </row>
    <row r="172" spans="1:6" ht="20.100000000000001" customHeight="1" x14ac:dyDescent="0.2">
      <c r="A172" s="202">
        <v>4</v>
      </c>
      <c r="B172" s="201" t="s">
        <v>428</v>
      </c>
      <c r="C172" s="198">
        <v>252</v>
      </c>
      <c r="D172" s="198">
        <v>236</v>
      </c>
      <c r="E172" s="198">
        <v>265</v>
      </c>
    </row>
    <row r="173" spans="1:6" ht="20.100000000000001" customHeight="1" x14ac:dyDescent="0.2">
      <c r="A173" s="202">
        <v>5</v>
      </c>
      <c r="B173" s="201" t="s">
        <v>429</v>
      </c>
      <c r="C173" s="198">
        <v>31</v>
      </c>
      <c r="D173" s="198">
        <v>6</v>
      </c>
      <c r="E173" s="198">
        <v>8</v>
      </c>
    </row>
    <row r="174" spans="1:6" ht="20.100000000000001" customHeight="1" x14ac:dyDescent="0.2">
      <c r="A174" s="202">
        <v>6</v>
      </c>
      <c r="B174" s="201" t="s">
        <v>430</v>
      </c>
      <c r="C174" s="198">
        <v>5</v>
      </c>
      <c r="D174" s="198">
        <v>7</v>
      </c>
      <c r="E174" s="198">
        <v>9</v>
      </c>
    </row>
    <row r="175" spans="1:6" ht="20.100000000000001" customHeight="1" x14ac:dyDescent="0.2">
      <c r="A175" s="202">
        <v>7</v>
      </c>
      <c r="B175" s="201" t="s">
        <v>431</v>
      </c>
      <c r="C175" s="198">
        <v>51</v>
      </c>
      <c r="D175" s="198">
        <v>55</v>
      </c>
      <c r="E175" s="198">
        <v>54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2512</v>
      </c>
      <c r="D176" s="198">
        <f>+D169+D170+D171+D174</f>
        <v>2516</v>
      </c>
      <c r="E176" s="198">
        <f>+E169+E170+E171+E174</f>
        <v>2288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1.161</v>
      </c>
      <c r="D179" s="210">
        <v>1.129</v>
      </c>
      <c r="E179" s="210">
        <v>1.0384</v>
      </c>
    </row>
    <row r="180" spans="1:6" ht="20.100000000000001" customHeight="1" x14ac:dyDescent="0.2">
      <c r="A180" s="202">
        <v>2</v>
      </c>
      <c r="B180" s="201" t="s">
        <v>426</v>
      </c>
      <c r="C180" s="210">
        <v>1.5347999999999999</v>
      </c>
      <c r="D180" s="210">
        <v>1.3738999999999999</v>
      </c>
      <c r="E180" s="210">
        <v>1.339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0.90699799999999997</v>
      </c>
      <c r="D181" s="210">
        <v>0.879166</v>
      </c>
      <c r="E181" s="210">
        <v>0.77646099999999996</v>
      </c>
    </row>
    <row r="182" spans="1:6" ht="20.100000000000001" customHeight="1" x14ac:dyDescent="0.2">
      <c r="A182" s="202">
        <v>4</v>
      </c>
      <c r="B182" s="201" t="s">
        <v>428</v>
      </c>
      <c r="C182" s="210">
        <v>0.82089999999999996</v>
      </c>
      <c r="D182" s="210">
        <v>0.8649</v>
      </c>
      <c r="E182" s="210">
        <v>0.7772</v>
      </c>
    </row>
    <row r="183" spans="1:6" ht="20.100000000000001" customHeight="1" x14ac:dyDescent="0.2">
      <c r="A183" s="202">
        <v>5</v>
      </c>
      <c r="B183" s="201" t="s">
        <v>429</v>
      </c>
      <c r="C183" s="210">
        <v>1.6069</v>
      </c>
      <c r="D183" s="210">
        <v>1.4402999999999999</v>
      </c>
      <c r="E183" s="210">
        <v>0.752</v>
      </c>
    </row>
    <row r="184" spans="1:6" ht="20.100000000000001" customHeight="1" x14ac:dyDescent="0.2">
      <c r="A184" s="202">
        <v>6</v>
      </c>
      <c r="B184" s="201" t="s">
        <v>430</v>
      </c>
      <c r="C184" s="210">
        <v>0.874</v>
      </c>
      <c r="D184" s="210">
        <v>1.1586000000000001</v>
      </c>
      <c r="E184" s="210">
        <v>0.77890000000000004</v>
      </c>
    </row>
    <row r="185" spans="1:6" ht="20.100000000000001" customHeight="1" x14ac:dyDescent="0.2">
      <c r="A185" s="202">
        <v>7</v>
      </c>
      <c r="B185" s="201" t="s">
        <v>431</v>
      </c>
      <c r="C185" s="210">
        <v>1.0268999999999999</v>
      </c>
      <c r="D185" s="210">
        <v>0.877</v>
      </c>
      <c r="E185" s="210">
        <v>0.87460000000000004</v>
      </c>
    </row>
    <row r="186" spans="1:6" ht="20.100000000000001" customHeight="1" x14ac:dyDescent="0.2">
      <c r="A186" s="202">
        <v>8</v>
      </c>
      <c r="B186" s="201" t="s">
        <v>435</v>
      </c>
      <c r="C186" s="210">
        <v>1.305469</v>
      </c>
      <c r="D186" s="210">
        <v>1.221759</v>
      </c>
      <c r="E186" s="210">
        <v>1.153009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1901</v>
      </c>
      <c r="D189" s="198">
        <v>2042</v>
      </c>
      <c r="E189" s="198">
        <v>2050</v>
      </c>
    </row>
    <row r="190" spans="1:6" ht="20.100000000000001" customHeight="1" x14ac:dyDescent="0.2">
      <c r="A190" s="202">
        <v>2</v>
      </c>
      <c r="B190" s="201" t="s">
        <v>439</v>
      </c>
      <c r="C190" s="198">
        <v>16972</v>
      </c>
      <c r="D190" s="198">
        <v>16738</v>
      </c>
      <c r="E190" s="198">
        <v>16366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18873</v>
      </c>
      <c r="D191" s="198">
        <f>+D190+D189</f>
        <v>18780</v>
      </c>
      <c r="E191" s="198">
        <f>+E190+E189</f>
        <v>18416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FILING&amp;RNEW MILFORD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441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86"/>
      <c r="D9" s="687"/>
      <c r="E9" s="687"/>
      <c r="F9" s="688"/>
      <c r="G9" s="212"/>
    </row>
    <row r="10" spans="1:7" ht="20.25" customHeight="1" x14ac:dyDescent="0.3">
      <c r="A10" s="689" t="s">
        <v>12</v>
      </c>
      <c r="B10" s="690" t="s">
        <v>113</v>
      </c>
      <c r="C10" s="692"/>
      <c r="D10" s="693"/>
      <c r="E10" s="693"/>
      <c r="F10" s="694"/>
    </row>
    <row r="11" spans="1:7" ht="20.25" customHeight="1" x14ac:dyDescent="0.3">
      <c r="A11" s="675"/>
      <c r="B11" s="691"/>
      <c r="C11" s="681"/>
      <c r="D11" s="682"/>
      <c r="E11" s="682"/>
      <c r="F11" s="683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209501</v>
      </c>
      <c r="D14" s="237">
        <v>352540</v>
      </c>
      <c r="E14" s="237">
        <f t="shared" ref="E14:E24" si="0">D14-C14</f>
        <v>143039</v>
      </c>
      <c r="F14" s="238">
        <f t="shared" ref="F14:F24" si="1">IF(C14=0,0,E14/C14)</f>
        <v>0.68276046415052916</v>
      </c>
    </row>
    <row r="15" spans="1:7" ht="20.25" customHeight="1" x14ac:dyDescent="0.3">
      <c r="A15" s="235">
        <v>2</v>
      </c>
      <c r="B15" s="236" t="s">
        <v>447</v>
      </c>
      <c r="C15" s="237">
        <v>62295</v>
      </c>
      <c r="D15" s="237">
        <v>119112</v>
      </c>
      <c r="E15" s="237">
        <f t="shared" si="0"/>
        <v>56817</v>
      </c>
      <c r="F15" s="238">
        <f t="shared" si="1"/>
        <v>0.91206356850469539</v>
      </c>
    </row>
    <row r="16" spans="1:7" ht="20.25" customHeight="1" x14ac:dyDescent="0.3">
      <c r="A16" s="235">
        <v>3</v>
      </c>
      <c r="B16" s="236" t="s">
        <v>448</v>
      </c>
      <c r="C16" s="237">
        <v>237464</v>
      </c>
      <c r="D16" s="237">
        <v>614679</v>
      </c>
      <c r="E16" s="237">
        <f t="shared" si="0"/>
        <v>377215</v>
      </c>
      <c r="F16" s="238">
        <f t="shared" si="1"/>
        <v>1.5885144695617019</v>
      </c>
    </row>
    <row r="17" spans="1:6" ht="20.25" customHeight="1" x14ac:dyDescent="0.3">
      <c r="A17" s="235">
        <v>4</v>
      </c>
      <c r="B17" s="236" t="s">
        <v>449</v>
      </c>
      <c r="C17" s="237">
        <v>56349</v>
      </c>
      <c r="D17" s="237">
        <v>128847</v>
      </c>
      <c r="E17" s="237">
        <f t="shared" si="0"/>
        <v>72498</v>
      </c>
      <c r="F17" s="238">
        <f t="shared" si="1"/>
        <v>1.2865889368045573</v>
      </c>
    </row>
    <row r="18" spans="1:6" ht="20.25" customHeight="1" x14ac:dyDescent="0.3">
      <c r="A18" s="235">
        <v>5</v>
      </c>
      <c r="B18" s="236" t="s">
        <v>385</v>
      </c>
      <c r="C18" s="239">
        <v>6</v>
      </c>
      <c r="D18" s="239">
        <v>15</v>
      </c>
      <c r="E18" s="239">
        <f t="shared" si="0"/>
        <v>9</v>
      </c>
      <c r="F18" s="238">
        <f t="shared" si="1"/>
        <v>1.5</v>
      </c>
    </row>
    <row r="19" spans="1:6" ht="20.25" customHeight="1" x14ac:dyDescent="0.3">
      <c r="A19" s="235">
        <v>6</v>
      </c>
      <c r="B19" s="236" t="s">
        <v>384</v>
      </c>
      <c r="C19" s="239">
        <v>27</v>
      </c>
      <c r="D19" s="239">
        <v>48</v>
      </c>
      <c r="E19" s="239">
        <f t="shared" si="0"/>
        <v>21</v>
      </c>
      <c r="F19" s="238">
        <f t="shared" si="1"/>
        <v>0.77777777777777779</v>
      </c>
    </row>
    <row r="20" spans="1:6" ht="20.25" customHeight="1" x14ac:dyDescent="0.3">
      <c r="A20" s="235">
        <v>7</v>
      </c>
      <c r="B20" s="236" t="s">
        <v>450</v>
      </c>
      <c r="C20" s="239">
        <v>71</v>
      </c>
      <c r="D20" s="239">
        <v>162</v>
      </c>
      <c r="E20" s="239">
        <f t="shared" si="0"/>
        <v>91</v>
      </c>
      <c r="F20" s="238">
        <f t="shared" si="1"/>
        <v>1.2816901408450705</v>
      </c>
    </row>
    <row r="21" spans="1:6" ht="20.25" customHeight="1" x14ac:dyDescent="0.3">
      <c r="A21" s="235">
        <v>8</v>
      </c>
      <c r="B21" s="236" t="s">
        <v>451</v>
      </c>
      <c r="C21" s="239">
        <v>16</v>
      </c>
      <c r="D21" s="239">
        <v>41</v>
      </c>
      <c r="E21" s="239">
        <f t="shared" si="0"/>
        <v>25</v>
      </c>
      <c r="F21" s="238">
        <f t="shared" si="1"/>
        <v>1.5625</v>
      </c>
    </row>
    <row r="22" spans="1:6" ht="20.25" customHeight="1" x14ac:dyDescent="0.3">
      <c r="A22" s="235">
        <v>9</v>
      </c>
      <c r="B22" s="236" t="s">
        <v>452</v>
      </c>
      <c r="C22" s="239">
        <v>6</v>
      </c>
      <c r="D22" s="239">
        <v>13</v>
      </c>
      <c r="E22" s="239">
        <f t="shared" si="0"/>
        <v>7</v>
      </c>
      <c r="F22" s="238">
        <f t="shared" si="1"/>
        <v>1.1666666666666667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446965</v>
      </c>
      <c r="D23" s="243">
        <f>+D14+D16</f>
        <v>967219</v>
      </c>
      <c r="E23" s="243">
        <f t="shared" si="0"/>
        <v>520254</v>
      </c>
      <c r="F23" s="244">
        <f t="shared" si="1"/>
        <v>1.1639703332475697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118644</v>
      </c>
      <c r="D24" s="243">
        <f>+D15+D17</f>
        <v>247959</v>
      </c>
      <c r="E24" s="243">
        <f t="shared" si="0"/>
        <v>129315</v>
      </c>
      <c r="F24" s="244">
        <f t="shared" si="1"/>
        <v>1.0899413371093354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448467</v>
      </c>
      <c r="D40" s="237">
        <v>426032</v>
      </c>
      <c r="E40" s="237">
        <f t="shared" ref="E40:E50" si="4">D40-C40</f>
        <v>-22435</v>
      </c>
      <c r="F40" s="238">
        <f t="shared" ref="F40:F50" si="5">IF(C40=0,0,E40/C40)</f>
        <v>-5.0025977385181074E-2</v>
      </c>
    </row>
    <row r="41" spans="1:6" ht="20.25" customHeight="1" x14ac:dyDescent="0.3">
      <c r="A41" s="235">
        <v>2</v>
      </c>
      <c r="B41" s="236" t="s">
        <v>447</v>
      </c>
      <c r="C41" s="237">
        <v>133352</v>
      </c>
      <c r="D41" s="237">
        <v>143943</v>
      </c>
      <c r="E41" s="237">
        <f t="shared" si="4"/>
        <v>10591</v>
      </c>
      <c r="F41" s="238">
        <f t="shared" si="5"/>
        <v>7.9421381006659061E-2</v>
      </c>
    </row>
    <row r="42" spans="1:6" ht="20.25" customHeight="1" x14ac:dyDescent="0.3">
      <c r="A42" s="235">
        <v>3</v>
      </c>
      <c r="B42" s="236" t="s">
        <v>448</v>
      </c>
      <c r="C42" s="237">
        <v>701885</v>
      </c>
      <c r="D42" s="237">
        <v>1511026</v>
      </c>
      <c r="E42" s="237">
        <f t="shared" si="4"/>
        <v>809141</v>
      </c>
      <c r="F42" s="238">
        <f t="shared" si="5"/>
        <v>1.1528113579859949</v>
      </c>
    </row>
    <row r="43" spans="1:6" ht="20.25" customHeight="1" x14ac:dyDescent="0.3">
      <c r="A43" s="235">
        <v>4</v>
      </c>
      <c r="B43" s="236" t="s">
        <v>449</v>
      </c>
      <c r="C43" s="237">
        <v>166553</v>
      </c>
      <c r="D43" s="237">
        <v>316737</v>
      </c>
      <c r="E43" s="237">
        <f t="shared" si="4"/>
        <v>150184</v>
      </c>
      <c r="F43" s="238">
        <f t="shared" si="5"/>
        <v>0.90171897233913534</v>
      </c>
    </row>
    <row r="44" spans="1:6" ht="20.25" customHeight="1" x14ac:dyDescent="0.3">
      <c r="A44" s="235">
        <v>5</v>
      </c>
      <c r="B44" s="236" t="s">
        <v>385</v>
      </c>
      <c r="C44" s="239">
        <v>11</v>
      </c>
      <c r="D44" s="239">
        <v>15</v>
      </c>
      <c r="E44" s="239">
        <f t="shared" si="4"/>
        <v>4</v>
      </c>
      <c r="F44" s="238">
        <f t="shared" si="5"/>
        <v>0.36363636363636365</v>
      </c>
    </row>
    <row r="45" spans="1:6" ht="20.25" customHeight="1" x14ac:dyDescent="0.3">
      <c r="A45" s="235">
        <v>6</v>
      </c>
      <c r="B45" s="236" t="s">
        <v>384</v>
      </c>
      <c r="C45" s="239">
        <v>52</v>
      </c>
      <c r="D45" s="239">
        <v>55</v>
      </c>
      <c r="E45" s="239">
        <f t="shared" si="4"/>
        <v>3</v>
      </c>
      <c r="F45" s="238">
        <f t="shared" si="5"/>
        <v>5.7692307692307696E-2</v>
      </c>
    </row>
    <row r="46" spans="1:6" ht="20.25" customHeight="1" x14ac:dyDescent="0.3">
      <c r="A46" s="235">
        <v>7</v>
      </c>
      <c r="B46" s="236" t="s">
        <v>450</v>
      </c>
      <c r="C46" s="239">
        <v>476</v>
      </c>
      <c r="D46" s="239">
        <v>418</v>
      </c>
      <c r="E46" s="239">
        <f t="shared" si="4"/>
        <v>-58</v>
      </c>
      <c r="F46" s="238">
        <f t="shared" si="5"/>
        <v>-0.12184873949579832</v>
      </c>
    </row>
    <row r="47" spans="1:6" ht="20.25" customHeight="1" x14ac:dyDescent="0.3">
      <c r="A47" s="235">
        <v>8</v>
      </c>
      <c r="B47" s="236" t="s">
        <v>451</v>
      </c>
      <c r="C47" s="239">
        <v>42</v>
      </c>
      <c r="D47" s="239">
        <v>68</v>
      </c>
      <c r="E47" s="239">
        <f t="shared" si="4"/>
        <v>26</v>
      </c>
      <c r="F47" s="238">
        <f t="shared" si="5"/>
        <v>0.61904761904761907</v>
      </c>
    </row>
    <row r="48" spans="1:6" ht="20.25" customHeight="1" x14ac:dyDescent="0.3">
      <c r="A48" s="235">
        <v>9</v>
      </c>
      <c r="B48" s="236" t="s">
        <v>452</v>
      </c>
      <c r="C48" s="239">
        <v>7</v>
      </c>
      <c r="D48" s="239">
        <v>8</v>
      </c>
      <c r="E48" s="239">
        <f t="shared" si="4"/>
        <v>1</v>
      </c>
      <c r="F48" s="238">
        <f t="shared" si="5"/>
        <v>0.14285714285714285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1150352</v>
      </c>
      <c r="D49" s="243">
        <f>+D40+D42</f>
        <v>1937058</v>
      </c>
      <c r="E49" s="243">
        <f t="shared" si="4"/>
        <v>786706</v>
      </c>
      <c r="F49" s="244">
        <f t="shared" si="5"/>
        <v>0.68388284629400398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299905</v>
      </c>
      <c r="D50" s="243">
        <f>+D41+D43</f>
        <v>460680</v>
      </c>
      <c r="E50" s="243">
        <f t="shared" si="4"/>
        <v>160775</v>
      </c>
      <c r="F50" s="244">
        <f t="shared" si="5"/>
        <v>0.53608642736866674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38197</v>
      </c>
      <c r="D53" s="237">
        <v>0</v>
      </c>
      <c r="E53" s="237">
        <f t="shared" ref="E53:E63" si="6">D53-C53</f>
        <v>-38197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11358</v>
      </c>
      <c r="D54" s="237">
        <v>0</v>
      </c>
      <c r="E54" s="237">
        <f t="shared" si="6"/>
        <v>-11358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622844</v>
      </c>
      <c r="D55" s="237">
        <v>0</v>
      </c>
      <c r="E55" s="237">
        <f t="shared" si="6"/>
        <v>-622844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147797</v>
      </c>
      <c r="D56" s="237">
        <v>0</v>
      </c>
      <c r="E56" s="237">
        <f t="shared" si="6"/>
        <v>-147797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3</v>
      </c>
      <c r="D57" s="239">
        <v>0</v>
      </c>
      <c r="E57" s="239">
        <f t="shared" si="6"/>
        <v>-3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9</v>
      </c>
      <c r="D58" s="239">
        <v>0</v>
      </c>
      <c r="E58" s="239">
        <f t="shared" si="6"/>
        <v>-9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242</v>
      </c>
      <c r="D59" s="239">
        <v>0</v>
      </c>
      <c r="E59" s="239">
        <f t="shared" si="6"/>
        <v>-242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19</v>
      </c>
      <c r="D60" s="239">
        <v>0</v>
      </c>
      <c r="E60" s="239">
        <f t="shared" si="6"/>
        <v>-19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3</v>
      </c>
      <c r="D61" s="239">
        <v>0</v>
      </c>
      <c r="E61" s="239">
        <f t="shared" si="6"/>
        <v>-3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661041</v>
      </c>
      <c r="D62" s="243">
        <f>+D53+D55</f>
        <v>0</v>
      </c>
      <c r="E62" s="243">
        <f t="shared" si="6"/>
        <v>-661041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159155</v>
      </c>
      <c r="D63" s="243">
        <f>+D54+D56</f>
        <v>0</v>
      </c>
      <c r="E63" s="243">
        <f t="shared" si="6"/>
        <v>-159155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250854</v>
      </c>
      <c r="D66" s="237">
        <v>44619</v>
      </c>
      <c r="E66" s="237">
        <f t="shared" ref="E66:E76" si="8">D66-C66</f>
        <v>-206235</v>
      </c>
      <c r="F66" s="238">
        <f t="shared" ref="F66:F76" si="9">IF(C66=0,0,E66/C66)</f>
        <v>-0.82213159845966177</v>
      </c>
    </row>
    <row r="67" spans="1:6" ht="20.25" customHeight="1" x14ac:dyDescent="0.3">
      <c r="A67" s="235">
        <v>2</v>
      </c>
      <c r="B67" s="236" t="s">
        <v>447</v>
      </c>
      <c r="C67" s="237">
        <v>74591</v>
      </c>
      <c r="D67" s="237">
        <v>15076</v>
      </c>
      <c r="E67" s="237">
        <f t="shared" si="8"/>
        <v>-59515</v>
      </c>
      <c r="F67" s="238">
        <f t="shared" si="9"/>
        <v>-0.79788446327304907</v>
      </c>
    </row>
    <row r="68" spans="1:6" ht="20.25" customHeight="1" x14ac:dyDescent="0.3">
      <c r="A68" s="235">
        <v>3</v>
      </c>
      <c r="B68" s="236" t="s">
        <v>448</v>
      </c>
      <c r="C68" s="237">
        <v>105404</v>
      </c>
      <c r="D68" s="237">
        <v>41615</v>
      </c>
      <c r="E68" s="237">
        <f t="shared" si="8"/>
        <v>-63789</v>
      </c>
      <c r="F68" s="238">
        <f t="shared" si="9"/>
        <v>-0.60518576145117831</v>
      </c>
    </row>
    <row r="69" spans="1:6" ht="20.25" customHeight="1" x14ac:dyDescent="0.3">
      <c r="A69" s="235">
        <v>4</v>
      </c>
      <c r="B69" s="236" t="s">
        <v>449</v>
      </c>
      <c r="C69" s="237">
        <v>25012</v>
      </c>
      <c r="D69" s="237">
        <v>8723</v>
      </c>
      <c r="E69" s="237">
        <f t="shared" si="8"/>
        <v>-16289</v>
      </c>
      <c r="F69" s="238">
        <f t="shared" si="9"/>
        <v>-0.65124740124740121</v>
      </c>
    </row>
    <row r="70" spans="1:6" ht="20.25" customHeight="1" x14ac:dyDescent="0.3">
      <c r="A70" s="235">
        <v>5</v>
      </c>
      <c r="B70" s="236" t="s">
        <v>385</v>
      </c>
      <c r="C70" s="239">
        <v>1</v>
      </c>
      <c r="D70" s="239">
        <v>3</v>
      </c>
      <c r="E70" s="239">
        <f t="shared" si="8"/>
        <v>2</v>
      </c>
      <c r="F70" s="238">
        <f t="shared" si="9"/>
        <v>2</v>
      </c>
    </row>
    <row r="71" spans="1:6" ht="20.25" customHeight="1" x14ac:dyDescent="0.3">
      <c r="A71" s="235">
        <v>6</v>
      </c>
      <c r="B71" s="236" t="s">
        <v>384</v>
      </c>
      <c r="C71" s="239">
        <v>95</v>
      </c>
      <c r="D71" s="239">
        <v>8</v>
      </c>
      <c r="E71" s="239">
        <f t="shared" si="8"/>
        <v>-87</v>
      </c>
      <c r="F71" s="238">
        <f t="shared" si="9"/>
        <v>-0.91578947368421049</v>
      </c>
    </row>
    <row r="72" spans="1:6" ht="20.25" customHeight="1" x14ac:dyDescent="0.3">
      <c r="A72" s="235">
        <v>7</v>
      </c>
      <c r="B72" s="236" t="s">
        <v>450</v>
      </c>
      <c r="C72" s="239">
        <v>39</v>
      </c>
      <c r="D72" s="239">
        <v>22</v>
      </c>
      <c r="E72" s="239">
        <f t="shared" si="8"/>
        <v>-17</v>
      </c>
      <c r="F72" s="238">
        <f t="shared" si="9"/>
        <v>-0.4358974358974359</v>
      </c>
    </row>
    <row r="73" spans="1:6" ht="20.25" customHeight="1" x14ac:dyDescent="0.3">
      <c r="A73" s="235">
        <v>8</v>
      </c>
      <c r="B73" s="236" t="s">
        <v>451</v>
      </c>
      <c r="C73" s="239">
        <v>19</v>
      </c>
      <c r="D73" s="239">
        <v>16</v>
      </c>
      <c r="E73" s="239">
        <f t="shared" si="8"/>
        <v>-3</v>
      </c>
      <c r="F73" s="238">
        <f t="shared" si="9"/>
        <v>-0.15789473684210525</v>
      </c>
    </row>
    <row r="74" spans="1:6" ht="20.25" customHeight="1" x14ac:dyDescent="0.3">
      <c r="A74" s="235">
        <v>9</v>
      </c>
      <c r="B74" s="236" t="s">
        <v>452</v>
      </c>
      <c r="C74" s="239">
        <v>1</v>
      </c>
      <c r="D74" s="239">
        <v>3</v>
      </c>
      <c r="E74" s="239">
        <f t="shared" si="8"/>
        <v>2</v>
      </c>
      <c r="F74" s="238">
        <f t="shared" si="9"/>
        <v>2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356258</v>
      </c>
      <c r="D75" s="243">
        <f>+D66+D68</f>
        <v>86234</v>
      </c>
      <c r="E75" s="243">
        <f t="shared" si="8"/>
        <v>-270024</v>
      </c>
      <c r="F75" s="244">
        <f t="shared" si="9"/>
        <v>-0.75794508474195665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99603</v>
      </c>
      <c r="D76" s="243">
        <f>+D67+D69</f>
        <v>23799</v>
      </c>
      <c r="E76" s="243">
        <f t="shared" si="8"/>
        <v>-75804</v>
      </c>
      <c r="F76" s="244">
        <f t="shared" si="9"/>
        <v>-0.76106141381283698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56610</v>
      </c>
      <c r="D79" s="237">
        <v>0</v>
      </c>
      <c r="E79" s="237">
        <f t="shared" ref="E79:E89" si="10">D79-C79</f>
        <v>-56610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16833</v>
      </c>
      <c r="D80" s="237">
        <v>0</v>
      </c>
      <c r="E80" s="237">
        <f t="shared" si="10"/>
        <v>-16833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55021</v>
      </c>
      <c r="D81" s="237">
        <v>3687</v>
      </c>
      <c r="E81" s="237">
        <f t="shared" si="10"/>
        <v>-51334</v>
      </c>
      <c r="F81" s="238">
        <f t="shared" si="11"/>
        <v>-0.93298922229694115</v>
      </c>
    </row>
    <row r="82" spans="1:6" ht="20.25" customHeight="1" x14ac:dyDescent="0.3">
      <c r="A82" s="235">
        <v>4</v>
      </c>
      <c r="B82" s="236" t="s">
        <v>449</v>
      </c>
      <c r="C82" s="237">
        <v>13056</v>
      </c>
      <c r="D82" s="237">
        <v>773</v>
      </c>
      <c r="E82" s="237">
        <f t="shared" si="10"/>
        <v>-12283</v>
      </c>
      <c r="F82" s="238">
        <f t="shared" si="11"/>
        <v>-0.94079350490196079</v>
      </c>
    </row>
    <row r="83" spans="1:6" ht="20.25" customHeight="1" x14ac:dyDescent="0.3">
      <c r="A83" s="235">
        <v>5</v>
      </c>
      <c r="B83" s="236" t="s">
        <v>385</v>
      </c>
      <c r="C83" s="239">
        <v>3</v>
      </c>
      <c r="D83" s="239">
        <v>0</v>
      </c>
      <c r="E83" s="239">
        <f t="shared" si="10"/>
        <v>-3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12</v>
      </c>
      <c r="D84" s="239">
        <v>0</v>
      </c>
      <c r="E84" s="239">
        <f t="shared" si="10"/>
        <v>-12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46</v>
      </c>
      <c r="D85" s="239">
        <v>1</v>
      </c>
      <c r="E85" s="239">
        <f t="shared" si="10"/>
        <v>-45</v>
      </c>
      <c r="F85" s="238">
        <f t="shared" si="11"/>
        <v>-0.97826086956521741</v>
      </c>
    </row>
    <row r="86" spans="1:6" ht="20.25" customHeight="1" x14ac:dyDescent="0.3">
      <c r="A86" s="235">
        <v>8</v>
      </c>
      <c r="B86" s="236" t="s">
        <v>451</v>
      </c>
      <c r="C86" s="239">
        <v>5</v>
      </c>
      <c r="D86" s="239">
        <v>3</v>
      </c>
      <c r="E86" s="239">
        <f t="shared" si="10"/>
        <v>-2</v>
      </c>
      <c r="F86" s="238">
        <f t="shared" si="11"/>
        <v>-0.4</v>
      </c>
    </row>
    <row r="87" spans="1:6" ht="20.25" customHeight="1" x14ac:dyDescent="0.3">
      <c r="A87" s="235">
        <v>9</v>
      </c>
      <c r="B87" s="236" t="s">
        <v>452</v>
      </c>
      <c r="C87" s="239">
        <v>3</v>
      </c>
      <c r="D87" s="239">
        <v>0</v>
      </c>
      <c r="E87" s="239">
        <f t="shared" si="10"/>
        <v>-3</v>
      </c>
      <c r="F87" s="238">
        <f t="shared" si="11"/>
        <v>-1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111631</v>
      </c>
      <c r="D88" s="243">
        <f>+D79+D81</f>
        <v>3687</v>
      </c>
      <c r="E88" s="243">
        <f t="shared" si="10"/>
        <v>-107944</v>
      </c>
      <c r="F88" s="244">
        <f t="shared" si="11"/>
        <v>-0.96697154016357467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29889</v>
      </c>
      <c r="D89" s="243">
        <f>+D80+D82</f>
        <v>773</v>
      </c>
      <c r="E89" s="243">
        <f t="shared" si="10"/>
        <v>-29116</v>
      </c>
      <c r="F89" s="244">
        <f t="shared" si="11"/>
        <v>-0.974137642610994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1760343</v>
      </c>
      <c r="D92" s="237">
        <v>2150514</v>
      </c>
      <c r="E92" s="237">
        <f t="shared" ref="E92:E102" si="12">D92-C92</f>
        <v>390171</v>
      </c>
      <c r="F92" s="238">
        <f t="shared" ref="F92:F102" si="13">IF(C92=0,0,E92/C92)</f>
        <v>0.22164487261857491</v>
      </c>
    </row>
    <row r="93" spans="1:6" ht="20.25" customHeight="1" x14ac:dyDescent="0.3">
      <c r="A93" s="235">
        <v>2</v>
      </c>
      <c r="B93" s="236" t="s">
        <v>447</v>
      </c>
      <c r="C93" s="237">
        <v>523438</v>
      </c>
      <c r="D93" s="237">
        <v>726591</v>
      </c>
      <c r="E93" s="237">
        <f t="shared" si="12"/>
        <v>203153</v>
      </c>
      <c r="F93" s="238">
        <f t="shared" si="13"/>
        <v>0.38811282329521357</v>
      </c>
    </row>
    <row r="94" spans="1:6" ht="20.25" customHeight="1" x14ac:dyDescent="0.3">
      <c r="A94" s="235">
        <v>3</v>
      </c>
      <c r="B94" s="236" t="s">
        <v>448</v>
      </c>
      <c r="C94" s="237">
        <v>2177388</v>
      </c>
      <c r="D94" s="237">
        <v>2642634</v>
      </c>
      <c r="E94" s="237">
        <f t="shared" si="12"/>
        <v>465246</v>
      </c>
      <c r="F94" s="238">
        <f t="shared" si="13"/>
        <v>0.21367161020452027</v>
      </c>
    </row>
    <row r="95" spans="1:6" ht="20.25" customHeight="1" x14ac:dyDescent="0.3">
      <c r="A95" s="235">
        <v>4</v>
      </c>
      <c r="B95" s="236" t="s">
        <v>449</v>
      </c>
      <c r="C95" s="237">
        <v>516682</v>
      </c>
      <c r="D95" s="237">
        <v>553943</v>
      </c>
      <c r="E95" s="237">
        <f t="shared" si="12"/>
        <v>37261</v>
      </c>
      <c r="F95" s="238">
        <f t="shared" si="13"/>
        <v>7.2115924301601367E-2</v>
      </c>
    </row>
    <row r="96" spans="1:6" ht="20.25" customHeight="1" x14ac:dyDescent="0.3">
      <c r="A96" s="235">
        <v>5</v>
      </c>
      <c r="B96" s="236" t="s">
        <v>385</v>
      </c>
      <c r="C96" s="239">
        <v>50</v>
      </c>
      <c r="D96" s="239">
        <v>56</v>
      </c>
      <c r="E96" s="239">
        <f t="shared" si="12"/>
        <v>6</v>
      </c>
      <c r="F96" s="238">
        <f t="shared" si="13"/>
        <v>0.12</v>
      </c>
    </row>
    <row r="97" spans="1:6" ht="20.25" customHeight="1" x14ac:dyDescent="0.3">
      <c r="A97" s="235">
        <v>6</v>
      </c>
      <c r="B97" s="236" t="s">
        <v>384</v>
      </c>
      <c r="C97" s="239">
        <v>284</v>
      </c>
      <c r="D97" s="239">
        <v>274</v>
      </c>
      <c r="E97" s="239">
        <f t="shared" si="12"/>
        <v>-10</v>
      </c>
      <c r="F97" s="238">
        <f t="shared" si="13"/>
        <v>-3.5211267605633804E-2</v>
      </c>
    </row>
    <row r="98" spans="1:6" ht="20.25" customHeight="1" x14ac:dyDescent="0.3">
      <c r="A98" s="235">
        <v>7</v>
      </c>
      <c r="B98" s="236" t="s">
        <v>450</v>
      </c>
      <c r="C98" s="239">
        <v>1808</v>
      </c>
      <c r="D98" s="239">
        <v>1391</v>
      </c>
      <c r="E98" s="239">
        <f t="shared" si="12"/>
        <v>-417</v>
      </c>
      <c r="F98" s="238">
        <f t="shared" si="13"/>
        <v>-0.23064159292035399</v>
      </c>
    </row>
    <row r="99" spans="1:6" ht="20.25" customHeight="1" x14ac:dyDescent="0.3">
      <c r="A99" s="235">
        <v>8</v>
      </c>
      <c r="B99" s="236" t="s">
        <v>451</v>
      </c>
      <c r="C99" s="239">
        <v>90</v>
      </c>
      <c r="D99" s="239">
        <v>100</v>
      </c>
      <c r="E99" s="239">
        <f t="shared" si="12"/>
        <v>10</v>
      </c>
      <c r="F99" s="238">
        <f t="shared" si="13"/>
        <v>0.1111111111111111</v>
      </c>
    </row>
    <row r="100" spans="1:6" ht="20.25" customHeight="1" x14ac:dyDescent="0.3">
      <c r="A100" s="235">
        <v>9</v>
      </c>
      <c r="B100" s="236" t="s">
        <v>452</v>
      </c>
      <c r="C100" s="239">
        <v>41</v>
      </c>
      <c r="D100" s="239">
        <v>44</v>
      </c>
      <c r="E100" s="239">
        <f t="shared" si="12"/>
        <v>3</v>
      </c>
      <c r="F100" s="238">
        <f t="shared" si="13"/>
        <v>7.3170731707317069E-2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3937731</v>
      </c>
      <c r="D101" s="243">
        <f>+D92+D94</f>
        <v>4793148</v>
      </c>
      <c r="E101" s="243">
        <f t="shared" si="12"/>
        <v>855417</v>
      </c>
      <c r="F101" s="244">
        <f t="shared" si="13"/>
        <v>0.21723601739174159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1040120</v>
      </c>
      <c r="D102" s="243">
        <f>+D93+D95</f>
        <v>1280534</v>
      </c>
      <c r="E102" s="243">
        <f t="shared" si="12"/>
        <v>240414</v>
      </c>
      <c r="F102" s="244">
        <f t="shared" si="13"/>
        <v>0.23114063761873629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2128</v>
      </c>
      <c r="E107" s="237">
        <f t="shared" si="14"/>
        <v>2128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446</v>
      </c>
      <c r="E108" s="237">
        <f t="shared" si="14"/>
        <v>446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1</v>
      </c>
      <c r="E112" s="239">
        <f t="shared" si="14"/>
        <v>1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2128</v>
      </c>
      <c r="E114" s="243">
        <f t="shared" si="14"/>
        <v>2128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446</v>
      </c>
      <c r="E115" s="243">
        <f t="shared" si="14"/>
        <v>446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127767</v>
      </c>
      <c r="D118" s="237">
        <v>293994</v>
      </c>
      <c r="E118" s="237">
        <f t="shared" ref="E118:E128" si="16">D118-C118</f>
        <v>166227</v>
      </c>
      <c r="F118" s="238">
        <f t="shared" ref="F118:F128" si="17">IF(C118=0,0,E118/C118)</f>
        <v>1.301016694451619</v>
      </c>
    </row>
    <row r="119" spans="1:6" ht="20.25" customHeight="1" x14ac:dyDescent="0.3">
      <c r="A119" s="235">
        <v>2</v>
      </c>
      <c r="B119" s="236" t="s">
        <v>447</v>
      </c>
      <c r="C119" s="237">
        <v>37992</v>
      </c>
      <c r="D119" s="237">
        <v>99331</v>
      </c>
      <c r="E119" s="237">
        <f t="shared" si="16"/>
        <v>61339</v>
      </c>
      <c r="F119" s="238">
        <f t="shared" si="17"/>
        <v>1.6145241103390187</v>
      </c>
    </row>
    <row r="120" spans="1:6" ht="20.25" customHeight="1" x14ac:dyDescent="0.3">
      <c r="A120" s="235">
        <v>3</v>
      </c>
      <c r="B120" s="236" t="s">
        <v>448</v>
      </c>
      <c r="C120" s="237">
        <v>434674</v>
      </c>
      <c r="D120" s="237">
        <v>785612</v>
      </c>
      <c r="E120" s="237">
        <f t="shared" si="16"/>
        <v>350938</v>
      </c>
      <c r="F120" s="238">
        <f t="shared" si="17"/>
        <v>0.80735907829775877</v>
      </c>
    </row>
    <row r="121" spans="1:6" ht="20.25" customHeight="1" x14ac:dyDescent="0.3">
      <c r="A121" s="235">
        <v>4</v>
      </c>
      <c r="B121" s="236" t="s">
        <v>449</v>
      </c>
      <c r="C121" s="237">
        <v>103146</v>
      </c>
      <c r="D121" s="237">
        <v>164678</v>
      </c>
      <c r="E121" s="237">
        <f t="shared" si="16"/>
        <v>61532</v>
      </c>
      <c r="F121" s="238">
        <f t="shared" si="17"/>
        <v>0.59655245962034398</v>
      </c>
    </row>
    <row r="122" spans="1:6" ht="20.25" customHeight="1" x14ac:dyDescent="0.3">
      <c r="A122" s="235">
        <v>5</v>
      </c>
      <c r="B122" s="236" t="s">
        <v>385</v>
      </c>
      <c r="C122" s="239">
        <v>7</v>
      </c>
      <c r="D122" s="239">
        <v>11</v>
      </c>
      <c r="E122" s="239">
        <f t="shared" si="16"/>
        <v>4</v>
      </c>
      <c r="F122" s="238">
        <f t="shared" si="17"/>
        <v>0.5714285714285714</v>
      </c>
    </row>
    <row r="123" spans="1:6" ht="20.25" customHeight="1" x14ac:dyDescent="0.3">
      <c r="A123" s="235">
        <v>6</v>
      </c>
      <c r="B123" s="236" t="s">
        <v>384</v>
      </c>
      <c r="C123" s="239">
        <v>15</v>
      </c>
      <c r="D123" s="239">
        <v>33</v>
      </c>
      <c r="E123" s="239">
        <f t="shared" si="16"/>
        <v>18</v>
      </c>
      <c r="F123" s="238">
        <f t="shared" si="17"/>
        <v>1.2</v>
      </c>
    </row>
    <row r="124" spans="1:6" ht="20.25" customHeight="1" x14ac:dyDescent="0.3">
      <c r="A124" s="235">
        <v>7</v>
      </c>
      <c r="B124" s="236" t="s">
        <v>450</v>
      </c>
      <c r="C124" s="239">
        <v>283</v>
      </c>
      <c r="D124" s="239">
        <v>298</v>
      </c>
      <c r="E124" s="239">
        <f t="shared" si="16"/>
        <v>15</v>
      </c>
      <c r="F124" s="238">
        <f t="shared" si="17"/>
        <v>5.3003533568904596E-2</v>
      </c>
    </row>
    <row r="125" spans="1:6" ht="20.25" customHeight="1" x14ac:dyDescent="0.3">
      <c r="A125" s="235">
        <v>8</v>
      </c>
      <c r="B125" s="236" t="s">
        <v>451</v>
      </c>
      <c r="C125" s="239">
        <v>40</v>
      </c>
      <c r="D125" s="239">
        <v>41</v>
      </c>
      <c r="E125" s="239">
        <f t="shared" si="16"/>
        <v>1</v>
      </c>
      <c r="F125" s="238">
        <f t="shared" si="17"/>
        <v>2.5000000000000001E-2</v>
      </c>
    </row>
    <row r="126" spans="1:6" ht="20.25" customHeight="1" x14ac:dyDescent="0.3">
      <c r="A126" s="235">
        <v>9</v>
      </c>
      <c r="B126" s="236" t="s">
        <v>452</v>
      </c>
      <c r="C126" s="239">
        <v>7</v>
      </c>
      <c r="D126" s="239">
        <v>8</v>
      </c>
      <c r="E126" s="239">
        <f t="shared" si="16"/>
        <v>1</v>
      </c>
      <c r="F126" s="238">
        <f t="shared" si="17"/>
        <v>0.14285714285714285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562441</v>
      </c>
      <c r="D127" s="243">
        <f>+D118+D120</f>
        <v>1079606</v>
      </c>
      <c r="E127" s="243">
        <f t="shared" si="16"/>
        <v>517165</v>
      </c>
      <c r="F127" s="244">
        <f t="shared" si="17"/>
        <v>0.91950088987111533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141138</v>
      </c>
      <c r="D128" s="243">
        <f>+D119+D121</f>
        <v>264009</v>
      </c>
      <c r="E128" s="243">
        <f t="shared" si="16"/>
        <v>122871</v>
      </c>
      <c r="F128" s="244">
        <f t="shared" si="17"/>
        <v>0.87057348127364709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59110</v>
      </c>
      <c r="D131" s="237">
        <v>139926</v>
      </c>
      <c r="E131" s="237">
        <f t="shared" ref="E131:E141" si="18">D131-C131</f>
        <v>80816</v>
      </c>
      <c r="F131" s="238">
        <f t="shared" ref="F131:F141" si="19">IF(C131=0,0,E131/C131)</f>
        <v>1.3672136694298764</v>
      </c>
    </row>
    <row r="132" spans="1:6" ht="20.25" customHeight="1" x14ac:dyDescent="0.3">
      <c r="A132" s="235">
        <v>2</v>
      </c>
      <c r="B132" s="236" t="s">
        <v>447</v>
      </c>
      <c r="C132" s="237">
        <v>17576</v>
      </c>
      <c r="D132" s="237">
        <v>47276</v>
      </c>
      <c r="E132" s="237">
        <f t="shared" si="18"/>
        <v>29700</v>
      </c>
      <c r="F132" s="238">
        <f t="shared" si="19"/>
        <v>1.6898042785616749</v>
      </c>
    </row>
    <row r="133" spans="1:6" ht="20.25" customHeight="1" x14ac:dyDescent="0.3">
      <c r="A133" s="235">
        <v>3</v>
      </c>
      <c r="B133" s="236" t="s">
        <v>448</v>
      </c>
      <c r="C133" s="237">
        <v>65039</v>
      </c>
      <c r="D133" s="237">
        <v>69495</v>
      </c>
      <c r="E133" s="237">
        <f t="shared" si="18"/>
        <v>4456</v>
      </c>
      <c r="F133" s="238">
        <f t="shared" si="19"/>
        <v>6.8512738510739704E-2</v>
      </c>
    </row>
    <row r="134" spans="1:6" ht="20.25" customHeight="1" x14ac:dyDescent="0.3">
      <c r="A134" s="235">
        <v>4</v>
      </c>
      <c r="B134" s="236" t="s">
        <v>449</v>
      </c>
      <c r="C134" s="237">
        <v>15433</v>
      </c>
      <c r="D134" s="237">
        <v>14567</v>
      </c>
      <c r="E134" s="237">
        <f t="shared" si="18"/>
        <v>-866</v>
      </c>
      <c r="F134" s="238">
        <f t="shared" si="19"/>
        <v>-5.6113522970258539E-2</v>
      </c>
    </row>
    <row r="135" spans="1:6" ht="20.25" customHeight="1" x14ac:dyDescent="0.3">
      <c r="A135" s="235">
        <v>5</v>
      </c>
      <c r="B135" s="236" t="s">
        <v>385</v>
      </c>
      <c r="C135" s="239">
        <v>2</v>
      </c>
      <c r="D135" s="239">
        <v>2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14</v>
      </c>
      <c r="D136" s="239">
        <v>14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36</v>
      </c>
      <c r="D137" s="239">
        <v>15</v>
      </c>
      <c r="E137" s="239">
        <f t="shared" si="18"/>
        <v>-21</v>
      </c>
      <c r="F137" s="238">
        <f t="shared" si="19"/>
        <v>-0.58333333333333337</v>
      </c>
    </row>
    <row r="138" spans="1:6" ht="20.25" customHeight="1" x14ac:dyDescent="0.3">
      <c r="A138" s="235">
        <v>8</v>
      </c>
      <c r="B138" s="236" t="s">
        <v>451</v>
      </c>
      <c r="C138" s="239">
        <v>9</v>
      </c>
      <c r="D138" s="239">
        <v>8</v>
      </c>
      <c r="E138" s="239">
        <f t="shared" si="18"/>
        <v>-1</v>
      </c>
      <c r="F138" s="238">
        <f t="shared" si="19"/>
        <v>-0.1111111111111111</v>
      </c>
    </row>
    <row r="139" spans="1:6" ht="20.25" customHeight="1" x14ac:dyDescent="0.3">
      <c r="A139" s="235">
        <v>9</v>
      </c>
      <c r="B139" s="236" t="s">
        <v>452</v>
      </c>
      <c r="C139" s="239">
        <v>2</v>
      </c>
      <c r="D139" s="239">
        <v>2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124149</v>
      </c>
      <c r="D140" s="243">
        <f>+D131+D133</f>
        <v>209421</v>
      </c>
      <c r="E140" s="243">
        <f t="shared" si="18"/>
        <v>85272</v>
      </c>
      <c r="F140" s="244">
        <f t="shared" si="19"/>
        <v>0.68685208902206218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33009</v>
      </c>
      <c r="D141" s="243">
        <f>+D132+D134</f>
        <v>61843</v>
      </c>
      <c r="E141" s="243">
        <f t="shared" si="18"/>
        <v>28834</v>
      </c>
      <c r="F141" s="244">
        <f t="shared" si="19"/>
        <v>0.8735193432094277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74" t="s">
        <v>44</v>
      </c>
      <c r="B195" s="676" t="s">
        <v>471</v>
      </c>
      <c r="C195" s="678"/>
      <c r="D195" s="679"/>
      <c r="E195" s="679"/>
      <c r="F195" s="680"/>
      <c r="G195" s="684"/>
      <c r="H195" s="684"/>
      <c r="I195" s="684"/>
    </row>
    <row r="196" spans="1:9" ht="20.25" customHeight="1" x14ac:dyDescent="0.3">
      <c r="A196" s="675"/>
      <c r="B196" s="677"/>
      <c r="C196" s="681"/>
      <c r="D196" s="682"/>
      <c r="E196" s="682"/>
      <c r="F196" s="683"/>
      <c r="G196" s="684"/>
      <c r="H196" s="684"/>
      <c r="I196" s="68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2950849</v>
      </c>
      <c r="D198" s="243">
        <f t="shared" si="28"/>
        <v>3407625</v>
      </c>
      <c r="E198" s="243">
        <f t="shared" ref="E198:E208" si="29">D198-C198</f>
        <v>456776</v>
      </c>
      <c r="F198" s="251">
        <f t="shared" ref="F198:F208" si="30">IF(C198=0,0,E198/C198)</f>
        <v>0.15479477262306543</v>
      </c>
    </row>
    <row r="199" spans="1:9" ht="20.25" customHeight="1" x14ac:dyDescent="0.3">
      <c r="A199" s="249"/>
      <c r="B199" s="250" t="s">
        <v>473</v>
      </c>
      <c r="C199" s="243">
        <f t="shared" si="28"/>
        <v>877435</v>
      </c>
      <c r="D199" s="243">
        <f t="shared" si="28"/>
        <v>1151329</v>
      </c>
      <c r="E199" s="243">
        <f t="shared" si="29"/>
        <v>273894</v>
      </c>
      <c r="F199" s="251">
        <f t="shared" si="30"/>
        <v>0.31215303697709801</v>
      </c>
    </row>
    <row r="200" spans="1:9" ht="20.25" customHeight="1" x14ac:dyDescent="0.3">
      <c r="A200" s="249"/>
      <c r="B200" s="250" t="s">
        <v>474</v>
      </c>
      <c r="C200" s="243">
        <f t="shared" si="28"/>
        <v>4399719</v>
      </c>
      <c r="D200" s="243">
        <f t="shared" si="28"/>
        <v>5670876</v>
      </c>
      <c r="E200" s="243">
        <f t="shared" si="29"/>
        <v>1271157</v>
      </c>
      <c r="F200" s="251">
        <f t="shared" si="30"/>
        <v>0.28891776952118986</v>
      </c>
    </row>
    <row r="201" spans="1:9" ht="20.25" customHeight="1" x14ac:dyDescent="0.3">
      <c r="A201" s="249"/>
      <c r="B201" s="250" t="s">
        <v>475</v>
      </c>
      <c r="C201" s="243">
        <f t="shared" si="28"/>
        <v>1044028</v>
      </c>
      <c r="D201" s="243">
        <f t="shared" si="28"/>
        <v>1188714</v>
      </c>
      <c r="E201" s="243">
        <f t="shared" si="29"/>
        <v>144686</v>
      </c>
      <c r="F201" s="251">
        <f t="shared" si="30"/>
        <v>0.13858440578222039</v>
      </c>
    </row>
    <row r="202" spans="1:9" ht="20.25" customHeight="1" x14ac:dyDescent="0.3">
      <c r="A202" s="249"/>
      <c r="B202" s="250" t="s">
        <v>476</v>
      </c>
      <c r="C202" s="252">
        <f t="shared" si="28"/>
        <v>83</v>
      </c>
      <c r="D202" s="252">
        <f t="shared" si="28"/>
        <v>102</v>
      </c>
      <c r="E202" s="252">
        <f t="shared" si="29"/>
        <v>19</v>
      </c>
      <c r="F202" s="251">
        <f t="shared" si="30"/>
        <v>0.2289156626506024</v>
      </c>
    </row>
    <row r="203" spans="1:9" ht="20.25" customHeight="1" x14ac:dyDescent="0.3">
      <c r="A203" s="249"/>
      <c r="B203" s="250" t="s">
        <v>477</v>
      </c>
      <c r="C203" s="252">
        <f t="shared" si="28"/>
        <v>508</v>
      </c>
      <c r="D203" s="252">
        <f t="shared" si="28"/>
        <v>432</v>
      </c>
      <c r="E203" s="252">
        <f t="shared" si="29"/>
        <v>-76</v>
      </c>
      <c r="F203" s="251">
        <f t="shared" si="30"/>
        <v>-0.14960629921259844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3001</v>
      </c>
      <c r="D204" s="252">
        <f t="shared" si="28"/>
        <v>2307</v>
      </c>
      <c r="E204" s="252">
        <f t="shared" si="29"/>
        <v>-694</v>
      </c>
      <c r="F204" s="251">
        <f t="shared" si="30"/>
        <v>-0.23125624791736088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240</v>
      </c>
      <c r="D205" s="252">
        <f t="shared" si="28"/>
        <v>278</v>
      </c>
      <c r="E205" s="252">
        <f t="shared" si="29"/>
        <v>38</v>
      </c>
      <c r="F205" s="251">
        <f t="shared" si="30"/>
        <v>0.15833333333333333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70</v>
      </c>
      <c r="D206" s="252">
        <f t="shared" si="28"/>
        <v>78</v>
      </c>
      <c r="E206" s="252">
        <f t="shared" si="29"/>
        <v>8</v>
      </c>
      <c r="F206" s="251">
        <f t="shared" si="30"/>
        <v>0.11428571428571428</v>
      </c>
    </row>
    <row r="207" spans="1:9" ht="20.25" customHeight="1" x14ac:dyDescent="0.3">
      <c r="A207" s="249"/>
      <c r="B207" s="242" t="s">
        <v>481</v>
      </c>
      <c r="C207" s="243">
        <f>+C198+C200</f>
        <v>7350568</v>
      </c>
      <c r="D207" s="243">
        <f>+D198+D200</f>
        <v>9078501</v>
      </c>
      <c r="E207" s="243">
        <f t="shared" si="29"/>
        <v>1727933</v>
      </c>
      <c r="F207" s="251">
        <f t="shared" si="30"/>
        <v>0.23507475884856791</v>
      </c>
    </row>
    <row r="208" spans="1:9" ht="20.25" customHeight="1" x14ac:dyDescent="0.3">
      <c r="A208" s="249"/>
      <c r="B208" s="242" t="s">
        <v>482</v>
      </c>
      <c r="C208" s="243">
        <f>+C199+C201</f>
        <v>1921463</v>
      </c>
      <c r="D208" s="243">
        <f>+D199+D201</f>
        <v>2340043</v>
      </c>
      <c r="E208" s="243">
        <f t="shared" si="29"/>
        <v>418580</v>
      </c>
      <c r="F208" s="251">
        <f t="shared" si="30"/>
        <v>0.21784442375419147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FILING&amp;RNEW 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85" t="s">
        <v>0</v>
      </c>
      <c r="B2" s="685"/>
      <c r="C2" s="685"/>
      <c r="D2" s="685"/>
      <c r="E2" s="685"/>
      <c r="F2" s="685"/>
    </row>
    <row r="3" spans="1:7" ht="20.25" customHeight="1" x14ac:dyDescent="0.3">
      <c r="A3" s="685" t="s">
        <v>1</v>
      </c>
      <c r="B3" s="685"/>
      <c r="C3" s="685"/>
      <c r="D3" s="685"/>
      <c r="E3" s="685"/>
      <c r="F3" s="685"/>
    </row>
    <row r="4" spans="1:7" ht="20.25" customHeight="1" x14ac:dyDescent="0.3">
      <c r="A4" s="685" t="s">
        <v>2</v>
      </c>
      <c r="B4" s="685"/>
      <c r="C4" s="685"/>
      <c r="D4" s="685"/>
      <c r="E4" s="685"/>
      <c r="F4" s="685"/>
    </row>
    <row r="5" spans="1:7" ht="20.25" customHeight="1" x14ac:dyDescent="0.3">
      <c r="A5" s="685" t="s">
        <v>483</v>
      </c>
      <c r="B5" s="685"/>
      <c r="C5" s="685"/>
      <c r="D5" s="685"/>
      <c r="E5" s="685"/>
      <c r="F5" s="68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74" t="s">
        <v>12</v>
      </c>
      <c r="B10" s="676" t="s">
        <v>115</v>
      </c>
      <c r="C10" s="678"/>
      <c r="D10" s="679"/>
      <c r="E10" s="679"/>
      <c r="F10" s="680"/>
    </row>
    <row r="11" spans="1:7" ht="20.25" customHeight="1" x14ac:dyDescent="0.3">
      <c r="A11" s="675"/>
      <c r="B11" s="677"/>
      <c r="C11" s="681"/>
      <c r="D11" s="682"/>
      <c r="E11" s="682"/>
      <c r="F11" s="683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617060</v>
      </c>
      <c r="D26" s="237">
        <v>140507</v>
      </c>
      <c r="E26" s="237">
        <f t="shared" ref="E26:E36" si="2">D26-C26</f>
        <v>-476553</v>
      </c>
      <c r="F26" s="238">
        <f t="shared" ref="F26:F36" si="3">IF(C26=0,0,E26/C26)</f>
        <v>-0.77229604900657955</v>
      </c>
    </row>
    <row r="27" spans="1:6" ht="20.25" customHeight="1" x14ac:dyDescent="0.3">
      <c r="A27" s="235">
        <v>2</v>
      </c>
      <c r="B27" s="236" t="s">
        <v>447</v>
      </c>
      <c r="C27" s="237">
        <v>218688</v>
      </c>
      <c r="D27" s="237">
        <v>53200</v>
      </c>
      <c r="E27" s="237">
        <f t="shared" si="2"/>
        <v>-165488</v>
      </c>
      <c r="F27" s="238">
        <f t="shared" si="3"/>
        <v>-0.75673105062920687</v>
      </c>
    </row>
    <row r="28" spans="1:6" ht="20.25" customHeight="1" x14ac:dyDescent="0.3">
      <c r="A28" s="235">
        <v>3</v>
      </c>
      <c r="B28" s="236" t="s">
        <v>448</v>
      </c>
      <c r="C28" s="237">
        <v>3695676</v>
      </c>
      <c r="D28" s="237">
        <v>793624</v>
      </c>
      <c r="E28" s="237">
        <f t="shared" si="2"/>
        <v>-2902052</v>
      </c>
      <c r="F28" s="238">
        <f t="shared" si="3"/>
        <v>-0.78525606681971039</v>
      </c>
    </row>
    <row r="29" spans="1:6" ht="20.25" customHeight="1" x14ac:dyDescent="0.3">
      <c r="A29" s="235">
        <v>4</v>
      </c>
      <c r="B29" s="236" t="s">
        <v>449</v>
      </c>
      <c r="C29" s="237">
        <v>1061918</v>
      </c>
      <c r="D29" s="237">
        <v>189239</v>
      </c>
      <c r="E29" s="237">
        <f t="shared" si="2"/>
        <v>-872679</v>
      </c>
      <c r="F29" s="238">
        <f t="shared" si="3"/>
        <v>-0.82179509152307428</v>
      </c>
    </row>
    <row r="30" spans="1:6" ht="20.25" customHeight="1" x14ac:dyDescent="0.3">
      <c r="A30" s="235">
        <v>5</v>
      </c>
      <c r="B30" s="236" t="s">
        <v>385</v>
      </c>
      <c r="C30" s="239">
        <v>72</v>
      </c>
      <c r="D30" s="239">
        <v>8</v>
      </c>
      <c r="E30" s="239">
        <f t="shared" si="2"/>
        <v>-64</v>
      </c>
      <c r="F30" s="238">
        <f t="shared" si="3"/>
        <v>-0.88888888888888884</v>
      </c>
    </row>
    <row r="31" spans="1:6" ht="20.25" customHeight="1" x14ac:dyDescent="0.3">
      <c r="A31" s="235">
        <v>6</v>
      </c>
      <c r="B31" s="236" t="s">
        <v>384</v>
      </c>
      <c r="C31" s="239">
        <v>168</v>
      </c>
      <c r="D31" s="239">
        <v>26</v>
      </c>
      <c r="E31" s="239">
        <f t="shared" si="2"/>
        <v>-142</v>
      </c>
      <c r="F31" s="238">
        <f t="shared" si="3"/>
        <v>-0.84523809523809523</v>
      </c>
    </row>
    <row r="32" spans="1:6" ht="20.25" customHeight="1" x14ac:dyDescent="0.3">
      <c r="A32" s="235">
        <v>7</v>
      </c>
      <c r="B32" s="236" t="s">
        <v>450</v>
      </c>
      <c r="C32" s="239">
        <v>2118</v>
      </c>
      <c r="D32" s="239">
        <v>580</v>
      </c>
      <c r="E32" s="239">
        <f t="shared" si="2"/>
        <v>-1538</v>
      </c>
      <c r="F32" s="238">
        <f t="shared" si="3"/>
        <v>-0.72615675165250237</v>
      </c>
    </row>
    <row r="33" spans="1:6" ht="20.25" customHeight="1" x14ac:dyDescent="0.3">
      <c r="A33" s="235">
        <v>8</v>
      </c>
      <c r="B33" s="236" t="s">
        <v>451</v>
      </c>
      <c r="C33" s="239">
        <v>1194</v>
      </c>
      <c r="D33" s="239">
        <v>308</v>
      </c>
      <c r="E33" s="239">
        <f t="shared" si="2"/>
        <v>-886</v>
      </c>
      <c r="F33" s="238">
        <f t="shared" si="3"/>
        <v>-0.74204355108877718</v>
      </c>
    </row>
    <row r="34" spans="1:6" ht="20.25" customHeight="1" x14ac:dyDescent="0.3">
      <c r="A34" s="235">
        <v>9</v>
      </c>
      <c r="B34" s="236" t="s">
        <v>452</v>
      </c>
      <c r="C34" s="239">
        <v>12</v>
      </c>
      <c r="D34" s="239">
        <v>3</v>
      </c>
      <c r="E34" s="239">
        <f t="shared" si="2"/>
        <v>-9</v>
      </c>
      <c r="F34" s="238">
        <f t="shared" si="3"/>
        <v>-0.75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4312736</v>
      </c>
      <c r="D35" s="243">
        <f>+D26+D28</f>
        <v>934131</v>
      </c>
      <c r="E35" s="243">
        <f t="shared" si="2"/>
        <v>-3378605</v>
      </c>
      <c r="F35" s="244">
        <f t="shared" si="3"/>
        <v>-0.78340176630333969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1280606</v>
      </c>
      <c r="D36" s="243">
        <f>+D27+D29</f>
        <v>242439</v>
      </c>
      <c r="E36" s="243">
        <f t="shared" si="2"/>
        <v>-1038167</v>
      </c>
      <c r="F36" s="244">
        <f t="shared" si="3"/>
        <v>-0.81068416046777858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147087</v>
      </c>
      <c r="D86" s="237">
        <v>63035</v>
      </c>
      <c r="E86" s="237">
        <f t="shared" ref="E86:E96" si="12">D86-C86</f>
        <v>-84052</v>
      </c>
      <c r="F86" s="238">
        <f t="shared" ref="F86:F96" si="13">IF(C86=0,0,E86/C86)</f>
        <v>-0.57144411130827333</v>
      </c>
    </row>
    <row r="87" spans="1:6" ht="20.25" customHeight="1" x14ac:dyDescent="0.3">
      <c r="A87" s="235">
        <v>2</v>
      </c>
      <c r="B87" s="236" t="s">
        <v>447</v>
      </c>
      <c r="C87" s="237">
        <v>52128</v>
      </c>
      <c r="D87" s="237">
        <v>23867</v>
      </c>
      <c r="E87" s="237">
        <f t="shared" si="12"/>
        <v>-28261</v>
      </c>
      <c r="F87" s="238">
        <f t="shared" si="13"/>
        <v>-0.54214625537139349</v>
      </c>
    </row>
    <row r="88" spans="1:6" ht="20.25" customHeight="1" x14ac:dyDescent="0.3">
      <c r="A88" s="235">
        <v>3</v>
      </c>
      <c r="B88" s="236" t="s">
        <v>448</v>
      </c>
      <c r="C88" s="237">
        <v>322618</v>
      </c>
      <c r="D88" s="237">
        <v>145871</v>
      </c>
      <c r="E88" s="237">
        <f t="shared" si="12"/>
        <v>-176747</v>
      </c>
      <c r="F88" s="238">
        <f t="shared" si="13"/>
        <v>-0.54785225870844156</v>
      </c>
    </row>
    <row r="89" spans="1:6" ht="20.25" customHeight="1" x14ac:dyDescent="0.3">
      <c r="A89" s="235">
        <v>4</v>
      </c>
      <c r="B89" s="236" t="s">
        <v>449</v>
      </c>
      <c r="C89" s="237">
        <v>92701</v>
      </c>
      <c r="D89" s="237">
        <v>34783</v>
      </c>
      <c r="E89" s="237">
        <f t="shared" si="12"/>
        <v>-57918</v>
      </c>
      <c r="F89" s="238">
        <f t="shared" si="13"/>
        <v>-0.62478290417579097</v>
      </c>
    </row>
    <row r="90" spans="1:6" ht="20.25" customHeight="1" x14ac:dyDescent="0.3">
      <c r="A90" s="235">
        <v>5</v>
      </c>
      <c r="B90" s="236" t="s">
        <v>385</v>
      </c>
      <c r="C90" s="239">
        <v>18</v>
      </c>
      <c r="D90" s="239">
        <v>7</v>
      </c>
      <c r="E90" s="239">
        <f t="shared" si="12"/>
        <v>-11</v>
      </c>
      <c r="F90" s="238">
        <f t="shared" si="13"/>
        <v>-0.61111111111111116</v>
      </c>
    </row>
    <row r="91" spans="1:6" ht="20.25" customHeight="1" x14ac:dyDescent="0.3">
      <c r="A91" s="235">
        <v>6</v>
      </c>
      <c r="B91" s="236" t="s">
        <v>384</v>
      </c>
      <c r="C91" s="239">
        <v>50</v>
      </c>
      <c r="D91" s="239">
        <v>16</v>
      </c>
      <c r="E91" s="239">
        <f t="shared" si="12"/>
        <v>-34</v>
      </c>
      <c r="F91" s="238">
        <f t="shared" si="13"/>
        <v>-0.68</v>
      </c>
    </row>
    <row r="92" spans="1:6" ht="20.25" customHeight="1" x14ac:dyDescent="0.3">
      <c r="A92" s="235">
        <v>7</v>
      </c>
      <c r="B92" s="236" t="s">
        <v>450</v>
      </c>
      <c r="C92" s="239">
        <v>188</v>
      </c>
      <c r="D92" s="239">
        <v>73</v>
      </c>
      <c r="E92" s="239">
        <f t="shared" si="12"/>
        <v>-115</v>
      </c>
      <c r="F92" s="238">
        <f t="shared" si="13"/>
        <v>-0.61170212765957444</v>
      </c>
    </row>
    <row r="93" spans="1:6" ht="20.25" customHeight="1" x14ac:dyDescent="0.3">
      <c r="A93" s="235">
        <v>8</v>
      </c>
      <c r="B93" s="236" t="s">
        <v>451</v>
      </c>
      <c r="C93" s="239">
        <v>169</v>
      </c>
      <c r="D93" s="239">
        <v>57</v>
      </c>
      <c r="E93" s="239">
        <f t="shared" si="12"/>
        <v>-112</v>
      </c>
      <c r="F93" s="238">
        <f t="shared" si="13"/>
        <v>-0.66272189349112431</v>
      </c>
    </row>
    <row r="94" spans="1:6" ht="20.25" customHeight="1" x14ac:dyDescent="0.3">
      <c r="A94" s="235">
        <v>9</v>
      </c>
      <c r="B94" s="236" t="s">
        <v>452</v>
      </c>
      <c r="C94" s="239">
        <v>2</v>
      </c>
      <c r="D94" s="239">
        <v>1</v>
      </c>
      <c r="E94" s="239">
        <f t="shared" si="12"/>
        <v>-1</v>
      </c>
      <c r="F94" s="238">
        <f t="shared" si="13"/>
        <v>-0.5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469705</v>
      </c>
      <c r="D95" s="243">
        <f>+D86+D88</f>
        <v>208906</v>
      </c>
      <c r="E95" s="243">
        <f t="shared" si="12"/>
        <v>-260799</v>
      </c>
      <c r="F95" s="244">
        <f t="shared" si="13"/>
        <v>-0.55523999105821742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144829</v>
      </c>
      <c r="D96" s="243">
        <f>+D87+D89</f>
        <v>58650</v>
      </c>
      <c r="E96" s="243">
        <f t="shared" si="12"/>
        <v>-86179</v>
      </c>
      <c r="F96" s="244">
        <f t="shared" si="13"/>
        <v>-0.59503966746991277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537101</v>
      </c>
      <c r="D98" s="237">
        <v>176789</v>
      </c>
      <c r="E98" s="237">
        <f t="shared" ref="E98:E108" si="14">D98-C98</f>
        <v>-360312</v>
      </c>
      <c r="F98" s="238">
        <f t="shared" ref="F98:F108" si="15">IF(C98=0,0,E98/C98)</f>
        <v>-0.67084589304432496</v>
      </c>
    </row>
    <row r="99" spans="1:7" ht="20.25" customHeight="1" x14ac:dyDescent="0.3">
      <c r="A99" s="235">
        <v>2</v>
      </c>
      <c r="B99" s="236" t="s">
        <v>447</v>
      </c>
      <c r="C99" s="237">
        <v>190350</v>
      </c>
      <c r="D99" s="237">
        <v>66938</v>
      </c>
      <c r="E99" s="237">
        <f t="shared" si="14"/>
        <v>-123412</v>
      </c>
      <c r="F99" s="238">
        <f t="shared" si="15"/>
        <v>-0.64834252692408723</v>
      </c>
    </row>
    <row r="100" spans="1:7" ht="20.25" customHeight="1" x14ac:dyDescent="0.3">
      <c r="A100" s="235">
        <v>3</v>
      </c>
      <c r="B100" s="236" t="s">
        <v>448</v>
      </c>
      <c r="C100" s="237">
        <v>2228918</v>
      </c>
      <c r="D100" s="237">
        <v>522700</v>
      </c>
      <c r="E100" s="237">
        <f t="shared" si="14"/>
        <v>-1706218</v>
      </c>
      <c r="F100" s="238">
        <f t="shared" si="15"/>
        <v>-0.76549159726827098</v>
      </c>
    </row>
    <row r="101" spans="1:7" ht="20.25" customHeight="1" x14ac:dyDescent="0.3">
      <c r="A101" s="235">
        <v>4</v>
      </c>
      <c r="B101" s="236" t="s">
        <v>449</v>
      </c>
      <c r="C101" s="237">
        <v>640459</v>
      </c>
      <c r="D101" s="237">
        <v>124638</v>
      </c>
      <c r="E101" s="237">
        <f t="shared" si="14"/>
        <v>-515821</v>
      </c>
      <c r="F101" s="238">
        <f t="shared" si="15"/>
        <v>-0.80539269492660737</v>
      </c>
    </row>
    <row r="102" spans="1:7" ht="20.25" customHeight="1" x14ac:dyDescent="0.3">
      <c r="A102" s="235">
        <v>5</v>
      </c>
      <c r="B102" s="236" t="s">
        <v>385</v>
      </c>
      <c r="C102" s="239">
        <v>46</v>
      </c>
      <c r="D102" s="239">
        <v>14</v>
      </c>
      <c r="E102" s="239">
        <f t="shared" si="14"/>
        <v>-32</v>
      </c>
      <c r="F102" s="238">
        <f t="shared" si="15"/>
        <v>-0.69565217391304346</v>
      </c>
    </row>
    <row r="103" spans="1:7" ht="20.25" customHeight="1" x14ac:dyDescent="0.3">
      <c r="A103" s="235">
        <v>6</v>
      </c>
      <c r="B103" s="236" t="s">
        <v>384</v>
      </c>
      <c r="C103" s="239">
        <v>129</v>
      </c>
      <c r="D103" s="239">
        <v>36</v>
      </c>
      <c r="E103" s="239">
        <f t="shared" si="14"/>
        <v>-93</v>
      </c>
      <c r="F103" s="238">
        <f t="shared" si="15"/>
        <v>-0.72093023255813948</v>
      </c>
    </row>
    <row r="104" spans="1:7" ht="20.25" customHeight="1" x14ac:dyDescent="0.3">
      <c r="A104" s="235">
        <v>7</v>
      </c>
      <c r="B104" s="236" t="s">
        <v>450</v>
      </c>
      <c r="C104" s="239">
        <v>1291</v>
      </c>
      <c r="D104" s="239">
        <v>273</v>
      </c>
      <c r="E104" s="239">
        <f t="shared" si="14"/>
        <v>-1018</v>
      </c>
      <c r="F104" s="238">
        <f t="shared" si="15"/>
        <v>-0.78853601859024014</v>
      </c>
    </row>
    <row r="105" spans="1:7" ht="20.25" customHeight="1" x14ac:dyDescent="0.3">
      <c r="A105" s="235">
        <v>8</v>
      </c>
      <c r="B105" s="236" t="s">
        <v>451</v>
      </c>
      <c r="C105" s="239">
        <v>672</v>
      </c>
      <c r="D105" s="239">
        <v>165</v>
      </c>
      <c r="E105" s="239">
        <f t="shared" si="14"/>
        <v>-507</v>
      </c>
      <c r="F105" s="238">
        <f t="shared" si="15"/>
        <v>-0.7544642857142857</v>
      </c>
    </row>
    <row r="106" spans="1:7" ht="20.25" customHeight="1" x14ac:dyDescent="0.3">
      <c r="A106" s="235">
        <v>9</v>
      </c>
      <c r="B106" s="236" t="s">
        <v>452</v>
      </c>
      <c r="C106" s="239">
        <v>8</v>
      </c>
      <c r="D106" s="239">
        <v>3</v>
      </c>
      <c r="E106" s="239">
        <f t="shared" si="14"/>
        <v>-5</v>
      </c>
      <c r="F106" s="238">
        <f t="shared" si="15"/>
        <v>-0.625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2766019</v>
      </c>
      <c r="D107" s="243">
        <f>+D98+D100</f>
        <v>699489</v>
      </c>
      <c r="E107" s="243">
        <f t="shared" si="14"/>
        <v>-2066530</v>
      </c>
      <c r="F107" s="244">
        <f t="shared" si="15"/>
        <v>-0.7471134507752839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830809</v>
      </c>
      <c r="D108" s="243">
        <f>+D99+D101</f>
        <v>191576</v>
      </c>
      <c r="E108" s="243">
        <f t="shared" si="14"/>
        <v>-639233</v>
      </c>
      <c r="F108" s="244">
        <f t="shared" si="15"/>
        <v>-0.76941029767371316</v>
      </c>
    </row>
    <row r="109" spans="1:7" s="240" customFormat="1" ht="20.25" customHeight="1" x14ac:dyDescent="0.3">
      <c r="A109" s="674" t="s">
        <v>44</v>
      </c>
      <c r="B109" s="676" t="s">
        <v>490</v>
      </c>
      <c r="C109" s="678"/>
      <c r="D109" s="679"/>
      <c r="E109" s="679"/>
      <c r="F109" s="680"/>
      <c r="G109" s="212"/>
    </row>
    <row r="110" spans="1:7" ht="20.25" customHeight="1" x14ac:dyDescent="0.3">
      <c r="A110" s="675"/>
      <c r="B110" s="677"/>
      <c r="C110" s="681"/>
      <c r="D110" s="682"/>
      <c r="E110" s="682"/>
      <c r="F110" s="683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1301248</v>
      </c>
      <c r="D112" s="243">
        <f t="shared" si="16"/>
        <v>380331</v>
      </c>
      <c r="E112" s="243">
        <f t="shared" ref="E112:E122" si="17">D112-C112</f>
        <v>-920917</v>
      </c>
      <c r="F112" s="244">
        <f t="shared" ref="F112:F122" si="18">IF(C112=0,0,E112/C112)</f>
        <v>-0.70771828275624626</v>
      </c>
    </row>
    <row r="113" spans="1:6" ht="20.25" customHeight="1" x14ac:dyDescent="0.3">
      <c r="A113" s="249"/>
      <c r="B113" s="250" t="s">
        <v>473</v>
      </c>
      <c r="C113" s="243">
        <f t="shared" si="16"/>
        <v>461166</v>
      </c>
      <c r="D113" s="243">
        <f t="shared" si="16"/>
        <v>144005</v>
      </c>
      <c r="E113" s="243">
        <f t="shared" si="17"/>
        <v>-317161</v>
      </c>
      <c r="F113" s="244">
        <f t="shared" si="18"/>
        <v>-0.6877371705633113</v>
      </c>
    </row>
    <row r="114" spans="1:6" ht="20.25" customHeight="1" x14ac:dyDescent="0.3">
      <c r="A114" s="249"/>
      <c r="B114" s="250" t="s">
        <v>474</v>
      </c>
      <c r="C114" s="243">
        <f t="shared" si="16"/>
        <v>6247212</v>
      </c>
      <c r="D114" s="243">
        <f t="shared" si="16"/>
        <v>1462195</v>
      </c>
      <c r="E114" s="243">
        <f t="shared" si="17"/>
        <v>-4785017</v>
      </c>
      <c r="F114" s="244">
        <f t="shared" si="18"/>
        <v>-0.76594439247459511</v>
      </c>
    </row>
    <row r="115" spans="1:6" ht="20.25" customHeight="1" x14ac:dyDescent="0.3">
      <c r="A115" s="249"/>
      <c r="B115" s="250" t="s">
        <v>475</v>
      </c>
      <c r="C115" s="243">
        <f t="shared" si="16"/>
        <v>1795078</v>
      </c>
      <c r="D115" s="243">
        <f t="shared" si="16"/>
        <v>348660</v>
      </c>
      <c r="E115" s="243">
        <f t="shared" si="17"/>
        <v>-1446418</v>
      </c>
      <c r="F115" s="244">
        <f t="shared" si="18"/>
        <v>-0.80576888580886175</v>
      </c>
    </row>
    <row r="116" spans="1:6" ht="20.25" customHeight="1" x14ac:dyDescent="0.3">
      <c r="A116" s="249"/>
      <c r="B116" s="250" t="s">
        <v>476</v>
      </c>
      <c r="C116" s="252">
        <f t="shared" si="16"/>
        <v>136</v>
      </c>
      <c r="D116" s="252">
        <f t="shared" si="16"/>
        <v>29</v>
      </c>
      <c r="E116" s="252">
        <f t="shared" si="17"/>
        <v>-107</v>
      </c>
      <c r="F116" s="244">
        <f t="shared" si="18"/>
        <v>-0.78676470588235292</v>
      </c>
    </row>
    <row r="117" spans="1:6" ht="20.25" customHeight="1" x14ac:dyDescent="0.3">
      <c r="A117" s="249"/>
      <c r="B117" s="250" t="s">
        <v>477</v>
      </c>
      <c r="C117" s="252">
        <f t="shared" si="16"/>
        <v>347</v>
      </c>
      <c r="D117" s="252">
        <f t="shared" si="16"/>
        <v>78</v>
      </c>
      <c r="E117" s="252">
        <f t="shared" si="17"/>
        <v>-269</v>
      </c>
      <c r="F117" s="244">
        <f t="shared" si="18"/>
        <v>-0.77521613832853031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3597</v>
      </c>
      <c r="D118" s="252">
        <f t="shared" si="16"/>
        <v>926</v>
      </c>
      <c r="E118" s="252">
        <f t="shared" si="17"/>
        <v>-2671</v>
      </c>
      <c r="F118" s="244">
        <f t="shared" si="18"/>
        <v>-0.74256324715040312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2035</v>
      </c>
      <c r="D119" s="252">
        <f t="shared" si="16"/>
        <v>530</v>
      </c>
      <c r="E119" s="252">
        <f t="shared" si="17"/>
        <v>-1505</v>
      </c>
      <c r="F119" s="244">
        <f t="shared" si="18"/>
        <v>-0.73955773955773951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22</v>
      </c>
      <c r="D120" s="252">
        <f t="shared" si="16"/>
        <v>7</v>
      </c>
      <c r="E120" s="252">
        <f t="shared" si="17"/>
        <v>-15</v>
      </c>
      <c r="F120" s="244">
        <f t="shared" si="18"/>
        <v>-0.68181818181818177</v>
      </c>
    </row>
    <row r="121" spans="1:6" ht="39.950000000000003" customHeight="1" x14ac:dyDescent="0.3">
      <c r="A121" s="249"/>
      <c r="B121" s="242" t="s">
        <v>453</v>
      </c>
      <c r="C121" s="243">
        <f>+C112+C114</f>
        <v>7548460</v>
      </c>
      <c r="D121" s="243">
        <f>+D112+D114</f>
        <v>1842526</v>
      </c>
      <c r="E121" s="243">
        <f t="shared" si="17"/>
        <v>-5705934</v>
      </c>
      <c r="F121" s="244">
        <f t="shared" si="18"/>
        <v>-0.75590703269276116</v>
      </c>
    </row>
    <row r="122" spans="1:6" ht="39.950000000000003" customHeight="1" x14ac:dyDescent="0.3">
      <c r="A122" s="249"/>
      <c r="B122" s="242" t="s">
        <v>482</v>
      </c>
      <c r="C122" s="243">
        <f>+C113+C115</f>
        <v>2256244</v>
      </c>
      <c r="D122" s="243">
        <f>+D113+D115</f>
        <v>492665</v>
      </c>
      <c r="E122" s="243">
        <f t="shared" si="17"/>
        <v>-1763579</v>
      </c>
      <c r="F122" s="244">
        <f t="shared" si="18"/>
        <v>-0.7816437406592549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FILING&amp;RNEW 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56787869</v>
      </c>
      <c r="D13" s="23">
        <v>74083960</v>
      </c>
      <c r="E13" s="23">
        <f t="shared" ref="E13:E22" si="0">D13-C13</f>
        <v>17296091</v>
      </c>
      <c r="F13" s="24">
        <f t="shared" ref="F13:F22" si="1">IF(C13=0,0,E13/C13)</f>
        <v>0.30457369337102613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74395713</v>
      </c>
      <c r="D15" s="23">
        <v>79495132</v>
      </c>
      <c r="E15" s="23">
        <f t="shared" si="0"/>
        <v>5099419</v>
      </c>
      <c r="F15" s="24">
        <f t="shared" si="1"/>
        <v>6.8544527559000618E-2</v>
      </c>
    </row>
    <row r="16" spans="1:8" ht="35.1" customHeight="1" x14ac:dyDescent="0.2">
      <c r="A16" s="21">
        <v>4</v>
      </c>
      <c r="B16" s="22" t="s">
        <v>19</v>
      </c>
      <c r="C16" s="23">
        <v>2780279</v>
      </c>
      <c r="D16" s="23">
        <v>2100896</v>
      </c>
      <c r="E16" s="23">
        <f t="shared" si="0"/>
        <v>-679383</v>
      </c>
      <c r="F16" s="24">
        <f t="shared" si="1"/>
        <v>-0.24435785041717037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12213567</v>
      </c>
      <c r="D19" s="23">
        <v>11357589</v>
      </c>
      <c r="E19" s="23">
        <f t="shared" si="0"/>
        <v>-855978</v>
      </c>
      <c r="F19" s="24">
        <f t="shared" si="1"/>
        <v>-7.0084194076963757E-2</v>
      </c>
    </row>
    <row r="20" spans="1:11" ht="24" customHeight="1" x14ac:dyDescent="0.2">
      <c r="A20" s="21">
        <v>8</v>
      </c>
      <c r="B20" s="22" t="s">
        <v>23</v>
      </c>
      <c r="C20" s="23">
        <v>16364779</v>
      </c>
      <c r="D20" s="23">
        <v>17443644</v>
      </c>
      <c r="E20" s="23">
        <f t="shared" si="0"/>
        <v>1078865</v>
      </c>
      <c r="F20" s="24">
        <f t="shared" si="1"/>
        <v>6.5926035420337786E-2</v>
      </c>
    </row>
    <row r="21" spans="1:11" ht="24" customHeight="1" x14ac:dyDescent="0.2">
      <c r="A21" s="21">
        <v>9</v>
      </c>
      <c r="B21" s="22" t="s">
        <v>24</v>
      </c>
      <c r="C21" s="23">
        <v>1768111</v>
      </c>
      <c r="D21" s="23">
        <v>3008962</v>
      </c>
      <c r="E21" s="23">
        <f t="shared" si="0"/>
        <v>1240851</v>
      </c>
      <c r="F21" s="24">
        <f t="shared" si="1"/>
        <v>0.70179474026234778</v>
      </c>
    </row>
    <row r="22" spans="1:11" ht="24" customHeight="1" x14ac:dyDescent="0.25">
      <c r="A22" s="25"/>
      <c r="B22" s="26" t="s">
        <v>25</v>
      </c>
      <c r="C22" s="27">
        <f>SUM(C13:C21)</f>
        <v>164310318</v>
      </c>
      <c r="D22" s="27">
        <f>SUM(D13:D21)</f>
        <v>187490183</v>
      </c>
      <c r="E22" s="27">
        <f t="shared" si="0"/>
        <v>23179865</v>
      </c>
      <c r="F22" s="28">
        <f t="shared" si="1"/>
        <v>0.14107370299167701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6439298</v>
      </c>
      <c r="D25" s="23">
        <v>7262631</v>
      </c>
      <c r="E25" s="23">
        <f>D25-C25</f>
        <v>823333</v>
      </c>
      <c r="F25" s="24">
        <f>IF(C25=0,0,E25/C25)</f>
        <v>0.12786067673836496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182369612</v>
      </c>
      <c r="D28" s="23">
        <v>157837082</v>
      </c>
      <c r="E28" s="23">
        <f>D28-C28</f>
        <v>-24532530</v>
      </c>
      <c r="F28" s="24">
        <f>IF(C28=0,0,E28/C28)</f>
        <v>-0.13452093104195451</v>
      </c>
    </row>
    <row r="29" spans="1:11" ht="35.1" customHeight="1" x14ac:dyDescent="0.25">
      <c r="A29" s="25"/>
      <c r="B29" s="26" t="s">
        <v>32</v>
      </c>
      <c r="C29" s="27">
        <f>SUM(C25:C28)</f>
        <v>188808910</v>
      </c>
      <c r="D29" s="27">
        <f>SUM(D25:D28)</f>
        <v>165099713</v>
      </c>
      <c r="E29" s="27">
        <f>D29-C29</f>
        <v>-23709197</v>
      </c>
      <c r="F29" s="28">
        <f>IF(C29=0,0,E29/C29)</f>
        <v>-0.12557244782568788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210629807</v>
      </c>
      <c r="D32" s="23">
        <v>245357292</v>
      </c>
      <c r="E32" s="23">
        <f>D32-C32</f>
        <v>34727485</v>
      </c>
      <c r="F32" s="24">
        <f>IF(C32=0,0,E32/C32)</f>
        <v>0.16487450420538058</v>
      </c>
    </row>
    <row r="33" spans="1:8" ht="24" customHeight="1" x14ac:dyDescent="0.2">
      <c r="A33" s="21">
        <v>7</v>
      </c>
      <c r="B33" s="22" t="s">
        <v>35</v>
      </c>
      <c r="C33" s="23">
        <v>25794210</v>
      </c>
      <c r="D33" s="23">
        <v>27793776</v>
      </c>
      <c r="E33" s="23">
        <f>D33-C33</f>
        <v>1999566</v>
      </c>
      <c r="F33" s="24">
        <f>IF(C33=0,0,E33/C33)</f>
        <v>7.7519955059681997E-2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627841143</v>
      </c>
      <c r="D36" s="23">
        <v>663576198</v>
      </c>
      <c r="E36" s="23">
        <f>D36-C36</f>
        <v>35735055</v>
      </c>
      <c r="F36" s="24">
        <f>IF(C36=0,0,E36/C36)</f>
        <v>5.6917351464492984E-2</v>
      </c>
    </row>
    <row r="37" spans="1:8" ht="24" customHeight="1" x14ac:dyDescent="0.2">
      <c r="A37" s="21">
        <v>2</v>
      </c>
      <c r="B37" s="22" t="s">
        <v>39</v>
      </c>
      <c r="C37" s="23">
        <v>388704091</v>
      </c>
      <c r="D37" s="23">
        <v>417555078</v>
      </c>
      <c r="E37" s="23">
        <f>D37-C37</f>
        <v>28850987</v>
      </c>
      <c r="F37" s="23">
        <f>IF(C37=0,0,E37/C37)</f>
        <v>7.4223522900869088E-2</v>
      </c>
    </row>
    <row r="38" spans="1:8" ht="24" customHeight="1" x14ac:dyDescent="0.25">
      <c r="A38" s="25"/>
      <c r="B38" s="26" t="s">
        <v>40</v>
      </c>
      <c r="C38" s="27">
        <f>C36-C37</f>
        <v>239137052</v>
      </c>
      <c r="D38" s="27">
        <f>D36-D37</f>
        <v>246021120</v>
      </c>
      <c r="E38" s="27">
        <f>D38-C38</f>
        <v>6884068</v>
      </c>
      <c r="F38" s="28">
        <f>IF(C38=0,0,E38/C38)</f>
        <v>2.8787124129973803E-2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27578848</v>
      </c>
      <c r="D40" s="23">
        <v>39399365</v>
      </c>
      <c r="E40" s="23">
        <f>D40-C40</f>
        <v>11820517</v>
      </c>
      <c r="F40" s="24">
        <f>IF(C40=0,0,E40/C40)</f>
        <v>0.42860807674055129</v>
      </c>
    </row>
    <row r="41" spans="1:8" ht="24" customHeight="1" x14ac:dyDescent="0.25">
      <c r="A41" s="25"/>
      <c r="B41" s="26" t="s">
        <v>42</v>
      </c>
      <c r="C41" s="27">
        <f>+C38+C40</f>
        <v>266715900</v>
      </c>
      <c r="D41" s="27">
        <f>+D38+D40</f>
        <v>285420485</v>
      </c>
      <c r="E41" s="27">
        <f>D41-C41</f>
        <v>18704585</v>
      </c>
      <c r="F41" s="28">
        <f>IF(C41=0,0,E41/C41)</f>
        <v>7.0129246137931783E-2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856259145</v>
      </c>
      <c r="D43" s="27">
        <f>D22+D29+D31+D32+D33+D41</f>
        <v>911161449</v>
      </c>
      <c r="E43" s="27">
        <f>D43-C43</f>
        <v>54902304</v>
      </c>
      <c r="F43" s="28">
        <f>IF(C43=0,0,E43/C43)</f>
        <v>6.4118794316643468E-2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41087673</v>
      </c>
      <c r="D49" s="23">
        <v>34549615</v>
      </c>
      <c r="E49" s="23">
        <f t="shared" ref="E49:E56" si="2">D49-C49</f>
        <v>-6538058</v>
      </c>
      <c r="F49" s="24">
        <f t="shared" ref="F49:F56" si="3">IF(C49=0,0,E49/C49)</f>
        <v>-0.15912456273685785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28131050</v>
      </c>
      <c r="D50" s="23">
        <v>33802144</v>
      </c>
      <c r="E50" s="23">
        <f t="shared" si="2"/>
        <v>5671094</v>
      </c>
      <c r="F50" s="24">
        <f t="shared" si="3"/>
        <v>0.20159553233882133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15337343</v>
      </c>
      <c r="D51" s="23">
        <v>12492073</v>
      </c>
      <c r="E51" s="23">
        <f t="shared" si="2"/>
        <v>-2845270</v>
      </c>
      <c r="F51" s="24">
        <f t="shared" si="3"/>
        <v>-0.18551257541804991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3024773</v>
      </c>
      <c r="D53" s="23">
        <v>2050090</v>
      </c>
      <c r="E53" s="23">
        <f t="shared" si="2"/>
        <v>-974683</v>
      </c>
      <c r="F53" s="24">
        <f t="shared" si="3"/>
        <v>-0.32223343702155499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87580839</v>
      </c>
      <c r="D56" s="27">
        <f>SUM(D49:D55)</f>
        <v>82893922</v>
      </c>
      <c r="E56" s="27">
        <f t="shared" si="2"/>
        <v>-4686917</v>
      </c>
      <c r="F56" s="28">
        <f t="shared" si="3"/>
        <v>-5.3515324282289646E-2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253514718</v>
      </c>
      <c r="D60" s="23">
        <v>250593765</v>
      </c>
      <c r="E60" s="23">
        <f>D60-C60</f>
        <v>-2920953</v>
      </c>
      <c r="F60" s="24">
        <f>IF(C60=0,0,E60/C60)</f>
        <v>-1.1521828093625713E-2</v>
      </c>
    </row>
    <row r="61" spans="1:6" ht="24" customHeight="1" x14ac:dyDescent="0.25">
      <c r="A61" s="25"/>
      <c r="B61" s="26" t="s">
        <v>58</v>
      </c>
      <c r="C61" s="27">
        <f>SUM(C59:C60)</f>
        <v>253514718</v>
      </c>
      <c r="D61" s="27">
        <f>SUM(D59:D60)</f>
        <v>250593765</v>
      </c>
      <c r="E61" s="27">
        <f>D61-C61</f>
        <v>-2920953</v>
      </c>
      <c r="F61" s="28">
        <f>IF(C61=0,0,E61/C61)</f>
        <v>-1.1521828093625713E-2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0</v>
      </c>
      <c r="D63" s="23">
        <v>0</v>
      </c>
      <c r="E63" s="23">
        <f>D63-C63</f>
        <v>0</v>
      </c>
      <c r="F63" s="24">
        <f>IF(C63=0,0,E63/C63)</f>
        <v>0</v>
      </c>
    </row>
    <row r="64" spans="1:6" ht="24" customHeight="1" x14ac:dyDescent="0.2">
      <c r="A64" s="21">
        <v>4</v>
      </c>
      <c r="B64" s="22" t="s">
        <v>60</v>
      </c>
      <c r="C64" s="23">
        <v>166759146</v>
      </c>
      <c r="D64" s="23">
        <v>233799181</v>
      </c>
      <c r="E64" s="23">
        <f>D64-C64</f>
        <v>67040035</v>
      </c>
      <c r="F64" s="24">
        <f>IF(C64=0,0,E64/C64)</f>
        <v>0.40201714033723823</v>
      </c>
    </row>
    <row r="65" spans="1:6" ht="24" customHeight="1" x14ac:dyDescent="0.25">
      <c r="A65" s="25"/>
      <c r="B65" s="26" t="s">
        <v>61</v>
      </c>
      <c r="C65" s="27">
        <f>SUM(C61:C64)</f>
        <v>420273864</v>
      </c>
      <c r="D65" s="27">
        <f>SUM(D61:D64)</f>
        <v>484392946</v>
      </c>
      <c r="E65" s="27">
        <f>D65-C65</f>
        <v>64119082</v>
      </c>
      <c r="F65" s="28">
        <f>IF(C65=0,0,E65/C65)</f>
        <v>0.15256499985447583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286369831</v>
      </c>
      <c r="D70" s="23">
        <v>277089185</v>
      </c>
      <c r="E70" s="23">
        <f>D70-C70</f>
        <v>-9280646</v>
      </c>
      <c r="F70" s="24">
        <f>IF(C70=0,0,E70/C70)</f>
        <v>-3.2407904029527465E-2</v>
      </c>
    </row>
    <row r="71" spans="1:6" ht="24" customHeight="1" x14ac:dyDescent="0.2">
      <c r="A71" s="21">
        <v>2</v>
      </c>
      <c r="B71" s="22" t="s">
        <v>65</v>
      </c>
      <c r="C71" s="23">
        <v>30149404</v>
      </c>
      <c r="D71" s="23">
        <v>33826104</v>
      </c>
      <c r="E71" s="23">
        <f>D71-C71</f>
        <v>3676700</v>
      </c>
      <c r="F71" s="24">
        <f>IF(C71=0,0,E71/C71)</f>
        <v>0.12194934268020688</v>
      </c>
    </row>
    <row r="72" spans="1:6" ht="24" customHeight="1" x14ac:dyDescent="0.2">
      <c r="A72" s="21">
        <v>3</v>
      </c>
      <c r="B72" s="22" t="s">
        <v>66</v>
      </c>
      <c r="C72" s="23">
        <v>31885207</v>
      </c>
      <c r="D72" s="23">
        <v>32959292</v>
      </c>
      <c r="E72" s="23">
        <f>D72-C72</f>
        <v>1074085</v>
      </c>
      <c r="F72" s="24">
        <f>IF(C72=0,0,E72/C72)</f>
        <v>3.3685997396849264E-2</v>
      </c>
    </row>
    <row r="73" spans="1:6" ht="24" customHeight="1" x14ac:dyDescent="0.25">
      <c r="A73" s="21"/>
      <c r="B73" s="26" t="s">
        <v>67</v>
      </c>
      <c r="C73" s="27">
        <f>SUM(C70:C72)</f>
        <v>348404442</v>
      </c>
      <c r="D73" s="27">
        <f>SUM(D70:D72)</f>
        <v>343874581</v>
      </c>
      <c r="E73" s="27">
        <f>D73-C73</f>
        <v>-4529861</v>
      </c>
      <c r="F73" s="28">
        <f>IF(C73=0,0,E73/C73)</f>
        <v>-1.3001731476202018E-2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856259145</v>
      </c>
      <c r="D75" s="27">
        <f>D56+D65+D67+D73</f>
        <v>911161449</v>
      </c>
      <c r="E75" s="27">
        <f>D75-C75</f>
        <v>54902304</v>
      </c>
      <c r="F75" s="28">
        <f>IF(C75=0,0,E75/C75)</f>
        <v>6.4118794316643468E-2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FILING&amp;RWESTERN CONNECTICUT HEALTH NETWORK INC.(FORMERLY WESTERN CONNECTICUT HEALTHCARE, 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1620897693</v>
      </c>
      <c r="D12" s="51">
        <v>1649794278</v>
      </c>
      <c r="E12" s="51">
        <f t="shared" ref="E12:E19" si="0">D12-C12</f>
        <v>28896585</v>
      </c>
      <c r="F12" s="70">
        <f t="shared" ref="F12:F19" si="1">IF(C12=0,0,E12/C12)</f>
        <v>1.7827519358434917E-2</v>
      </c>
    </row>
    <row r="13" spans="1:8" ht="23.1" customHeight="1" x14ac:dyDescent="0.2">
      <c r="A13" s="25">
        <v>2</v>
      </c>
      <c r="B13" s="48" t="s">
        <v>72</v>
      </c>
      <c r="C13" s="51">
        <v>884704840</v>
      </c>
      <c r="D13" s="51">
        <v>895739602</v>
      </c>
      <c r="E13" s="51">
        <f t="shared" si="0"/>
        <v>11034762</v>
      </c>
      <c r="F13" s="70">
        <f t="shared" si="1"/>
        <v>1.2472817487920604E-2</v>
      </c>
    </row>
    <row r="14" spans="1:8" ht="23.1" customHeight="1" x14ac:dyDescent="0.2">
      <c r="A14" s="25">
        <v>3</v>
      </c>
      <c r="B14" s="48" t="s">
        <v>73</v>
      </c>
      <c r="C14" s="51">
        <v>15667675</v>
      </c>
      <c r="D14" s="51">
        <v>17133307</v>
      </c>
      <c r="E14" s="51">
        <f t="shared" si="0"/>
        <v>1465632</v>
      </c>
      <c r="F14" s="70">
        <f t="shared" si="1"/>
        <v>9.3544958010681231E-2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720525178</v>
      </c>
      <c r="D16" s="27">
        <f>D12-D13-D14-D15</f>
        <v>736921369</v>
      </c>
      <c r="E16" s="27">
        <f t="shared" si="0"/>
        <v>16396191</v>
      </c>
      <c r="F16" s="28">
        <f t="shared" si="1"/>
        <v>2.2755889038481317E-2</v>
      </c>
    </row>
    <row r="17" spans="1:7" ht="23.1" customHeight="1" x14ac:dyDescent="0.2">
      <c r="A17" s="25">
        <v>5</v>
      </c>
      <c r="B17" s="48" t="s">
        <v>76</v>
      </c>
      <c r="C17" s="51">
        <v>14009110</v>
      </c>
      <c r="D17" s="51">
        <v>26582697</v>
      </c>
      <c r="E17" s="51">
        <f t="shared" si="0"/>
        <v>12573587</v>
      </c>
      <c r="F17" s="70">
        <f t="shared" si="1"/>
        <v>0.89752932199119007</v>
      </c>
      <c r="G17" s="64"/>
    </row>
    <row r="18" spans="1:7" ht="33" customHeight="1" x14ac:dyDescent="0.2">
      <c r="A18" s="25">
        <v>6</v>
      </c>
      <c r="B18" s="45" t="s">
        <v>77</v>
      </c>
      <c r="C18" s="51">
        <v>3167079</v>
      </c>
      <c r="D18" s="51">
        <v>3324588</v>
      </c>
      <c r="E18" s="51">
        <f t="shared" si="0"/>
        <v>157509</v>
      </c>
      <c r="F18" s="70">
        <f t="shared" si="1"/>
        <v>4.9733208423282146E-2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737701367</v>
      </c>
      <c r="D19" s="27">
        <f>SUM(D16:D18)</f>
        <v>766828654</v>
      </c>
      <c r="E19" s="27">
        <f t="shared" si="0"/>
        <v>29127287</v>
      </c>
      <c r="F19" s="28">
        <f t="shared" si="1"/>
        <v>3.9483845771428536E-2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458708798</v>
      </c>
      <c r="D22" s="51">
        <v>351374481</v>
      </c>
      <c r="E22" s="51">
        <f t="shared" ref="E22:E31" si="2">D22-C22</f>
        <v>-107334317</v>
      </c>
      <c r="F22" s="70">
        <f t="shared" ref="F22:F31" si="3">IF(C22=0,0,E22/C22)</f>
        <v>-0.23399227890981067</v>
      </c>
    </row>
    <row r="23" spans="1:7" ht="23.1" customHeight="1" x14ac:dyDescent="0.2">
      <c r="A23" s="25">
        <v>2</v>
      </c>
      <c r="B23" s="48" t="s">
        <v>81</v>
      </c>
      <c r="C23" s="51">
        <v>0</v>
      </c>
      <c r="D23" s="51">
        <v>105429884</v>
      </c>
      <c r="E23" s="51">
        <f t="shared" si="2"/>
        <v>105429884</v>
      </c>
      <c r="F23" s="70">
        <f t="shared" si="3"/>
        <v>0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6170979</v>
      </c>
      <c r="E24" s="51">
        <f t="shared" si="2"/>
        <v>6170979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192464356</v>
      </c>
      <c r="E25" s="51">
        <f t="shared" si="2"/>
        <v>192464356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36236656</v>
      </c>
      <c r="D26" s="51">
        <v>39029252</v>
      </c>
      <c r="E26" s="51">
        <f t="shared" si="2"/>
        <v>2792596</v>
      </c>
      <c r="F26" s="70">
        <f t="shared" si="3"/>
        <v>7.7065499642130331E-2</v>
      </c>
    </row>
    <row r="27" spans="1:7" ht="23.1" customHeight="1" x14ac:dyDescent="0.2">
      <c r="A27" s="25">
        <v>6</v>
      </c>
      <c r="B27" s="48" t="s">
        <v>85</v>
      </c>
      <c r="C27" s="51">
        <v>26465527</v>
      </c>
      <c r="D27" s="51">
        <v>24771952</v>
      </c>
      <c r="E27" s="51">
        <f t="shared" si="2"/>
        <v>-1693575</v>
      </c>
      <c r="F27" s="70">
        <f t="shared" si="3"/>
        <v>-6.3991735362005073E-2</v>
      </c>
    </row>
    <row r="28" spans="1:7" ht="23.1" customHeight="1" x14ac:dyDescent="0.2">
      <c r="A28" s="25">
        <v>7</v>
      </c>
      <c r="B28" s="48" t="s">
        <v>86</v>
      </c>
      <c r="C28" s="51">
        <v>5333933</v>
      </c>
      <c r="D28" s="51">
        <v>4322562</v>
      </c>
      <c r="E28" s="51">
        <f t="shared" si="2"/>
        <v>-1011371</v>
      </c>
      <c r="F28" s="70">
        <f t="shared" si="3"/>
        <v>-0.18961074314206797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11680311</v>
      </c>
      <c r="E29" s="51">
        <f t="shared" si="2"/>
        <v>11680311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219356406</v>
      </c>
      <c r="D30" s="51">
        <v>13721517</v>
      </c>
      <c r="E30" s="51">
        <f t="shared" si="2"/>
        <v>-205634889</v>
      </c>
      <c r="F30" s="70">
        <f t="shared" si="3"/>
        <v>-0.93744647238613132</v>
      </c>
    </row>
    <row r="31" spans="1:7" ht="23.1" customHeight="1" x14ac:dyDescent="0.25">
      <c r="A31" s="29"/>
      <c r="B31" s="71" t="s">
        <v>89</v>
      </c>
      <c r="C31" s="27">
        <f>SUM(C22:C30)</f>
        <v>746101320</v>
      </c>
      <c r="D31" s="27">
        <f>SUM(D22:D30)</f>
        <v>748965294</v>
      </c>
      <c r="E31" s="27">
        <f t="shared" si="2"/>
        <v>2863974</v>
      </c>
      <c r="F31" s="28">
        <f t="shared" si="3"/>
        <v>3.8385858907205792E-3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-8399953</v>
      </c>
      <c r="D33" s="27">
        <f>+D19-D31</f>
        <v>17863360</v>
      </c>
      <c r="E33" s="27">
        <f>D33-C33</f>
        <v>26263313</v>
      </c>
      <c r="F33" s="28">
        <f>IF(C33=0,0,E33/C33)</f>
        <v>-3.1266023750370984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9355429</v>
      </c>
      <c r="D36" s="51">
        <v>2445895</v>
      </c>
      <c r="E36" s="51">
        <f>D36-C36</f>
        <v>-6909534</v>
      </c>
      <c r="F36" s="70">
        <f>IF(C36=0,0,E36/C36)</f>
        <v>-0.7385587555632136</v>
      </c>
    </row>
    <row r="37" spans="1:6" ht="23.1" customHeight="1" x14ac:dyDescent="0.2">
      <c r="A37" s="44">
        <v>2</v>
      </c>
      <c r="B37" s="48" t="s">
        <v>93</v>
      </c>
      <c r="C37" s="51">
        <v>3166972</v>
      </c>
      <c r="D37" s="51">
        <v>1936206</v>
      </c>
      <c r="E37" s="51">
        <f>D37-C37</f>
        <v>-1230766</v>
      </c>
      <c r="F37" s="70">
        <f>IF(C37=0,0,E37/C37)</f>
        <v>-0.3886254756909755</v>
      </c>
    </row>
    <row r="38" spans="1:6" ht="23.1" customHeight="1" x14ac:dyDescent="0.2">
      <c r="A38" s="44">
        <v>3</v>
      </c>
      <c r="B38" s="48" t="s">
        <v>94</v>
      </c>
      <c r="C38" s="51">
        <v>-6929617</v>
      </c>
      <c r="D38" s="51">
        <v>20266992</v>
      </c>
      <c r="E38" s="51">
        <f>D38-C38</f>
        <v>27196609</v>
      </c>
      <c r="F38" s="70">
        <f>IF(C38=0,0,E38/C38)</f>
        <v>-3.9246915089246635</v>
      </c>
    </row>
    <row r="39" spans="1:6" ht="23.1" customHeight="1" x14ac:dyDescent="0.25">
      <c r="A39" s="20"/>
      <c r="B39" s="71" t="s">
        <v>95</v>
      </c>
      <c r="C39" s="27">
        <f>SUM(C36:C38)</f>
        <v>5592784</v>
      </c>
      <c r="D39" s="27">
        <f>SUM(D36:D38)</f>
        <v>24649093</v>
      </c>
      <c r="E39" s="27">
        <f>D39-C39</f>
        <v>19056309</v>
      </c>
      <c r="F39" s="28">
        <f>IF(C39=0,0,E39/C39)</f>
        <v>3.4073028745612204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-2807169</v>
      </c>
      <c r="D41" s="27">
        <f>D33+D39</f>
        <v>42512453</v>
      </c>
      <c r="E41" s="27">
        <f>D41-C41</f>
        <v>45319622</v>
      </c>
      <c r="F41" s="28">
        <f>IF(C41=0,0,E41/C41)</f>
        <v>-16.144244254620936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-2807169</v>
      </c>
      <c r="D48" s="27">
        <f>D41+D46</f>
        <v>42512453</v>
      </c>
      <c r="E48" s="27">
        <f>D48-C48</f>
        <v>45319622</v>
      </c>
      <c r="F48" s="28">
        <f>IF(C48=0,0,E48/C48)</f>
        <v>-16.144244254620936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FILING&amp;R&amp;8WESTERN CONNECTICUT HEALTH NETWORK INC.(FORMERLY WESTERN CONNECTICUT HEALTHCARE, 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2013-09-11T12:24:20Z</cp:lastPrinted>
  <dcterms:created xsi:type="dcterms:W3CDTF">2006-08-03T13:49:12Z</dcterms:created>
  <dcterms:modified xsi:type="dcterms:W3CDTF">2013-09-12T14:59:05Z</dcterms:modified>
</cp:coreProperties>
</file>