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E92" i="22"/>
  <c r="D92" i="22"/>
  <c r="C92" i="22"/>
  <c r="C93" i="22" s="1"/>
  <c r="E91" i="22"/>
  <c r="E93" i="22" s="1"/>
  <c r="D91" i="22"/>
  <c r="D93" i="22" s="1"/>
  <c r="C91" i="22"/>
  <c r="E87" i="22"/>
  <c r="D87" i="22"/>
  <c r="D88" i="22" s="1"/>
  <c r="C87" i="22"/>
  <c r="E86" i="22"/>
  <c r="E88" i="22"/>
  <c r="D86" i="22"/>
  <c r="C86" i="22"/>
  <c r="C88" i="22" s="1"/>
  <c r="E83" i="22"/>
  <c r="D83" i="22"/>
  <c r="D101" i="22"/>
  <c r="C83" i="22"/>
  <c r="E76" i="22"/>
  <c r="E77" i="22" s="1"/>
  <c r="D76" i="22"/>
  <c r="D77" i="22" s="1"/>
  <c r="C76" i="22"/>
  <c r="C102" i="22" s="1"/>
  <c r="E75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4" i="22" s="1"/>
  <c r="D12" i="22"/>
  <c r="C12" i="22"/>
  <c r="C33" i="22"/>
  <c r="D21" i="21"/>
  <c r="E21" i="21" s="1"/>
  <c r="F21" i="21" s="1"/>
  <c r="C21" i="21"/>
  <c r="D19" i="21"/>
  <c r="E19" i="21" s="1"/>
  <c r="C19" i="21"/>
  <c r="F17" i="21"/>
  <c r="E17" i="21"/>
  <c r="F15" i="21"/>
  <c r="E15" i="21"/>
  <c r="D45" i="20"/>
  <c r="E45" i="20" s="1"/>
  <c r="C45" i="20"/>
  <c r="D44" i="20"/>
  <c r="C44" i="20"/>
  <c r="D43" i="20"/>
  <c r="C43" i="20"/>
  <c r="D36" i="20"/>
  <c r="D40" i="20"/>
  <c r="C36" i="20"/>
  <c r="F35" i="20"/>
  <c r="E35" i="20"/>
  <c r="E36" i="20" s="1"/>
  <c r="F34" i="20"/>
  <c r="E34" i="20"/>
  <c r="F33" i="20"/>
  <c r="E33" i="20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/>
  <c r="E24" i="20"/>
  <c r="F24" i="20" s="1"/>
  <c r="E23" i="20"/>
  <c r="F23" i="20" s="1"/>
  <c r="F22" i="20"/>
  <c r="E22" i="20"/>
  <c r="E25" i="20"/>
  <c r="F25" i="20" s="1"/>
  <c r="D19" i="20"/>
  <c r="D20" i="20"/>
  <c r="C19" i="20"/>
  <c r="C20" i="20"/>
  <c r="F18" i="20"/>
  <c r="E18" i="20"/>
  <c r="D16" i="20"/>
  <c r="E16" i="20" s="1"/>
  <c r="F16" i="20" s="1"/>
  <c r="C16" i="20"/>
  <c r="E15" i="20"/>
  <c r="F15" i="20" s="1"/>
  <c r="E13" i="20"/>
  <c r="F13" i="20" s="1"/>
  <c r="F12" i="20"/>
  <c r="E12" i="20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/>
  <c r="C63" i="19"/>
  <c r="C65" i="19" s="1"/>
  <c r="C114" i="19" s="1"/>
  <c r="C116" i="19" s="1"/>
  <c r="C119" i="19" s="1"/>
  <c r="C123" i="19" s="1"/>
  <c r="C60" i="19"/>
  <c r="C59" i="19"/>
  <c r="C49" i="19"/>
  <c r="C48" i="19"/>
  <c r="C64" i="19" s="1"/>
  <c r="C36" i="19"/>
  <c r="C32" i="19"/>
  <c r="C21" i="19"/>
  <c r="E328" i="18"/>
  <c r="E325" i="18"/>
  <c r="D324" i="18"/>
  <c r="C324" i="18"/>
  <c r="C326" i="18" s="1"/>
  <c r="C330" i="18" s="1"/>
  <c r="E318" i="18"/>
  <c r="E315" i="18"/>
  <c r="D314" i="18"/>
  <c r="D316" i="18" s="1"/>
  <c r="C314" i="18"/>
  <c r="C316" i="18"/>
  <c r="C320" i="18" s="1"/>
  <c r="E308" i="18"/>
  <c r="E305" i="18"/>
  <c r="D301" i="18"/>
  <c r="D303" i="18"/>
  <c r="E303" i="18" s="1"/>
  <c r="C301" i="18"/>
  <c r="D293" i="18"/>
  <c r="E293" i="18"/>
  <c r="C293" i="18"/>
  <c r="D292" i="18"/>
  <c r="C292" i="18"/>
  <c r="E292" i="18" s="1"/>
  <c r="D291" i="18"/>
  <c r="E291" i="18"/>
  <c r="C291" i="18"/>
  <c r="D290" i="18"/>
  <c r="E290" i="18" s="1"/>
  <c r="C290" i="18"/>
  <c r="D288" i="18"/>
  <c r="E288" i="18" s="1"/>
  <c r="C288" i="18"/>
  <c r="D287" i="18"/>
  <c r="E287" i="18" s="1"/>
  <c r="C287" i="18"/>
  <c r="D282" i="18"/>
  <c r="C282" i="18"/>
  <c r="E282" i="18"/>
  <c r="D281" i="18"/>
  <c r="E281" i="18" s="1"/>
  <c r="C281" i="18"/>
  <c r="D280" i="18"/>
  <c r="C280" i="18"/>
  <c r="E280" i="18" s="1"/>
  <c r="D279" i="18"/>
  <c r="E279" i="18"/>
  <c r="C279" i="18"/>
  <c r="D278" i="18"/>
  <c r="E278" i="18" s="1"/>
  <c r="C278" i="18"/>
  <c r="D277" i="18"/>
  <c r="E277" i="18" s="1"/>
  <c r="C277" i="18"/>
  <c r="D276" i="18"/>
  <c r="E276" i="18" s="1"/>
  <c r="C276" i="18"/>
  <c r="E270" i="18"/>
  <c r="D265" i="18"/>
  <c r="D302" i="18"/>
  <c r="C265" i="18"/>
  <c r="C302" i="18"/>
  <c r="D262" i="18"/>
  <c r="E262" i="18" s="1"/>
  <c r="C262" i="18"/>
  <c r="D251" i="18"/>
  <c r="C251" i="18"/>
  <c r="E251" i="18"/>
  <c r="D233" i="18"/>
  <c r="C233" i="18"/>
  <c r="D232" i="18"/>
  <c r="E232" i="18" s="1"/>
  <c r="C232" i="18"/>
  <c r="D231" i="18"/>
  <c r="C231" i="18"/>
  <c r="E231" i="18"/>
  <c r="D230" i="18"/>
  <c r="C230" i="18"/>
  <c r="D228" i="18"/>
  <c r="C228" i="18"/>
  <c r="D227" i="18"/>
  <c r="C227" i="18"/>
  <c r="D221" i="18"/>
  <c r="C221" i="18"/>
  <c r="C245" i="18"/>
  <c r="D220" i="18"/>
  <c r="C220" i="18"/>
  <c r="D219" i="18"/>
  <c r="C219" i="18"/>
  <c r="C243" i="18" s="1"/>
  <c r="D218" i="18"/>
  <c r="C218" i="18"/>
  <c r="C242" i="18" s="1"/>
  <c r="D216" i="18"/>
  <c r="D240" i="18"/>
  <c r="C216" i="18"/>
  <c r="C240" i="18"/>
  <c r="D215" i="18"/>
  <c r="C215" i="18"/>
  <c r="C239" i="18" s="1"/>
  <c r="D210" i="18"/>
  <c r="D211" i="18" s="1"/>
  <c r="E211" i="18" s="1"/>
  <c r="E209" i="18"/>
  <c r="E208" i="18"/>
  <c r="E207" i="18"/>
  <c r="E206" i="18"/>
  <c r="D205" i="18"/>
  <c r="D229" i="18" s="1"/>
  <c r="C205" i="18"/>
  <c r="C210" i="18"/>
  <c r="E204" i="18"/>
  <c r="E203" i="18"/>
  <c r="E197" i="18"/>
  <c r="E196" i="18"/>
  <c r="D195" i="18"/>
  <c r="E195" i="18" s="1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/>
  <c r="C179" i="18"/>
  <c r="D178" i="18"/>
  <c r="C178" i="18"/>
  <c r="E178" i="18"/>
  <c r="D177" i="18"/>
  <c r="C177" i="18"/>
  <c r="D176" i="18"/>
  <c r="C176" i="18"/>
  <c r="E176" i="18" s="1"/>
  <c r="D174" i="18"/>
  <c r="C174" i="18"/>
  <c r="E174" i="18" s="1"/>
  <c r="D173" i="18"/>
  <c r="C173" i="18"/>
  <c r="E173" i="18" s="1"/>
  <c r="D167" i="18"/>
  <c r="C167" i="18"/>
  <c r="D166" i="18"/>
  <c r="E166" i="18" s="1"/>
  <c r="C166" i="18"/>
  <c r="D165" i="18"/>
  <c r="E165" i="18" s="1"/>
  <c r="C165" i="18"/>
  <c r="D164" i="18"/>
  <c r="E164" i="18" s="1"/>
  <c r="C164" i="18"/>
  <c r="D162" i="18"/>
  <c r="C162" i="18"/>
  <c r="D161" i="18"/>
  <c r="C161" i="18"/>
  <c r="E161" i="18" s="1"/>
  <c r="E155" i="18"/>
  <c r="E154" i="18"/>
  <c r="E153" i="18"/>
  <c r="E152" i="18"/>
  <c r="D151" i="18"/>
  <c r="D156" i="18"/>
  <c r="C151" i="18"/>
  <c r="C156" i="18" s="1"/>
  <c r="C157" i="18" s="1"/>
  <c r="E150" i="18"/>
  <c r="E149" i="18"/>
  <c r="E143" i="18"/>
  <c r="E142" i="18"/>
  <c r="E141" i="18"/>
  <c r="E140" i="18"/>
  <c r="D139" i="18"/>
  <c r="C139" i="18"/>
  <c r="C163" i="18"/>
  <c r="E138" i="18"/>
  <c r="E137" i="18"/>
  <c r="D75" i="18"/>
  <c r="E75" i="18"/>
  <c r="C75" i="18"/>
  <c r="D74" i="18"/>
  <c r="C74" i="18"/>
  <c r="E74" i="18" s="1"/>
  <c r="D73" i="18"/>
  <c r="E73" i="18" s="1"/>
  <c r="C73" i="18"/>
  <c r="D72" i="18"/>
  <c r="E72" i="18" s="1"/>
  <c r="C72" i="18"/>
  <c r="D71" i="18"/>
  <c r="D70" i="18"/>
  <c r="C70" i="18"/>
  <c r="D69" i="18"/>
  <c r="E69" i="18"/>
  <c r="C69" i="18"/>
  <c r="E64" i="18"/>
  <c r="E63" i="18"/>
  <c r="E62" i="18"/>
  <c r="E61" i="18"/>
  <c r="D60" i="18"/>
  <c r="D65" i="18" s="1"/>
  <c r="D289" i="18"/>
  <c r="C60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 s="1"/>
  <c r="D40" i="18"/>
  <c r="E40" i="18" s="1"/>
  <c r="C40" i="18"/>
  <c r="D39" i="18"/>
  <c r="E39" i="18" s="1"/>
  <c r="C39" i="18"/>
  <c r="D38" i="18"/>
  <c r="E38" i="18" s="1"/>
  <c r="C38" i="18"/>
  <c r="D37" i="18"/>
  <c r="C37" i="18"/>
  <c r="D36" i="18"/>
  <c r="C36" i="18"/>
  <c r="D33" i="18"/>
  <c r="E33" i="18" s="1"/>
  <c r="D32" i="18"/>
  <c r="D294" i="18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/>
  <c r="F332" i="17"/>
  <c r="E332" i="17"/>
  <c r="E331" i="17"/>
  <c r="F331" i="17" s="1"/>
  <c r="E330" i="17"/>
  <c r="F330" i="17" s="1"/>
  <c r="E329" i="17"/>
  <c r="F329" i="17"/>
  <c r="F316" i="17"/>
  <c r="E316" i="17"/>
  <c r="D311" i="17"/>
  <c r="C311" i="17"/>
  <c r="F311" i="17"/>
  <c r="E308" i="17"/>
  <c r="F308" i="17" s="1"/>
  <c r="D307" i="17"/>
  <c r="C307" i="17"/>
  <c r="D299" i="17"/>
  <c r="E299" i="17"/>
  <c r="C299" i="17"/>
  <c r="D298" i="17"/>
  <c r="C298" i="17"/>
  <c r="D297" i="17"/>
  <c r="E297" i="17" s="1"/>
  <c r="C297" i="17"/>
  <c r="D296" i="17"/>
  <c r="E296" i="17" s="1"/>
  <c r="F296" i="17" s="1"/>
  <c r="C296" i="17"/>
  <c r="D295" i="17"/>
  <c r="E295" i="17" s="1"/>
  <c r="C295" i="17"/>
  <c r="D294" i="17"/>
  <c r="E294" i="17" s="1"/>
  <c r="C294" i="17"/>
  <c r="D250" i="17"/>
  <c r="C250" i="17"/>
  <c r="C306" i="17" s="1"/>
  <c r="F249" i="17"/>
  <c r="E249" i="17"/>
  <c r="E248" i="17"/>
  <c r="F248" i="17" s="1"/>
  <c r="F245" i="17"/>
  <c r="E245" i="17"/>
  <c r="F244" i="17"/>
  <c r="E244" i="17"/>
  <c r="F243" i="17"/>
  <c r="E243" i="17"/>
  <c r="D238" i="17"/>
  <c r="E238" i="17"/>
  <c r="F238" i="17"/>
  <c r="C238" i="17"/>
  <c r="D237" i="17"/>
  <c r="C237" i="17"/>
  <c r="E234" i="17"/>
  <c r="F234" i="17" s="1"/>
  <c r="F233" i="17"/>
  <c r="E233" i="17"/>
  <c r="D230" i="17"/>
  <c r="E230" i="17"/>
  <c r="F230" i="17" s="1"/>
  <c r="C230" i="17"/>
  <c r="D229" i="17"/>
  <c r="C229" i="17"/>
  <c r="E229" i="17" s="1"/>
  <c r="F229" i="17" s="1"/>
  <c r="E228" i="17"/>
  <c r="F228" i="17"/>
  <c r="D226" i="17"/>
  <c r="E226" i="17" s="1"/>
  <c r="F226" i="17" s="1"/>
  <c r="C226" i="17"/>
  <c r="C227" i="17"/>
  <c r="E225" i="17"/>
  <c r="F225" i="17" s="1"/>
  <c r="E224" i="17"/>
  <c r="F224" i="17" s="1"/>
  <c r="D223" i="17"/>
  <c r="C223" i="17"/>
  <c r="E223" i="17" s="1"/>
  <c r="F223" i="17" s="1"/>
  <c r="E222" i="17"/>
  <c r="F222" i="17" s="1"/>
  <c r="E221" i="17"/>
  <c r="F221" i="17" s="1"/>
  <c r="D204" i="17"/>
  <c r="D285" i="17"/>
  <c r="C204" i="17"/>
  <c r="D203" i="17"/>
  <c r="D283" i="17"/>
  <c r="C203" i="17"/>
  <c r="D198" i="17"/>
  <c r="D290" i="17" s="1"/>
  <c r="C198" i="17"/>
  <c r="D191" i="17"/>
  <c r="C191" i="17"/>
  <c r="D189" i="17"/>
  <c r="C189" i="17"/>
  <c r="D188" i="17"/>
  <c r="C188" i="17"/>
  <c r="D180" i="17"/>
  <c r="C180" i="17"/>
  <c r="D179" i="17"/>
  <c r="E179" i="17"/>
  <c r="C179" i="17"/>
  <c r="D171" i="17"/>
  <c r="C171" i="17"/>
  <c r="C172" i="17"/>
  <c r="D170" i="17"/>
  <c r="E170" i="17" s="1"/>
  <c r="C170" i="17"/>
  <c r="E169" i="17"/>
  <c r="F169" i="17"/>
  <c r="E168" i="17"/>
  <c r="F168" i="17" s="1"/>
  <c r="D165" i="17"/>
  <c r="C165" i="17"/>
  <c r="D164" i="17"/>
  <c r="E164" i="17" s="1"/>
  <c r="F164" i="17" s="1"/>
  <c r="C164" i="17"/>
  <c r="E163" i="17"/>
  <c r="F163" i="17" s="1"/>
  <c r="D158" i="17"/>
  <c r="C158" i="17"/>
  <c r="C159" i="17"/>
  <c r="C161" i="17" s="1"/>
  <c r="E157" i="17"/>
  <c r="F157" i="17"/>
  <c r="E156" i="17"/>
  <c r="F156" i="17" s="1"/>
  <c r="D155" i="17"/>
  <c r="E155" i="17" s="1"/>
  <c r="F155" i="17" s="1"/>
  <c r="C155" i="17"/>
  <c r="E154" i="17"/>
  <c r="F154" i="17"/>
  <c r="E153" i="17"/>
  <c r="F153" i="17" s="1"/>
  <c r="D145" i="17"/>
  <c r="C145" i="17"/>
  <c r="D144" i="17"/>
  <c r="E144" i="17"/>
  <c r="F144" i="17" s="1"/>
  <c r="C144" i="17"/>
  <c r="D136" i="17"/>
  <c r="C136" i="17"/>
  <c r="C137" i="17"/>
  <c r="D135" i="17"/>
  <c r="E135" i="17" s="1"/>
  <c r="F135" i="17" s="1"/>
  <c r="C135" i="17"/>
  <c r="E134" i="17"/>
  <c r="F134" i="17" s="1"/>
  <c r="E133" i="17"/>
  <c r="F133" i="17"/>
  <c r="D130" i="17"/>
  <c r="C130" i="17"/>
  <c r="D129" i="17"/>
  <c r="E129" i="17"/>
  <c r="C129" i="17"/>
  <c r="E128" i="17"/>
  <c r="F128" i="17" s="1"/>
  <c r="D123" i="17"/>
  <c r="E123" i="17" s="1"/>
  <c r="C123" i="17"/>
  <c r="E122" i="17"/>
  <c r="F122" i="17" s="1"/>
  <c r="E121" i="17"/>
  <c r="F121" i="17" s="1"/>
  <c r="D120" i="17"/>
  <c r="C120" i="17"/>
  <c r="E119" i="17"/>
  <c r="F119" i="17" s="1"/>
  <c r="E118" i="17"/>
  <c r="F118" i="17"/>
  <c r="D110" i="17"/>
  <c r="C110" i="17"/>
  <c r="D109" i="17"/>
  <c r="C109" i="17"/>
  <c r="D101" i="17"/>
  <c r="E101" i="17" s="1"/>
  <c r="F101" i="17" s="1"/>
  <c r="C101" i="17"/>
  <c r="C102" i="17" s="1"/>
  <c r="C103" i="17"/>
  <c r="D100" i="17"/>
  <c r="E100" i="17"/>
  <c r="F100" i="17" s="1"/>
  <c r="C100" i="17"/>
  <c r="F99" i="17"/>
  <c r="E99" i="17"/>
  <c r="E98" i="17"/>
  <c r="F98" i="17" s="1"/>
  <c r="D95" i="17"/>
  <c r="E95" i="17" s="1"/>
  <c r="F95" i="17" s="1"/>
  <c r="C95" i="17"/>
  <c r="D94" i="17"/>
  <c r="E94" i="17" s="1"/>
  <c r="C94" i="17"/>
  <c r="F94" i="17" s="1"/>
  <c r="E93" i="17"/>
  <c r="F93" i="17"/>
  <c r="D88" i="17"/>
  <c r="C88" i="17"/>
  <c r="C89" i="17" s="1"/>
  <c r="E87" i="17"/>
  <c r="F87" i="17"/>
  <c r="E86" i="17"/>
  <c r="F86" i="17" s="1"/>
  <c r="D85" i="17"/>
  <c r="E85" i="17"/>
  <c r="F85" i="17" s="1"/>
  <c r="C85" i="17"/>
  <c r="F84" i="17"/>
  <c r="E84" i="17"/>
  <c r="F83" i="17"/>
  <c r="E83" i="17"/>
  <c r="D76" i="17"/>
  <c r="D77" i="17" s="1"/>
  <c r="C76" i="17"/>
  <c r="C77" i="17" s="1"/>
  <c r="E74" i="17"/>
  <c r="F74" i="17" s="1"/>
  <c r="E73" i="17"/>
  <c r="F73" i="17" s="1"/>
  <c r="D67" i="17"/>
  <c r="C67" i="17"/>
  <c r="D66" i="17"/>
  <c r="D68" i="17"/>
  <c r="C66" i="17"/>
  <c r="D59" i="17"/>
  <c r="D60" i="17"/>
  <c r="C59" i="17"/>
  <c r="C60" i="17" s="1"/>
  <c r="D58" i="17"/>
  <c r="E58" i="17" s="1"/>
  <c r="C58" i="17"/>
  <c r="E57" i="17"/>
  <c r="F57" i="17"/>
  <c r="E56" i="17"/>
  <c r="F56" i="17"/>
  <c r="D53" i="17"/>
  <c r="C53" i="17"/>
  <c r="D52" i="17"/>
  <c r="E52" i="17"/>
  <c r="C52" i="17"/>
  <c r="F52" i="17" s="1"/>
  <c r="E51" i="17"/>
  <c r="F51" i="17"/>
  <c r="D47" i="17"/>
  <c r="D48" i="17" s="1"/>
  <c r="C47" i="17"/>
  <c r="C48" i="17"/>
  <c r="E46" i="17"/>
  <c r="F46" i="17"/>
  <c r="E45" i="17"/>
  <c r="F45" i="17"/>
  <c r="D44" i="17"/>
  <c r="E44" i="17" s="1"/>
  <c r="C44" i="17"/>
  <c r="E43" i="17"/>
  <c r="F43" i="17" s="1"/>
  <c r="E42" i="17"/>
  <c r="F42" i="17" s="1"/>
  <c r="D36" i="17"/>
  <c r="E36" i="17"/>
  <c r="C36" i="17"/>
  <c r="D35" i="17"/>
  <c r="D37" i="17" s="1"/>
  <c r="C35" i="17"/>
  <c r="D30" i="17"/>
  <c r="D31" i="17"/>
  <c r="D32" i="17" s="1"/>
  <c r="C30" i="17"/>
  <c r="C31" i="17" s="1"/>
  <c r="D29" i="17"/>
  <c r="C29" i="17"/>
  <c r="E28" i="17"/>
  <c r="F28" i="17" s="1"/>
  <c r="E27" i="17"/>
  <c r="F27" i="17" s="1"/>
  <c r="D24" i="17"/>
  <c r="E24" i="17" s="1"/>
  <c r="C24" i="17"/>
  <c r="D23" i="17"/>
  <c r="E23" i="17" s="1"/>
  <c r="F23" i="17" s="1"/>
  <c r="C23" i="17"/>
  <c r="E22" i="17"/>
  <c r="F22" i="17" s="1"/>
  <c r="D20" i="17"/>
  <c r="E20" i="17"/>
  <c r="F20" i="17"/>
  <c r="C20" i="17"/>
  <c r="E19" i="17"/>
  <c r="F19" i="17" s="1"/>
  <c r="E18" i="17"/>
  <c r="F18" i="17" s="1"/>
  <c r="D17" i="17"/>
  <c r="C17" i="17"/>
  <c r="E17" i="17" s="1"/>
  <c r="E16" i="17"/>
  <c r="F16" i="17" s="1"/>
  <c r="E15" i="17"/>
  <c r="F15" i="17" s="1"/>
  <c r="D22" i="16"/>
  <c r="E22" i="16"/>
  <c r="F22" i="16" s="1"/>
  <c r="C22" i="16"/>
  <c r="F21" i="16"/>
  <c r="E21" i="16"/>
  <c r="F20" i="16"/>
  <c r="E20" i="16"/>
  <c r="D17" i="16"/>
  <c r="E17" i="16"/>
  <c r="F17" i="16" s="1"/>
  <c r="C17" i="16"/>
  <c r="F16" i="16"/>
  <c r="E16" i="16"/>
  <c r="D13" i="16"/>
  <c r="C13" i="16"/>
  <c r="E12" i="16"/>
  <c r="F12" i="16" s="1"/>
  <c r="D107" i="15"/>
  <c r="E107" i="15" s="1"/>
  <c r="C107" i="15"/>
  <c r="E106" i="15"/>
  <c r="F106" i="15" s="1"/>
  <c r="F105" i="15"/>
  <c r="E105" i="15"/>
  <c r="F104" i="15"/>
  <c r="E104" i="15"/>
  <c r="D100" i="15"/>
  <c r="E100" i="15"/>
  <c r="C100" i="15"/>
  <c r="E99" i="15"/>
  <c r="F99" i="15" s="1"/>
  <c r="F98" i="15"/>
  <c r="E98" i="15"/>
  <c r="F97" i="15"/>
  <c r="E97" i="15"/>
  <c r="F96" i="15"/>
  <c r="E96" i="15"/>
  <c r="F95" i="15"/>
  <c r="E95" i="15"/>
  <c r="D92" i="15"/>
  <c r="E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E84" i="15"/>
  <c r="F84" i="15" s="1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D70" i="15"/>
  <c r="E70" i="15" s="1"/>
  <c r="F70" i="15" s="1"/>
  <c r="C70" i="15"/>
  <c r="F69" i="15"/>
  <c r="E69" i="15"/>
  <c r="E68" i="15"/>
  <c r="F68" i="15" s="1"/>
  <c r="D65" i="15"/>
  <c r="E65" i="15" s="1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E60" i="15"/>
  <c r="D55" i="15"/>
  <c r="E55" i="15"/>
  <c r="C55" i="15"/>
  <c r="F55" i="15" s="1"/>
  <c r="F54" i="15"/>
  <c r="E54" i="15"/>
  <c r="F53" i="15"/>
  <c r="E53" i="15"/>
  <c r="D50" i="15"/>
  <c r="E50" i="15"/>
  <c r="C50" i="15"/>
  <c r="F50" i="15" s="1"/>
  <c r="F49" i="15"/>
  <c r="E49" i="15"/>
  <c r="F48" i="15"/>
  <c r="E48" i="15"/>
  <c r="D45" i="15"/>
  <c r="C45" i="15"/>
  <c r="F44" i="15"/>
  <c r="E44" i="15"/>
  <c r="F43" i="15"/>
  <c r="E43" i="15"/>
  <c r="D37" i="15"/>
  <c r="E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 s="1"/>
  <c r="C30" i="15"/>
  <c r="F29" i="15"/>
  <c r="E29" i="15"/>
  <c r="F28" i="15"/>
  <c r="E28" i="15"/>
  <c r="E27" i="15"/>
  <c r="F27" i="15" s="1"/>
  <c r="F26" i="15"/>
  <c r="E26" i="15"/>
  <c r="D23" i="15"/>
  <c r="E23" i="15" s="1"/>
  <c r="C23" i="15"/>
  <c r="F22" i="15"/>
  <c r="E22" i="15"/>
  <c r="E21" i="15"/>
  <c r="F21" i="15" s="1"/>
  <c r="E20" i="15"/>
  <c r="F20" i="15" s="1"/>
  <c r="F19" i="15"/>
  <c r="E19" i="15"/>
  <c r="D16" i="15"/>
  <c r="E16" i="15"/>
  <c r="C16" i="15"/>
  <c r="F15" i="15"/>
  <c r="E15" i="15"/>
  <c r="E14" i="15"/>
  <c r="F14" i="15" s="1"/>
  <c r="F13" i="15"/>
  <c r="E13" i="15"/>
  <c r="E12" i="15"/>
  <c r="F12" i="15" s="1"/>
  <c r="I37" i="14"/>
  <c r="H37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I33" i="14" s="1"/>
  <c r="I36" i="14" s="1"/>
  <c r="I38" i="14" s="1"/>
  <c r="I40" i="14" s="1"/>
  <c r="F17" i="14"/>
  <c r="F33" i="14"/>
  <c r="H33" i="14" s="1"/>
  <c r="H36" i="14" s="1"/>
  <c r="H38" i="14" s="1"/>
  <c r="H40" i="14" s="1"/>
  <c r="E17" i="14"/>
  <c r="E33" i="14"/>
  <c r="E36" i="14" s="1"/>
  <c r="E38" i="14" s="1"/>
  <c r="E40" i="14" s="1"/>
  <c r="D17" i="14"/>
  <c r="D33" i="14"/>
  <c r="D36" i="14" s="1"/>
  <c r="D38" i="14" s="1"/>
  <c r="D40" i="14"/>
  <c r="C17" i="14"/>
  <c r="C33" i="14"/>
  <c r="C36" i="14"/>
  <c r="C38" i="14" s="1"/>
  <c r="C40" i="14" s="1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 s="1"/>
  <c r="D77" i="13" s="1"/>
  <c r="C78" i="13"/>
  <c r="C80" i="13"/>
  <c r="C77" i="13" s="1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C66" i="13"/>
  <c r="C65" i="13" s="1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 s="1"/>
  <c r="E48" i="13"/>
  <c r="E42" i="13" s="1"/>
  <c r="C42" i="13"/>
  <c r="E46" i="13"/>
  <c r="E59" i="13"/>
  <c r="E61" i="13"/>
  <c r="E57" i="13" s="1"/>
  <c r="D46" i="13"/>
  <c r="D59" i="13" s="1"/>
  <c r="D61" i="13" s="1"/>
  <c r="D57" i="13" s="1"/>
  <c r="C46" i="13"/>
  <c r="C48" i="13" s="1"/>
  <c r="C59" i="13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25" i="13"/>
  <c r="E27" i="13"/>
  <c r="C15" i="13"/>
  <c r="E13" i="13"/>
  <c r="E15" i="13" s="1"/>
  <c r="E24" i="13" s="1"/>
  <c r="D13" i="13"/>
  <c r="D25" i="13" s="1"/>
  <c r="D27" i="13" s="1"/>
  <c r="D21" i="13" s="1"/>
  <c r="C13" i="13"/>
  <c r="C25" i="13" s="1"/>
  <c r="D47" i="12"/>
  <c r="C47" i="12"/>
  <c r="E47" i="12" s="1"/>
  <c r="F47" i="12" s="1"/>
  <c r="F46" i="12"/>
  <c r="E46" i="12"/>
  <c r="F45" i="12"/>
  <c r="E45" i="12"/>
  <c r="D40" i="12"/>
  <c r="C40" i="12"/>
  <c r="E40" i="12" s="1"/>
  <c r="F40" i="12" s="1"/>
  <c r="F39" i="12"/>
  <c r="E39" i="12"/>
  <c r="F38" i="12"/>
  <c r="E38" i="12"/>
  <c r="E37" i="12"/>
  <c r="F37" i="12" s="1"/>
  <c r="D32" i="12"/>
  <c r="E32" i="12"/>
  <c r="F32" i="12" s="1"/>
  <c r="C32" i="12"/>
  <c r="F31" i="12"/>
  <c r="E31" i="12"/>
  <c r="E30" i="12"/>
  <c r="F30" i="12" s="1"/>
  <c r="F29" i="12"/>
  <c r="E29" i="12"/>
  <c r="F28" i="12"/>
  <c r="E28" i="12"/>
  <c r="F27" i="12"/>
  <c r="E27" i="12"/>
  <c r="E26" i="12"/>
  <c r="F26" i="12" s="1"/>
  <c r="E25" i="12"/>
  <c r="F25" i="12" s="1"/>
  <c r="F24" i="12"/>
  <c r="E24" i="12"/>
  <c r="F23" i="12"/>
  <c r="E23" i="12"/>
  <c r="F19" i="12"/>
  <c r="E19" i="12"/>
  <c r="E18" i="12"/>
  <c r="F18" i="12" s="1"/>
  <c r="F16" i="12"/>
  <c r="E16" i="12"/>
  <c r="D15" i="12"/>
  <c r="D17" i="12" s="1"/>
  <c r="C15" i="12"/>
  <c r="C17" i="12"/>
  <c r="F14" i="12"/>
  <c r="E14" i="12"/>
  <c r="F13" i="12"/>
  <c r="E13" i="12"/>
  <c r="F12" i="12"/>
  <c r="E12" i="12"/>
  <c r="E11" i="12"/>
  <c r="F11" i="12" s="1"/>
  <c r="D73" i="11"/>
  <c r="E73" i="11"/>
  <c r="F73" i="11" s="1"/>
  <c r="C73" i="11"/>
  <c r="F72" i="11"/>
  <c r="E72" i="1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 s="1"/>
  <c r="E65" i="11"/>
  <c r="C61" i="11"/>
  <c r="C65" i="11"/>
  <c r="F60" i="11"/>
  <c r="E60" i="11"/>
  <c r="F59" i="11"/>
  <c r="E59" i="11"/>
  <c r="D56" i="11"/>
  <c r="D75" i="11"/>
  <c r="C56" i="11"/>
  <c r="E55" i="11"/>
  <c r="F55" i="11" s="1"/>
  <c r="E54" i="11"/>
  <c r="F54" i="11" s="1"/>
  <c r="F53" i="11"/>
  <c r="E53" i="11"/>
  <c r="F52" i="11"/>
  <c r="E52" i="11"/>
  <c r="E51" i="11"/>
  <c r="F51" i="11" s="1"/>
  <c r="A51" i="11"/>
  <c r="A52" i="11" s="1"/>
  <c r="A53" i="11" s="1"/>
  <c r="A54" i="11" s="1"/>
  <c r="A55" i="11" s="1"/>
  <c r="E50" i="11"/>
  <c r="F50" i="11" s="1"/>
  <c r="A50" i="11"/>
  <c r="F49" i="11"/>
  <c r="E49" i="11"/>
  <c r="F40" i="11"/>
  <c r="E40" i="11"/>
  <c r="D38" i="11"/>
  <c r="D41" i="11" s="1"/>
  <c r="C38" i="11"/>
  <c r="E37" i="11"/>
  <c r="F37" i="11" s="1"/>
  <c r="E36" i="11"/>
  <c r="F36" i="11" s="1"/>
  <c r="E33" i="11"/>
  <c r="F33" i="11" s="1"/>
  <c r="F32" i="11"/>
  <c r="E32" i="11"/>
  <c r="F31" i="11"/>
  <c r="E31" i="11"/>
  <c r="D29" i="11"/>
  <c r="E29" i="11"/>
  <c r="C29" i="11"/>
  <c r="F29" i="11" s="1"/>
  <c r="F28" i="11"/>
  <c r="E28" i="11"/>
  <c r="F27" i="11"/>
  <c r="E27" i="11"/>
  <c r="F26" i="11"/>
  <c r="E26" i="11"/>
  <c r="F25" i="11"/>
  <c r="E25" i="11"/>
  <c r="D22" i="11"/>
  <c r="D43" i="11" s="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F13" i="11"/>
  <c r="E13" i="11"/>
  <c r="D120" i="10"/>
  <c r="E120" i="10"/>
  <c r="C120" i="10"/>
  <c r="F120" i="10" s="1"/>
  <c r="F119" i="10"/>
  <c r="D119" i="10"/>
  <c r="E119" i="10"/>
  <c r="C119" i="10"/>
  <c r="D118" i="10"/>
  <c r="E118" i="10" s="1"/>
  <c r="C118" i="10"/>
  <c r="F118" i="10" s="1"/>
  <c r="F117" i="10"/>
  <c r="D117" i="10"/>
  <c r="E117" i="10"/>
  <c r="C117" i="10"/>
  <c r="D116" i="10"/>
  <c r="E116" i="10" s="1"/>
  <c r="C116" i="10"/>
  <c r="F116" i="10" s="1"/>
  <c r="F115" i="10"/>
  <c r="D115" i="10"/>
  <c r="E115" i="10"/>
  <c r="C115" i="10"/>
  <c r="D114" i="10"/>
  <c r="E114" i="10"/>
  <c r="C114" i="10"/>
  <c r="F114" i="10" s="1"/>
  <c r="F113" i="10"/>
  <c r="D113" i="10"/>
  <c r="D122" i="10"/>
  <c r="E122" i="10" s="1"/>
  <c r="C113" i="10"/>
  <c r="C122" i="10"/>
  <c r="F122" i="10" s="1"/>
  <c r="F112" i="10"/>
  <c r="D112" i="10"/>
  <c r="D121" i="10" s="1"/>
  <c r="C112" i="10"/>
  <c r="F108" i="10"/>
  <c r="D108" i="10"/>
  <c r="E108" i="10" s="1"/>
  <c r="C108" i="10"/>
  <c r="D107" i="10"/>
  <c r="E107" i="10" s="1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 s="1"/>
  <c r="C84" i="10"/>
  <c r="F84" i="10" s="1"/>
  <c r="F83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 s="1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206" i="9"/>
  <c r="D206" i="9"/>
  <c r="E206" i="9" s="1"/>
  <c r="C206" i="9"/>
  <c r="D205" i="9"/>
  <c r="E205" i="9"/>
  <c r="C205" i="9"/>
  <c r="D204" i="9"/>
  <c r="E204" i="9"/>
  <c r="F204" i="9"/>
  <c r="C204" i="9"/>
  <c r="D203" i="9"/>
  <c r="E203" i="9"/>
  <c r="C203" i="9"/>
  <c r="F203" i="9" s="1"/>
  <c r="D202" i="9"/>
  <c r="E202" i="9" s="1"/>
  <c r="F202" i="9" s="1"/>
  <c r="C202" i="9"/>
  <c r="D201" i="9"/>
  <c r="E201" i="9"/>
  <c r="C201" i="9"/>
  <c r="D200" i="9"/>
  <c r="C200" i="9"/>
  <c r="D199" i="9"/>
  <c r="D208" i="9"/>
  <c r="C199" i="9"/>
  <c r="C208" i="9"/>
  <c r="D198" i="9"/>
  <c r="C198" i="9"/>
  <c r="F193" i="9"/>
  <c r="D193" i="9"/>
  <c r="E193" i="9" s="1"/>
  <c r="C193" i="9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 s="1"/>
  <c r="C141" i="9"/>
  <c r="D140" i="9"/>
  <c r="E140" i="9" s="1"/>
  <c r="C140" i="9"/>
  <c r="F139" i="9"/>
  <c r="E139" i="9"/>
  <c r="F138" i="9"/>
  <c r="E138" i="9"/>
  <c r="F137" i="9"/>
  <c r="E137" i="9"/>
  <c r="E136" i="9"/>
  <c r="F136" i="9" s="1"/>
  <c r="E135" i="9"/>
  <c r="F135" i="9" s="1"/>
  <c r="F134" i="9"/>
  <c r="E134" i="9"/>
  <c r="E133" i="9"/>
  <c r="F133" i="9" s="1"/>
  <c r="E132" i="9"/>
  <c r="F132" i="9" s="1"/>
  <c r="E131" i="9"/>
  <c r="F131" i="9" s="1"/>
  <c r="D128" i="9"/>
  <c r="C128" i="9"/>
  <c r="D127" i="9"/>
  <c r="E127" i="9"/>
  <c r="C127" i="9"/>
  <c r="F126" i="9"/>
  <c r="E126" i="9"/>
  <c r="E125" i="9"/>
  <c r="F125" i="9" s="1"/>
  <c r="F124" i="9"/>
  <c r="E124" i="9"/>
  <c r="E123" i="9"/>
  <c r="F123" i="9" s="1"/>
  <c r="E122" i="9"/>
  <c r="F122" i="9" s="1"/>
  <c r="E121" i="9"/>
  <c r="F121" i="9" s="1"/>
  <c r="E120" i="9"/>
  <c r="F120" i="9" s="1"/>
  <c r="E119" i="9"/>
  <c r="F119" i="9"/>
  <c r="E118" i="9"/>
  <c r="F118" i="9" s="1"/>
  <c r="D115" i="9"/>
  <c r="C115" i="9"/>
  <c r="D114" i="9"/>
  <c r="C114" i="9"/>
  <c r="F113" i="9"/>
  <c r="E113" i="9"/>
  <c r="E112" i="9"/>
  <c r="F112" i="9" s="1"/>
  <c r="E111" i="9"/>
  <c r="F111" i="9" s="1"/>
  <c r="E110" i="9"/>
  <c r="F110" i="9"/>
  <c r="E109" i="9"/>
  <c r="F109" i="9"/>
  <c r="E108" i="9"/>
  <c r="F108" i="9" s="1"/>
  <c r="E107" i="9"/>
  <c r="F107" i="9"/>
  <c r="E106" i="9"/>
  <c r="F106" i="9" s="1"/>
  <c r="E105" i="9"/>
  <c r="F105" i="9"/>
  <c r="D102" i="9"/>
  <c r="C102" i="9"/>
  <c r="D101" i="9"/>
  <c r="C101" i="9"/>
  <c r="F100" i="9"/>
  <c r="E100" i="9"/>
  <c r="E99" i="9"/>
  <c r="F99" i="9"/>
  <c r="E98" i="9"/>
  <c r="F98" i="9" s="1"/>
  <c r="E97" i="9"/>
  <c r="F97" i="9" s="1"/>
  <c r="E96" i="9"/>
  <c r="F96" i="9" s="1"/>
  <c r="E95" i="9"/>
  <c r="F95" i="9"/>
  <c r="E94" i="9"/>
  <c r="F94" i="9" s="1"/>
  <c r="E93" i="9"/>
  <c r="F93" i="9"/>
  <c r="E92" i="9"/>
  <c r="F92" i="9"/>
  <c r="D89" i="9"/>
  <c r="C89" i="9"/>
  <c r="F89" i="9" s="1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F74" i="9"/>
  <c r="E74" i="9"/>
  <c r="E73" i="9"/>
  <c r="F73" i="9" s="1"/>
  <c r="E72" i="9"/>
  <c r="F72" i="9"/>
  <c r="E71" i="9"/>
  <c r="F71" i="9"/>
  <c r="E70" i="9"/>
  <c r="F70" i="9"/>
  <c r="E69" i="9"/>
  <c r="F69" i="9" s="1"/>
  <c r="E68" i="9"/>
  <c r="F68" i="9"/>
  <c r="E67" i="9"/>
  <c r="F67" i="9"/>
  <c r="E66" i="9"/>
  <c r="F66" i="9" s="1"/>
  <c r="D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C49" i="9"/>
  <c r="F48" i="9"/>
  <c r="E48" i="9"/>
  <c r="E47" i="9"/>
  <c r="F47" i="9"/>
  <c r="E46" i="9"/>
  <c r="F46" i="9" s="1"/>
  <c r="E45" i="9"/>
  <c r="F45" i="9"/>
  <c r="E44" i="9"/>
  <c r="F44" i="9" s="1"/>
  <c r="E43" i="9"/>
  <c r="F43" i="9" s="1"/>
  <c r="E42" i="9"/>
  <c r="F42" i="9"/>
  <c r="E41" i="9"/>
  <c r="F41" i="9"/>
  <c r="E40" i="9"/>
  <c r="F40" i="9" s="1"/>
  <c r="D37" i="9"/>
  <c r="C37" i="9"/>
  <c r="F37" i="9" s="1"/>
  <c r="D36" i="9"/>
  <c r="C36" i="9"/>
  <c r="F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F22" i="9"/>
  <c r="E22" i="9"/>
  <c r="E21" i="9"/>
  <c r="F21" i="9" s="1"/>
  <c r="E20" i="9"/>
  <c r="F20" i="9"/>
  <c r="E19" i="9"/>
  <c r="F19" i="9" s="1"/>
  <c r="E18" i="9"/>
  <c r="F18" i="9"/>
  <c r="E17" i="9"/>
  <c r="F17" i="9"/>
  <c r="E16" i="9"/>
  <c r="F16" i="9"/>
  <c r="E15" i="9"/>
  <c r="F15" i="9" s="1"/>
  <c r="E14" i="9"/>
  <c r="F14" i="9"/>
  <c r="E191" i="8"/>
  <c r="D191" i="8"/>
  <c r="C191" i="8"/>
  <c r="E176" i="8"/>
  <c r="D176" i="8"/>
  <c r="C176" i="8"/>
  <c r="E164" i="8"/>
  <c r="E160" i="8" s="1"/>
  <c r="D164" i="8"/>
  <c r="D160" i="8" s="1"/>
  <c r="C164" i="8"/>
  <c r="E162" i="8"/>
  <c r="D162" i="8"/>
  <c r="C162" i="8"/>
  <c r="E161" i="8"/>
  <c r="D161" i="8"/>
  <c r="C161" i="8"/>
  <c r="C160" i="8"/>
  <c r="C166" i="8" s="1"/>
  <c r="E147" i="8"/>
  <c r="D147" i="8"/>
  <c r="D143" i="8"/>
  <c r="D149" i="8" s="1"/>
  <c r="C147" i="8"/>
  <c r="C143" i="8" s="1"/>
  <c r="C149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/>
  <c r="E89" i="8"/>
  <c r="D89" i="8"/>
  <c r="C89" i="8"/>
  <c r="E87" i="8"/>
  <c r="D87" i="8"/>
  <c r="C87" i="8"/>
  <c r="E84" i="8"/>
  <c r="E79" i="8" s="1"/>
  <c r="D84" i="8"/>
  <c r="C84" i="8"/>
  <c r="E83" i="8"/>
  <c r="D83" i="8"/>
  <c r="C83" i="8"/>
  <c r="C79" i="8"/>
  <c r="D79" i="8"/>
  <c r="E75" i="8"/>
  <c r="D75" i="8"/>
  <c r="D88" i="8" s="1"/>
  <c r="D90" i="8"/>
  <c r="C75" i="8"/>
  <c r="C77" i="8" s="1"/>
  <c r="C71" i="8" s="1"/>
  <c r="E74" i="8"/>
  <c r="D74" i="8"/>
  <c r="C74" i="8"/>
  <c r="E67" i="8"/>
  <c r="D67" i="8"/>
  <c r="C67" i="8"/>
  <c r="D43" i="8"/>
  <c r="E38" i="8"/>
  <c r="E57" i="8" s="1"/>
  <c r="E62" i="8" s="1"/>
  <c r="D38" i="8"/>
  <c r="C38" i="8"/>
  <c r="C57" i="8"/>
  <c r="C62" i="8" s="1"/>
  <c r="E33" i="8"/>
  <c r="E34" i="8"/>
  <c r="D33" i="8"/>
  <c r="D34" i="8" s="1"/>
  <c r="E26" i="8"/>
  <c r="D26" i="8"/>
  <c r="C26" i="8"/>
  <c r="E15" i="8"/>
  <c r="E24" i="8"/>
  <c r="E20" i="8" s="1"/>
  <c r="E13" i="8"/>
  <c r="E25" i="8" s="1"/>
  <c r="E27" i="8" s="1"/>
  <c r="D13" i="8"/>
  <c r="D25" i="8"/>
  <c r="D27" i="8" s="1"/>
  <c r="C13" i="8"/>
  <c r="F186" i="7"/>
  <c r="E186" i="7"/>
  <c r="D183" i="7"/>
  <c r="C183" i="7"/>
  <c r="C188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E176" i="7"/>
  <c r="F176" i="7" s="1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C167" i="7"/>
  <c r="F167" i="7" s="1"/>
  <c r="F166" i="7"/>
  <c r="E166" i="7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F155" i="7"/>
  <c r="E155" i="7"/>
  <c r="F154" i="7"/>
  <c r="E154" i="7"/>
  <c r="F153" i="7"/>
  <c r="E153" i="7"/>
  <c r="E152" i="7"/>
  <c r="F152" i="7" s="1"/>
  <c r="E151" i="7"/>
  <c r="F151" i="7" s="1"/>
  <c r="F150" i="7"/>
  <c r="E150" i="7"/>
  <c r="F149" i="7"/>
  <c r="E149" i="7"/>
  <c r="E148" i="7"/>
  <c r="F148" i="7" s="1"/>
  <c r="E147" i="7"/>
  <c r="F147" i="7" s="1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E136" i="7"/>
  <c r="F136" i="7" s="1"/>
  <c r="E135" i="7"/>
  <c r="F135" i="7" s="1"/>
  <c r="E134" i="7"/>
  <c r="F134" i="7" s="1"/>
  <c r="F133" i="7"/>
  <c r="E133" i="7"/>
  <c r="D130" i="7"/>
  <c r="E130" i="7"/>
  <c r="C130" i="7"/>
  <c r="F129" i="7"/>
  <c r="E129" i="7"/>
  <c r="F128" i="7"/>
  <c r="E128" i="7"/>
  <c r="E127" i="7"/>
  <c r="F127" i="7" s="1"/>
  <c r="E126" i="7"/>
  <c r="F126" i="7" s="1"/>
  <c r="F125" i="7"/>
  <c r="E125" i="7"/>
  <c r="E124" i="7"/>
  <c r="F124" i="7" s="1"/>
  <c r="D121" i="7"/>
  <c r="E121" i="7"/>
  <c r="C121" i="7"/>
  <c r="F120" i="7"/>
  <c r="E120" i="7"/>
  <c r="E119" i="7"/>
  <c r="F119" i="7" s="1"/>
  <c r="E118" i="7"/>
  <c r="F118" i="7" s="1"/>
  <c r="E117" i="7"/>
  <c r="F117" i="7" s="1"/>
  <c r="F116" i="7"/>
  <c r="E116" i="7"/>
  <c r="F115" i="7"/>
  <c r="E115" i="7"/>
  <c r="E114" i="7"/>
  <c r="F114" i="7" s="1"/>
  <c r="E113" i="7"/>
  <c r="F113" i="7" s="1"/>
  <c r="E112" i="7"/>
  <c r="F112" i="7" s="1"/>
  <c r="F111" i="7"/>
  <c r="E111" i="7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F104" i="7"/>
  <c r="E104" i="7"/>
  <c r="E103" i="7"/>
  <c r="F103" i="7" s="1"/>
  <c r="E93" i="7"/>
  <c r="F93" i="7" s="1"/>
  <c r="D90" i="7"/>
  <c r="C90" i="7"/>
  <c r="C95" i="7"/>
  <c r="F89" i="7"/>
  <c r="E89" i="7"/>
  <c r="F88" i="7"/>
  <c r="E88" i="7"/>
  <c r="E87" i="7"/>
  <c r="F87" i="7" s="1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E75" i="7"/>
  <c r="F75" i="7" s="1"/>
  <c r="E74" i="7"/>
  <c r="F74" i="7" s="1"/>
  <c r="F73" i="7"/>
  <c r="E73" i="7"/>
  <c r="F72" i="7"/>
  <c r="E72" i="7"/>
  <c r="E71" i="7"/>
  <c r="F71" i="7" s="1"/>
  <c r="E70" i="7"/>
  <c r="F70" i="7" s="1"/>
  <c r="F69" i="7"/>
  <c r="E69" i="7"/>
  <c r="F68" i="7"/>
  <c r="E68" i="7"/>
  <c r="E67" i="7"/>
  <c r="F67" i="7" s="1"/>
  <c r="F66" i="7"/>
  <c r="E66" i="7"/>
  <c r="F65" i="7"/>
  <c r="E65" i="7"/>
  <c r="F64" i="7"/>
  <c r="E64" i="7"/>
  <c r="E63" i="7"/>
  <c r="F63" i="7" s="1"/>
  <c r="E62" i="7"/>
  <c r="F62" i="7" s="1"/>
  <c r="D59" i="7"/>
  <c r="E59" i="7" s="1"/>
  <c r="F59" i="7" s="1"/>
  <c r="C59" i="7"/>
  <c r="E58" i="7"/>
  <c r="F58" i="7" s="1"/>
  <c r="F57" i="7"/>
  <c r="E57" i="7"/>
  <c r="F56" i="7"/>
  <c r="E56" i="7"/>
  <c r="F55" i="7"/>
  <c r="E55" i="7"/>
  <c r="E54" i="7"/>
  <c r="F54" i="7" s="1"/>
  <c r="E53" i="7"/>
  <c r="F53" i="7" s="1"/>
  <c r="F50" i="7"/>
  <c r="E50" i="7"/>
  <c r="F47" i="7"/>
  <c r="E47" i="7"/>
  <c r="F44" i="7"/>
  <c r="E44" i="7"/>
  <c r="D41" i="7"/>
  <c r="E41" i="7"/>
  <c r="F41" i="7" s="1"/>
  <c r="C41" i="7"/>
  <c r="F40" i="7"/>
  <c r="E40" i="7"/>
  <c r="E39" i="7"/>
  <c r="F39" i="7" s="1"/>
  <c r="F38" i="7"/>
  <c r="E38" i="7"/>
  <c r="D35" i="7"/>
  <c r="E35" i="7" s="1"/>
  <c r="F35" i="7" s="1"/>
  <c r="C35" i="7"/>
  <c r="E34" i="7"/>
  <c r="F34" i="7" s="1"/>
  <c r="F33" i="7"/>
  <c r="E33" i="7"/>
  <c r="D30" i="7"/>
  <c r="E30" i="7" s="1"/>
  <c r="F30" i="7" s="1"/>
  <c r="C30" i="7"/>
  <c r="F29" i="7"/>
  <c r="E29" i="7"/>
  <c r="F28" i="7"/>
  <c r="E28" i="7"/>
  <c r="F27" i="7"/>
  <c r="E27" i="7"/>
  <c r="D24" i="7"/>
  <c r="C24" i="7"/>
  <c r="F23" i="7"/>
  <c r="E23" i="7"/>
  <c r="F22" i="7"/>
  <c r="E22" i="7"/>
  <c r="F21" i="7"/>
  <c r="E21" i="7"/>
  <c r="D18" i="7"/>
  <c r="E18" i="7"/>
  <c r="F18" i="7" s="1"/>
  <c r="C18" i="7"/>
  <c r="F17" i="7"/>
  <c r="E17" i="7"/>
  <c r="F16" i="7"/>
  <c r="E16" i="7"/>
  <c r="E15" i="7"/>
  <c r="F15" i="7" s="1"/>
  <c r="D179" i="6"/>
  <c r="E179" i="6" s="1"/>
  <c r="F179" i="6" s="1"/>
  <c r="C179" i="6"/>
  <c r="E178" i="6"/>
  <c r="F178" i="6" s="1"/>
  <c r="F177" i="6"/>
  <c r="E177" i="6"/>
  <c r="F176" i="6"/>
  <c r="E176" i="6"/>
  <c r="F175" i="6"/>
  <c r="E175" i="6"/>
  <c r="E174" i="6"/>
  <c r="F174" i="6" s="1"/>
  <c r="F173" i="6"/>
  <c r="E173" i="6"/>
  <c r="F172" i="6"/>
  <c r="E172" i="6"/>
  <c r="F171" i="6"/>
  <c r="E171" i="6"/>
  <c r="E170" i="6"/>
  <c r="F170" i="6" s="1"/>
  <c r="F169" i="6"/>
  <c r="E169" i="6"/>
  <c r="E168" i="6"/>
  <c r="F168" i="6" s="1"/>
  <c r="D166" i="6"/>
  <c r="E166" i="6" s="1"/>
  <c r="C166" i="6"/>
  <c r="E165" i="6"/>
  <c r="F165" i="6" s="1"/>
  <c r="F164" i="6"/>
  <c r="E164" i="6"/>
  <c r="E163" i="6"/>
  <c r="F163" i="6" s="1"/>
  <c r="E162" i="6"/>
  <c r="F162" i="6" s="1"/>
  <c r="E161" i="6"/>
  <c r="F161" i="6" s="1"/>
  <c r="F160" i="6"/>
  <c r="E160" i="6"/>
  <c r="E159" i="6"/>
  <c r="F159" i="6" s="1"/>
  <c r="F158" i="6"/>
  <c r="E158" i="6"/>
  <c r="E157" i="6"/>
  <c r="F157" i="6" s="1"/>
  <c r="E156" i="6"/>
  <c r="F156" i="6" s="1"/>
  <c r="F155" i="6"/>
  <c r="E155" i="6"/>
  <c r="D153" i="6"/>
  <c r="E153" i="6"/>
  <c r="C153" i="6"/>
  <c r="F152" i="6"/>
  <c r="E152" i="6"/>
  <c r="F151" i="6"/>
  <c r="E151" i="6"/>
  <c r="E150" i="6"/>
  <c r="F150" i="6" s="1"/>
  <c r="E149" i="6"/>
  <c r="F149" i="6" s="1"/>
  <c r="F148" i="6"/>
  <c r="E148" i="6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E137" i="6" s="1"/>
  <c r="F137" i="6" s="1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E127" i="6"/>
  <c r="F127" i="6" s="1"/>
  <c r="F126" i="6"/>
  <c r="E126" i="6"/>
  <c r="D124" i="6"/>
  <c r="C124" i="6"/>
  <c r="E123" i="6"/>
  <c r="F123" i="6" s="1"/>
  <c r="F122" i="6"/>
  <c r="E122" i="6"/>
  <c r="E121" i="6"/>
  <c r="F121" i="6" s="1"/>
  <c r="F120" i="6"/>
  <c r="E120" i="6"/>
  <c r="E119" i="6"/>
  <c r="F119" i="6" s="1"/>
  <c r="F118" i="6"/>
  <c r="E118" i="6"/>
  <c r="F117" i="6"/>
  <c r="E117" i="6"/>
  <c r="F116" i="6"/>
  <c r="E116" i="6"/>
  <c r="E115" i="6"/>
  <c r="F115" i="6" s="1"/>
  <c r="F114" i="6"/>
  <c r="E114" i="6"/>
  <c r="E113" i="6"/>
  <c r="F113" i="6" s="1"/>
  <c r="D111" i="6"/>
  <c r="E111" i="6"/>
  <c r="C111" i="6"/>
  <c r="E110" i="6"/>
  <c r="F110" i="6" s="1"/>
  <c r="F109" i="6"/>
  <c r="E109" i="6"/>
  <c r="E108" i="6"/>
  <c r="F108" i="6" s="1"/>
  <c r="E107" i="6"/>
  <c r="F107" i="6" s="1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E94" i="6"/>
  <c r="C94" i="6"/>
  <c r="F94" i="6" s="1"/>
  <c r="F93" i="6"/>
  <c r="D93" i="6"/>
  <c r="E93" i="6" s="1"/>
  <c r="C93" i="6"/>
  <c r="D92" i="6"/>
  <c r="E92" i="6"/>
  <c r="C92" i="6"/>
  <c r="F92" i="6" s="1"/>
  <c r="D91" i="6"/>
  <c r="E91" i="6" s="1"/>
  <c r="F91" i="6"/>
  <c r="C91" i="6"/>
  <c r="D90" i="6"/>
  <c r="E90" i="6"/>
  <c r="F90" i="6" s="1"/>
  <c r="C90" i="6"/>
  <c r="D89" i="6"/>
  <c r="C89" i="6"/>
  <c r="F89" i="6" s="1"/>
  <c r="D88" i="6"/>
  <c r="E88" i="6"/>
  <c r="C88" i="6"/>
  <c r="F88" i="6" s="1"/>
  <c r="F87" i="6"/>
  <c r="D87" i="6"/>
  <c r="E87" i="6" s="1"/>
  <c r="C87" i="6"/>
  <c r="D86" i="6"/>
  <c r="E86" i="6"/>
  <c r="C86" i="6"/>
  <c r="D85" i="6"/>
  <c r="E85" i="6"/>
  <c r="F85" i="6" s="1"/>
  <c r="C85" i="6"/>
  <c r="D84" i="6"/>
  <c r="D95" i="6"/>
  <c r="C84" i="6"/>
  <c r="D81" i="6"/>
  <c r="C81" i="6"/>
  <c r="E81" i="6" s="1"/>
  <c r="F81" i="6" s="1"/>
  <c r="E80" i="6"/>
  <c r="F80" i="6" s="1"/>
  <c r="F79" i="6"/>
  <c r="E79" i="6"/>
  <c r="F78" i="6"/>
  <c r="E78" i="6"/>
  <c r="E77" i="6"/>
  <c r="F77" i="6" s="1"/>
  <c r="E76" i="6"/>
  <c r="F76" i="6" s="1"/>
  <c r="F75" i="6"/>
  <c r="E75" i="6"/>
  <c r="F74" i="6"/>
  <c r="E74" i="6"/>
  <c r="F73" i="6"/>
  <c r="E73" i="6"/>
  <c r="E72" i="6"/>
  <c r="F72" i="6" s="1"/>
  <c r="E71" i="6"/>
  <c r="F71" i="6" s="1"/>
  <c r="F70" i="6"/>
  <c r="E70" i="6"/>
  <c r="D68" i="6"/>
  <c r="E68" i="6" s="1"/>
  <c r="C68" i="6"/>
  <c r="E67" i="6"/>
  <c r="F67" i="6" s="1"/>
  <c r="F66" i="6"/>
  <c r="E66" i="6"/>
  <c r="F65" i="6"/>
  <c r="E65" i="6"/>
  <c r="F64" i="6"/>
  <c r="E64" i="6"/>
  <c r="E63" i="6"/>
  <c r="F63" i="6" s="1"/>
  <c r="F62" i="6"/>
  <c r="E62" i="6"/>
  <c r="F61" i="6"/>
  <c r="E61" i="6"/>
  <c r="F60" i="6"/>
  <c r="E60" i="6"/>
  <c r="E59" i="6"/>
  <c r="F59" i="6" s="1"/>
  <c r="F58" i="6"/>
  <c r="E58" i="6"/>
  <c r="F57" i="6"/>
  <c r="E57" i="6"/>
  <c r="D51" i="6"/>
  <c r="E51" i="6" s="1"/>
  <c r="C51" i="6"/>
  <c r="F50" i="6"/>
  <c r="D50" i="6"/>
  <c r="E50" i="6"/>
  <c r="C50" i="6"/>
  <c r="D49" i="6"/>
  <c r="C49" i="6"/>
  <c r="D48" i="6"/>
  <c r="E48" i="6" s="1"/>
  <c r="F48" i="6" s="1"/>
  <c r="C48" i="6"/>
  <c r="D47" i="6"/>
  <c r="C47" i="6"/>
  <c r="F46" i="6"/>
  <c r="D46" i="6"/>
  <c r="E46" i="6" s="1"/>
  <c r="C46" i="6"/>
  <c r="D45" i="6"/>
  <c r="C45" i="6"/>
  <c r="F44" i="6"/>
  <c r="D44" i="6"/>
  <c r="E44" i="6" s="1"/>
  <c r="C44" i="6"/>
  <c r="D43" i="6"/>
  <c r="E43" i="6" s="1"/>
  <c r="C43" i="6"/>
  <c r="D42" i="6"/>
  <c r="E42" i="6"/>
  <c r="F42" i="6" s="1"/>
  <c r="C42" i="6"/>
  <c r="D41" i="6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 s="1"/>
  <c r="C25" i="6"/>
  <c r="F24" i="6"/>
  <c r="E24" i="6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C48" i="5"/>
  <c r="E48" i="5" s="1"/>
  <c r="F47" i="5"/>
  <c r="E47" i="5"/>
  <c r="F46" i="5"/>
  <c r="E46" i="5"/>
  <c r="D41" i="5"/>
  <c r="C41" i="5"/>
  <c r="E41" i="5" s="1"/>
  <c r="F40" i="5"/>
  <c r="E40" i="5"/>
  <c r="F39" i="5"/>
  <c r="E39" i="5"/>
  <c r="E38" i="5"/>
  <c r="F38" i="5" s="1"/>
  <c r="D33" i="5"/>
  <c r="D35" i="5" s="1"/>
  <c r="C33" i="5"/>
  <c r="F32" i="5"/>
  <c r="E32" i="5"/>
  <c r="F31" i="5"/>
  <c r="E31" i="5"/>
  <c r="E30" i="5"/>
  <c r="F30" i="5" s="1"/>
  <c r="F29" i="5"/>
  <c r="E29" i="5"/>
  <c r="F28" i="5"/>
  <c r="E28" i="5"/>
  <c r="F27" i="5"/>
  <c r="E27" i="5"/>
  <c r="E26" i="5"/>
  <c r="F26" i="5" s="1"/>
  <c r="E25" i="5"/>
  <c r="F25" i="5" s="1"/>
  <c r="F24" i="5"/>
  <c r="E24" i="5"/>
  <c r="F20" i="5"/>
  <c r="E20" i="5"/>
  <c r="E19" i="5"/>
  <c r="F19" i="5" s="1"/>
  <c r="E17" i="5"/>
  <c r="F17" i="5" s="1"/>
  <c r="D16" i="5"/>
  <c r="D18" i="5" s="1"/>
  <c r="C16" i="5"/>
  <c r="F15" i="5"/>
  <c r="E15" i="5"/>
  <c r="E14" i="5"/>
  <c r="F14" i="5" s="1"/>
  <c r="F13" i="5"/>
  <c r="E13" i="5"/>
  <c r="F12" i="5"/>
  <c r="E12" i="5"/>
  <c r="D73" i="4"/>
  <c r="E73" i="4"/>
  <c r="C73" i="4"/>
  <c r="F72" i="4"/>
  <c r="E72" i="4"/>
  <c r="E71" i="4"/>
  <c r="F71" i="4" s="1"/>
  <c r="F70" i="4"/>
  <c r="E70" i="4"/>
  <c r="F67" i="4"/>
  <c r="E67" i="4"/>
  <c r="F64" i="4"/>
  <c r="E64" i="4"/>
  <c r="E63" i="4"/>
  <c r="F63" i="4" s="1"/>
  <c r="D61" i="4"/>
  <c r="E61" i="4" s="1"/>
  <c r="F61" i="4" s="1"/>
  <c r="D65" i="4"/>
  <c r="E65" i="4" s="1"/>
  <c r="C61" i="4"/>
  <c r="C65" i="4"/>
  <c r="F60" i="4"/>
  <c r="E60" i="4"/>
  <c r="F59" i="4"/>
  <c r="E59" i="4"/>
  <c r="D56" i="4"/>
  <c r="D75" i="4" s="1"/>
  <c r="C56" i="4"/>
  <c r="E55" i="4"/>
  <c r="F55" i="4" s="1"/>
  <c r="F54" i="4"/>
  <c r="E54" i="4"/>
  <c r="F53" i="4"/>
  <c r="E53" i="4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F40" i="4"/>
  <c r="E40" i="4"/>
  <c r="D38" i="4"/>
  <c r="D41" i="4" s="1"/>
  <c r="C38" i="4"/>
  <c r="C41" i="4"/>
  <c r="E37" i="4"/>
  <c r="F37" i="4" s="1"/>
  <c r="E36" i="4"/>
  <c r="F36" i="4" s="1"/>
  <c r="E33" i="4"/>
  <c r="F33" i="4" s="1"/>
  <c r="F32" i="4"/>
  <c r="E32" i="4"/>
  <c r="E31" i="4"/>
  <c r="F31" i="4" s="1"/>
  <c r="D29" i="4"/>
  <c r="E29" i="4"/>
  <c r="C29" i="4"/>
  <c r="F29" i="4" s="1"/>
  <c r="E28" i="4"/>
  <c r="F28" i="4" s="1"/>
  <c r="F27" i="4"/>
  <c r="E27" i="4"/>
  <c r="F26" i="4"/>
  <c r="E26" i="4"/>
  <c r="F25" i="4"/>
  <c r="E25" i="4"/>
  <c r="D22" i="4"/>
  <c r="E22" i="4" s="1"/>
  <c r="D43" i="4"/>
  <c r="C22" i="4"/>
  <c r="F21" i="4"/>
  <c r="E21" i="4"/>
  <c r="E20" i="4"/>
  <c r="F20" i="4" s="1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E109" i="22"/>
  <c r="E108" i="22"/>
  <c r="D108" i="22"/>
  <c r="D109" i="22"/>
  <c r="D22" i="22"/>
  <c r="C23" i="22"/>
  <c r="C34" i="22"/>
  <c r="C22" i="22"/>
  <c r="F45" i="20"/>
  <c r="D41" i="20"/>
  <c r="E19" i="20"/>
  <c r="F19" i="20" s="1"/>
  <c r="E43" i="20"/>
  <c r="F43" i="20" s="1"/>
  <c r="C46" i="20"/>
  <c r="C22" i="19"/>
  <c r="E21" i="18"/>
  <c r="D22" i="18"/>
  <c r="D66" i="18"/>
  <c r="D295" i="18"/>
  <c r="E71" i="18"/>
  <c r="E32" i="18"/>
  <c r="E36" i="18"/>
  <c r="E54" i="18"/>
  <c r="C289" i="18"/>
  <c r="E289" i="18"/>
  <c r="C71" i="18"/>
  <c r="C65" i="18"/>
  <c r="E60" i="18"/>
  <c r="C144" i="18"/>
  <c r="E151" i="18"/>
  <c r="D163" i="18"/>
  <c r="E163" i="18"/>
  <c r="C175" i="18"/>
  <c r="C261" i="18"/>
  <c r="C189" i="18"/>
  <c r="E188" i="18"/>
  <c r="D260" i="18"/>
  <c r="E260" i="18" s="1"/>
  <c r="E210" i="18"/>
  <c r="D239" i="18"/>
  <c r="E239" i="18" s="1"/>
  <c r="E215" i="18"/>
  <c r="E240" i="18"/>
  <c r="D245" i="18"/>
  <c r="E245" i="18"/>
  <c r="E221" i="18"/>
  <c r="E302" i="18"/>
  <c r="C303" i="18"/>
  <c r="C306" i="18"/>
  <c r="C310" i="18" s="1"/>
  <c r="E139" i="18"/>
  <c r="E205" i="18"/>
  <c r="C211" i="18"/>
  <c r="C235" i="18"/>
  <c r="E216" i="18"/>
  <c r="C217" i="18"/>
  <c r="C241" i="18" s="1"/>
  <c r="D243" i="18"/>
  <c r="E219" i="18"/>
  <c r="C229" i="18"/>
  <c r="E229" i="18"/>
  <c r="D306" i="18"/>
  <c r="D320" i="18"/>
  <c r="E320" i="18" s="1"/>
  <c r="E316" i="18"/>
  <c r="E265" i="18"/>
  <c r="E314" i="18"/>
  <c r="E233" i="18"/>
  <c r="E301" i="18"/>
  <c r="E48" i="17"/>
  <c r="D61" i="17"/>
  <c r="E60" i="17"/>
  <c r="F60" i="17"/>
  <c r="C32" i="17"/>
  <c r="C90" i="17"/>
  <c r="F48" i="17"/>
  <c r="C61" i="17"/>
  <c r="C21" i="17"/>
  <c r="E30" i="17"/>
  <c r="F30" i="17"/>
  <c r="E47" i="17"/>
  <c r="F47" i="17" s="1"/>
  <c r="E59" i="17"/>
  <c r="F59" i="17"/>
  <c r="E66" i="17"/>
  <c r="C68" i="17"/>
  <c r="D277" i="17"/>
  <c r="D261" i="17"/>
  <c r="D206" i="17"/>
  <c r="E206" i="17" s="1"/>
  <c r="F206" i="17" s="1"/>
  <c r="D214" i="17"/>
  <c r="E214" i="17" s="1"/>
  <c r="F214" i="17" s="1"/>
  <c r="E188" i="17"/>
  <c r="F188" i="17" s="1"/>
  <c r="D264" i="17"/>
  <c r="D300" i="17" s="1"/>
  <c r="D192" i="17"/>
  <c r="D193" i="17"/>
  <c r="D194" i="17" s="1"/>
  <c r="D21" i="17"/>
  <c r="D49" i="17" s="1"/>
  <c r="E67" i="17"/>
  <c r="F67" i="17"/>
  <c r="D102" i="17"/>
  <c r="D111" i="17"/>
  <c r="D124" i="17"/>
  <c r="D125" i="17" s="1"/>
  <c r="D159" i="17"/>
  <c r="D172" i="17"/>
  <c r="D173" i="17" s="1"/>
  <c r="D181" i="17"/>
  <c r="D278" i="17"/>
  <c r="D288" i="17" s="1"/>
  <c r="D291" i="17" s="1"/>
  <c r="D305" i="17" s="1"/>
  <c r="D309" i="17" s="1"/>
  <c r="D262" i="17"/>
  <c r="D215" i="17"/>
  <c r="C277" i="17"/>
  <c r="C261" i="17"/>
  <c r="C268" i="17" s="1"/>
  <c r="C254" i="17"/>
  <c r="C214" i="17"/>
  <c r="C278" i="17"/>
  <c r="C262" i="17"/>
  <c r="C190" i="17"/>
  <c r="C280" i="17"/>
  <c r="C264" i="17"/>
  <c r="C192" i="17"/>
  <c r="C290" i="17"/>
  <c r="C274" i="17"/>
  <c r="E198" i="17"/>
  <c r="F198" i="17" s="1"/>
  <c r="C199" i="17"/>
  <c r="C200" i="17"/>
  <c r="C283" i="17"/>
  <c r="C267" i="17"/>
  <c r="E203" i="17"/>
  <c r="F203" i="17"/>
  <c r="E204" i="17"/>
  <c r="F204" i="17"/>
  <c r="C205" i="17"/>
  <c r="C206" i="17"/>
  <c r="D227" i="17"/>
  <c r="D274" i="17"/>
  <c r="E274" i="17"/>
  <c r="F274" i="17" s="1"/>
  <c r="E290" i="17"/>
  <c r="D199" i="17"/>
  <c r="E199" i="17" s="1"/>
  <c r="F199" i="17" s="1"/>
  <c r="D286" i="17"/>
  <c r="D205" i="17"/>
  <c r="E205" i="17" s="1"/>
  <c r="D306" i="17"/>
  <c r="E306" i="17"/>
  <c r="E250" i="17"/>
  <c r="F250" i="17"/>
  <c r="D267" i="17"/>
  <c r="D269" i="17"/>
  <c r="E311" i="17"/>
  <c r="F100" i="15"/>
  <c r="F107" i="15"/>
  <c r="F36" i="14"/>
  <c r="F38" i="14" s="1"/>
  <c r="F40" i="14" s="1"/>
  <c r="I17" i="14"/>
  <c r="D31" i="14"/>
  <c r="F31" i="14"/>
  <c r="H31" i="14" s="1"/>
  <c r="H17" i="14"/>
  <c r="D15" i="13"/>
  <c r="E17" i="13"/>
  <c r="E28" i="13" s="1"/>
  <c r="E70" i="13" s="1"/>
  <c r="E72" i="13" s="1"/>
  <c r="E69" i="13" s="1"/>
  <c r="C20" i="12"/>
  <c r="D20" i="12"/>
  <c r="E17" i="12"/>
  <c r="E15" i="12"/>
  <c r="F15" i="12" s="1"/>
  <c r="F65" i="11"/>
  <c r="E22" i="11"/>
  <c r="F22" i="11" s="1"/>
  <c r="E38" i="11"/>
  <c r="E56" i="11"/>
  <c r="E61" i="11"/>
  <c r="F61" i="11"/>
  <c r="E112" i="10"/>
  <c r="E113" i="10"/>
  <c r="E24" i="9"/>
  <c r="F24" i="9" s="1"/>
  <c r="E37" i="9"/>
  <c r="E208" i="9"/>
  <c r="E23" i="9"/>
  <c r="F23" i="9" s="1"/>
  <c r="E36" i="9"/>
  <c r="E49" i="9"/>
  <c r="F49" i="9" s="1"/>
  <c r="F102" i="9"/>
  <c r="F208" i="9"/>
  <c r="E198" i="9"/>
  <c r="F198" i="9" s="1"/>
  <c r="E199" i="9"/>
  <c r="F199" i="9"/>
  <c r="E62" i="9"/>
  <c r="E63" i="9"/>
  <c r="E75" i="9"/>
  <c r="F75" i="9" s="1"/>
  <c r="E76" i="9"/>
  <c r="F76" i="9" s="1"/>
  <c r="E89" i="9"/>
  <c r="E101" i="9"/>
  <c r="F101" i="9" s="1"/>
  <c r="E102" i="9"/>
  <c r="E114" i="9"/>
  <c r="F114" i="9" s="1"/>
  <c r="E115" i="9"/>
  <c r="F115" i="9" s="1"/>
  <c r="C140" i="8"/>
  <c r="C136" i="8"/>
  <c r="E21" i="8"/>
  <c r="E140" i="8"/>
  <c r="E139" i="8"/>
  <c r="E137" i="8"/>
  <c r="C157" i="8"/>
  <c r="C155" i="8"/>
  <c r="C153" i="8"/>
  <c r="C154" i="8"/>
  <c r="D15" i="8"/>
  <c r="E17" i="8"/>
  <c r="C43" i="8"/>
  <c r="E43" i="8"/>
  <c r="C53" i="8"/>
  <c r="E53" i="8"/>
  <c r="D77" i="8"/>
  <c r="D71" i="8"/>
  <c r="C49" i="8"/>
  <c r="E49" i="8"/>
  <c r="E90" i="7"/>
  <c r="F90" i="7" s="1"/>
  <c r="E41" i="6"/>
  <c r="E84" i="6"/>
  <c r="F84" i="6"/>
  <c r="D21" i="5"/>
  <c r="F73" i="4"/>
  <c r="F22" i="4"/>
  <c r="E38" i="4"/>
  <c r="F38" i="4" s="1"/>
  <c r="E56" i="4"/>
  <c r="F56" i="4" s="1"/>
  <c r="C54" i="22"/>
  <c r="C46" i="22"/>
  <c r="C40" i="22"/>
  <c r="C36" i="22"/>
  <c r="C30" i="22"/>
  <c r="C53" i="22"/>
  <c r="C45" i="22"/>
  <c r="C39" i="22"/>
  <c r="C35" i="22"/>
  <c r="C29" i="22"/>
  <c r="C55" i="22" s="1"/>
  <c r="D110" i="22"/>
  <c r="D53" i="22"/>
  <c r="D45" i="22"/>
  <c r="D39" i="22"/>
  <c r="D35" i="22"/>
  <c r="D29" i="22"/>
  <c r="E65" i="18"/>
  <c r="D252" i="18"/>
  <c r="E243" i="18"/>
  <c r="D266" i="17"/>
  <c r="F205" i="17"/>
  <c r="D255" i="17"/>
  <c r="E278" i="17"/>
  <c r="D196" i="17"/>
  <c r="D197" i="17" s="1"/>
  <c r="D161" i="17"/>
  <c r="D126" i="17"/>
  <c r="D127" i="17" s="1"/>
  <c r="E264" i="17"/>
  <c r="F264" i="17" s="1"/>
  <c r="E277" i="17"/>
  <c r="D287" i="17"/>
  <c r="D284" i="17"/>
  <c r="E284" i="17" s="1"/>
  <c r="D279" i="17"/>
  <c r="E279" i="17" s="1"/>
  <c r="C304" i="17"/>
  <c r="C91" i="17"/>
  <c r="C49" i="17"/>
  <c r="C104" i="17"/>
  <c r="F290" i="17"/>
  <c r="C300" i="17"/>
  <c r="F278" i="17"/>
  <c r="C287" i="17"/>
  <c r="C284" i="17"/>
  <c r="C279" i="17"/>
  <c r="F277" i="17"/>
  <c r="D263" i="17"/>
  <c r="C105" i="17"/>
  <c r="C62" i="17"/>
  <c r="E68" i="17"/>
  <c r="F68" i="17"/>
  <c r="D160" i="17"/>
  <c r="D62" i="17"/>
  <c r="E62" i="17" s="1"/>
  <c r="D175" i="17"/>
  <c r="D176" i="17" s="1"/>
  <c r="D24" i="13"/>
  <c r="D20" i="13"/>
  <c r="D17" i="13"/>
  <c r="D28" i="13"/>
  <c r="D34" i="12"/>
  <c r="D24" i="8"/>
  <c r="D20" i="8"/>
  <c r="D17" i="8"/>
  <c r="D112" i="8" s="1"/>
  <c r="D111" i="8" s="1"/>
  <c r="E112" i="8"/>
  <c r="E111" i="8" s="1"/>
  <c r="E28" i="8"/>
  <c r="E99" i="8" s="1"/>
  <c r="E101" i="8" s="1"/>
  <c r="D55" i="22"/>
  <c r="C56" i="22"/>
  <c r="C48" i="22"/>
  <c r="C38" i="22"/>
  <c r="C47" i="22"/>
  <c r="C37" i="22"/>
  <c r="C106" i="17"/>
  <c r="C50" i="17"/>
  <c r="C92" i="17"/>
  <c r="F279" i="17"/>
  <c r="F284" i="17"/>
  <c r="D195" i="17"/>
  <c r="D70" i="13"/>
  <c r="D72" i="13" s="1"/>
  <c r="D69" i="13" s="1"/>
  <c r="D22" i="13"/>
  <c r="D42" i="12"/>
  <c r="D28" i="8"/>
  <c r="D99" i="8" s="1"/>
  <c r="D101" i="8" s="1"/>
  <c r="E49" i="17" l="1"/>
  <c r="D50" i="17"/>
  <c r="D43" i="5"/>
  <c r="D98" i="8"/>
  <c r="F268" i="17"/>
  <c r="F161" i="17"/>
  <c r="C162" i="17"/>
  <c r="D49" i="12"/>
  <c r="D103" i="17"/>
  <c r="E103" i="17" s="1"/>
  <c r="F103" i="17" s="1"/>
  <c r="E102" i="17"/>
  <c r="F102" i="17" s="1"/>
  <c r="F47" i="10"/>
  <c r="E47" i="10"/>
  <c r="D326" i="18"/>
  <c r="E324" i="18"/>
  <c r="F62" i="17"/>
  <c r="C63" i="17"/>
  <c r="F49" i="17"/>
  <c r="C113" i="17"/>
  <c r="D47" i="22"/>
  <c r="D37" i="22"/>
  <c r="D112" i="22"/>
  <c r="F190" i="17"/>
  <c r="E300" i="17"/>
  <c r="F300" i="17" s="1"/>
  <c r="C168" i="18"/>
  <c r="C145" i="18"/>
  <c r="E23" i="22"/>
  <c r="D140" i="8"/>
  <c r="D138" i="8"/>
  <c r="D137" i="8"/>
  <c r="D135" i="8"/>
  <c r="D136" i="8"/>
  <c r="D55" i="18"/>
  <c r="D283" i="18"/>
  <c r="C324" i="17"/>
  <c r="D289" i="17"/>
  <c r="E287" i="17"/>
  <c r="F287" i="17"/>
  <c r="E172" i="17"/>
  <c r="F172" i="17" s="1"/>
  <c r="F262" i="17"/>
  <c r="E262" i="17"/>
  <c r="D272" i="17"/>
  <c r="E38" i="6"/>
  <c r="F38" i="6" s="1"/>
  <c r="F166" i="6"/>
  <c r="E77" i="8"/>
  <c r="E71" i="8" s="1"/>
  <c r="E88" i="8"/>
  <c r="E90" i="8" s="1"/>
  <c r="E86" i="8" s="1"/>
  <c r="E98" i="8"/>
  <c r="F72" i="10"/>
  <c r="E72" i="10"/>
  <c r="F60" i="10"/>
  <c r="E60" i="10"/>
  <c r="E161" i="17"/>
  <c r="D162" i="17"/>
  <c r="C52" i="6"/>
  <c r="F41" i="6"/>
  <c r="E20" i="12"/>
  <c r="F20" i="12"/>
  <c r="C34" i="12"/>
  <c r="E33" i="5"/>
  <c r="F33" i="5" s="1"/>
  <c r="C207" i="17"/>
  <c r="C138" i="17"/>
  <c r="E160" i="17"/>
  <c r="D254" i="17"/>
  <c r="G36" i="14"/>
  <c r="G38" i="14" s="1"/>
  <c r="G40" i="14" s="1"/>
  <c r="F192" i="17"/>
  <c r="E192" i="17"/>
  <c r="E159" i="17"/>
  <c r="F65" i="4"/>
  <c r="F124" i="6"/>
  <c r="F95" i="7"/>
  <c r="C15" i="8"/>
  <c r="C25" i="8"/>
  <c r="C27" i="8" s="1"/>
  <c r="E32" i="17"/>
  <c r="F32" i="17" s="1"/>
  <c r="C253" i="18"/>
  <c r="C252" i="18"/>
  <c r="C254" i="18" s="1"/>
  <c r="E22" i="8"/>
  <c r="D63" i="17"/>
  <c r="E63" i="17" s="1"/>
  <c r="D265" i="17"/>
  <c r="D139" i="8"/>
  <c r="E61" i="17"/>
  <c r="F61" i="17" s="1"/>
  <c r="D174" i="17"/>
  <c r="C18" i="5"/>
  <c r="E16" i="5"/>
  <c r="F16" i="5" s="1"/>
  <c r="D21" i="8"/>
  <c r="D22" i="8"/>
  <c r="E76" i="17"/>
  <c r="F76" i="17" s="1"/>
  <c r="F110" i="17"/>
  <c r="D76" i="18"/>
  <c r="E70" i="18"/>
  <c r="C244" i="18"/>
  <c r="C222" i="18"/>
  <c r="D253" i="18"/>
  <c r="E228" i="18"/>
  <c r="D254" i="18"/>
  <c r="E254" i="18" s="1"/>
  <c r="E43" i="4"/>
  <c r="C173" i="17"/>
  <c r="E33" i="22"/>
  <c r="E22" i="22"/>
  <c r="E101" i="22"/>
  <c r="E102" i="22"/>
  <c r="E267" i="17"/>
  <c r="F267" i="17" s="1"/>
  <c r="D271" i="17"/>
  <c r="D268" i="17"/>
  <c r="E268" i="17" s="1"/>
  <c r="D270" i="17"/>
  <c r="F48" i="5"/>
  <c r="E20" i="13"/>
  <c r="E21" i="13"/>
  <c r="E22" i="13"/>
  <c r="E145" i="17"/>
  <c r="D146" i="17"/>
  <c r="E171" i="17"/>
  <c r="F171" i="17" s="1"/>
  <c r="D216" i="17"/>
  <c r="E173" i="17"/>
  <c r="F41" i="5"/>
  <c r="E47" i="6"/>
  <c r="F47" i="6" s="1"/>
  <c r="F159" i="17"/>
  <c r="C160" i="17"/>
  <c r="E44" i="20"/>
  <c r="E46" i="20" s="1"/>
  <c r="F46" i="20" s="1"/>
  <c r="D48" i="13"/>
  <c r="D42" i="13" s="1"/>
  <c r="C263" i="17"/>
  <c r="E261" i="17"/>
  <c r="F261" i="17" s="1"/>
  <c r="E21" i="17"/>
  <c r="F21" i="17" s="1"/>
  <c r="C271" i="17"/>
  <c r="C180" i="18"/>
  <c r="E283" i="17"/>
  <c r="F283" i="17"/>
  <c r="D310" i="18"/>
  <c r="E310" i="18" s="1"/>
  <c r="E306" i="18"/>
  <c r="C66" i="18"/>
  <c r="C295" i="18" s="1"/>
  <c r="E295" i="18" s="1"/>
  <c r="C294" i="18"/>
  <c r="E294" i="18" s="1"/>
  <c r="E138" i="8"/>
  <c r="E136" i="8"/>
  <c r="E135" i="8"/>
  <c r="E141" i="8" s="1"/>
  <c r="C135" i="8"/>
  <c r="C139" i="8"/>
  <c r="C137" i="8"/>
  <c r="C138" i="8"/>
  <c r="C37" i="17"/>
  <c r="E35" i="17"/>
  <c r="F35" i="17"/>
  <c r="F66" i="17"/>
  <c r="C193" i="17"/>
  <c r="C124" i="17"/>
  <c r="F123" i="17"/>
  <c r="D244" i="18"/>
  <c r="E220" i="18"/>
  <c r="D188" i="7"/>
  <c r="E188" i="7" s="1"/>
  <c r="F188" i="7" s="1"/>
  <c r="E183" i="7"/>
  <c r="F183" i="7" s="1"/>
  <c r="D86" i="8"/>
  <c r="F45" i="15"/>
  <c r="E45" i="15"/>
  <c r="E88" i="17"/>
  <c r="F88" i="17" s="1"/>
  <c r="D89" i="17"/>
  <c r="D91" i="17" s="1"/>
  <c r="F120" i="17"/>
  <c r="F227" i="17"/>
  <c r="F298" i="17"/>
  <c r="D242" i="18"/>
  <c r="E242" i="18" s="1"/>
  <c r="D217" i="18"/>
  <c r="E218" i="18"/>
  <c r="D222" i="18"/>
  <c r="F39" i="20"/>
  <c r="C98" i="22"/>
  <c r="D282" i="17"/>
  <c r="E227" i="17"/>
  <c r="C75" i="4"/>
  <c r="D52" i="6"/>
  <c r="E52" i="6" s="1"/>
  <c r="E49" i="6"/>
  <c r="F49" i="6" s="1"/>
  <c r="F50" i="9"/>
  <c r="E128" i="9"/>
  <c r="F128" i="9" s="1"/>
  <c r="C207" i="9"/>
  <c r="E200" i="9"/>
  <c r="F200" i="9" s="1"/>
  <c r="E83" i="10"/>
  <c r="C24" i="13"/>
  <c r="C17" i="13"/>
  <c r="C28" i="13" s="1"/>
  <c r="C70" i="13" s="1"/>
  <c r="C72" i="13" s="1"/>
  <c r="C69" i="13" s="1"/>
  <c r="E75" i="15"/>
  <c r="F75" i="15" s="1"/>
  <c r="F73" i="15"/>
  <c r="F44" i="17"/>
  <c r="C111" i="17"/>
  <c r="E111" i="17" s="1"/>
  <c r="E120" i="17"/>
  <c r="F170" i="17"/>
  <c r="D200" i="17"/>
  <c r="E200" i="17" s="1"/>
  <c r="F200" i="17" s="1"/>
  <c r="E191" i="17"/>
  <c r="F191" i="17" s="1"/>
  <c r="D280" i="17"/>
  <c r="F295" i="17"/>
  <c r="D43" i="18"/>
  <c r="E37" i="18"/>
  <c r="C76" i="18"/>
  <c r="C77" i="18" s="1"/>
  <c r="E156" i="18"/>
  <c r="D157" i="18"/>
  <c r="E157" i="18" s="1"/>
  <c r="C234" i="18"/>
  <c r="C77" i="22"/>
  <c r="C101" i="22"/>
  <c r="C103" i="22" s="1"/>
  <c r="E89" i="6"/>
  <c r="E124" i="6"/>
  <c r="D95" i="7"/>
  <c r="E95" i="7" s="1"/>
  <c r="C41" i="11"/>
  <c r="C43" i="11" s="1"/>
  <c r="F38" i="11"/>
  <c r="F13" i="16"/>
  <c r="E158" i="17"/>
  <c r="F158" i="17"/>
  <c r="E31" i="17"/>
  <c r="F31" i="17" s="1"/>
  <c r="D234" i="18"/>
  <c r="E39" i="20"/>
  <c r="C43" i="4"/>
  <c r="F43" i="6"/>
  <c r="F51" i="6"/>
  <c r="C88" i="8"/>
  <c r="C90" i="8" s="1"/>
  <c r="C86" i="8" s="1"/>
  <c r="C152" i="8"/>
  <c r="C158" i="8" s="1"/>
  <c r="C156" i="8"/>
  <c r="D166" i="8"/>
  <c r="F30" i="15"/>
  <c r="E13" i="16"/>
  <c r="F17" i="17"/>
  <c r="E130" i="17"/>
  <c r="F130" i="17" s="1"/>
  <c r="E136" i="17"/>
  <c r="F136" i="17" s="1"/>
  <c r="D137" i="17"/>
  <c r="C33" i="19"/>
  <c r="C37" i="19"/>
  <c r="C38" i="19" s="1"/>
  <c r="C127" i="19" s="1"/>
  <c r="C129" i="19" s="1"/>
  <c r="C133" i="19" s="1"/>
  <c r="F36" i="20"/>
  <c r="C40" i="20"/>
  <c r="E45" i="6"/>
  <c r="F45" i="6" s="1"/>
  <c r="D53" i="8"/>
  <c r="D57" i="8"/>
  <c r="D62" i="8" s="1"/>
  <c r="D49" i="8"/>
  <c r="F17" i="12"/>
  <c r="E307" i="17"/>
  <c r="F307" i="17" s="1"/>
  <c r="E181" i="17"/>
  <c r="E41" i="4"/>
  <c r="F41" i="4" s="1"/>
  <c r="F153" i="6"/>
  <c r="E166" i="8"/>
  <c r="E88" i="9"/>
  <c r="F88" i="9"/>
  <c r="F140" i="9"/>
  <c r="C75" i="11"/>
  <c r="E75" i="11" s="1"/>
  <c r="F56" i="11"/>
  <c r="C61" i="13"/>
  <c r="C57" i="13" s="1"/>
  <c r="F92" i="15"/>
  <c r="D190" i="17"/>
  <c r="E190" i="17" s="1"/>
  <c r="E189" i="17"/>
  <c r="F189" i="17" s="1"/>
  <c r="C255" i="17"/>
  <c r="C285" i="17"/>
  <c r="C215" i="17"/>
  <c r="C269" i="17"/>
  <c r="E237" i="17"/>
  <c r="F237" i="17" s="1"/>
  <c r="D239" i="17"/>
  <c r="F294" i="17"/>
  <c r="C22" i="18"/>
  <c r="C283" i="18"/>
  <c r="E24" i="7"/>
  <c r="F24" i="7" s="1"/>
  <c r="F121" i="7"/>
  <c r="F95" i="10"/>
  <c r="E95" i="10"/>
  <c r="F23" i="15"/>
  <c r="F24" i="17"/>
  <c r="E53" i="17"/>
  <c r="F53" i="17" s="1"/>
  <c r="E110" i="17"/>
  <c r="F145" i="17"/>
  <c r="C146" i="17"/>
  <c r="D261" i="18"/>
  <c r="E261" i="18" s="1"/>
  <c r="D189" i="18"/>
  <c r="E189" i="18" s="1"/>
  <c r="F19" i="21"/>
  <c r="F68" i="6"/>
  <c r="F86" i="6"/>
  <c r="F130" i="7"/>
  <c r="E48" i="10"/>
  <c r="C27" i="13"/>
  <c r="F65" i="15"/>
  <c r="F58" i="17"/>
  <c r="E162" i="18"/>
  <c r="E167" i="18"/>
  <c r="E20" i="20"/>
  <c r="F20" i="20" s="1"/>
  <c r="C95" i="6"/>
  <c r="F111" i="6"/>
  <c r="D207" i="9"/>
  <c r="E109" i="17"/>
  <c r="F109" i="17" s="1"/>
  <c r="D23" i="22"/>
  <c r="D33" i="22"/>
  <c r="D34" i="22"/>
  <c r="F201" i="9"/>
  <c r="E23" i="10"/>
  <c r="E71" i="10"/>
  <c r="E29" i="17"/>
  <c r="F29" i="17" s="1"/>
  <c r="C181" i="17"/>
  <c r="F179" i="17"/>
  <c r="F297" i="17"/>
  <c r="E227" i="18"/>
  <c r="D46" i="20"/>
  <c r="C121" i="10"/>
  <c r="E77" i="17"/>
  <c r="E165" i="17"/>
  <c r="F165" i="17" s="1"/>
  <c r="E180" i="17"/>
  <c r="F180" i="17" s="1"/>
  <c r="C239" i="17"/>
  <c r="E298" i="17"/>
  <c r="E177" i="18"/>
  <c r="E230" i="18"/>
  <c r="D102" i="22"/>
  <c r="D103" i="22" s="1"/>
  <c r="F127" i="9"/>
  <c r="E153" i="9"/>
  <c r="F205" i="9"/>
  <c r="D50" i="13"/>
  <c r="F16" i="15"/>
  <c r="F36" i="17"/>
  <c r="F129" i="17"/>
  <c r="F299" i="17"/>
  <c r="C43" i="18"/>
  <c r="D175" i="18"/>
  <c r="E175" i="18" s="1"/>
  <c r="D144" i="18"/>
  <c r="E91" i="17" l="1"/>
  <c r="F91" i="17" s="1"/>
  <c r="D92" i="17"/>
  <c r="E43" i="11"/>
  <c r="F43" i="11" s="1"/>
  <c r="C270" i="17"/>
  <c r="E269" i="17"/>
  <c r="F269" i="17" s="1"/>
  <c r="C126" i="17"/>
  <c r="C125" i="17"/>
  <c r="E124" i="17"/>
  <c r="F124" i="17"/>
  <c r="F160" i="17"/>
  <c r="E270" i="17"/>
  <c r="C21" i="8"/>
  <c r="D323" i="17"/>
  <c r="E162" i="17"/>
  <c r="D183" i="17"/>
  <c r="E54" i="22"/>
  <c r="E111" i="22"/>
  <c r="E30" i="22"/>
  <c r="E40" i="22"/>
  <c r="E36" i="22"/>
  <c r="E46" i="22"/>
  <c r="C259" i="18"/>
  <c r="C263" i="18" s="1"/>
  <c r="C44" i="18"/>
  <c r="E41" i="11"/>
  <c r="E207" i="9"/>
  <c r="F207" i="9" s="1"/>
  <c r="C20" i="13"/>
  <c r="C22" i="13"/>
  <c r="C21" i="13"/>
  <c r="C216" i="17"/>
  <c r="E216" i="17" s="1"/>
  <c r="C109" i="22"/>
  <c r="C110" i="22"/>
  <c r="C111" i="22"/>
  <c r="C113" i="22"/>
  <c r="C108" i="22"/>
  <c r="C112" i="22"/>
  <c r="E280" i="17"/>
  <c r="F280" i="17" s="1"/>
  <c r="D281" i="17"/>
  <c r="C194" i="17"/>
  <c r="C266" i="17"/>
  <c r="E193" i="17"/>
  <c r="F193" i="17" s="1"/>
  <c r="C282" i="17"/>
  <c r="C141" i="8"/>
  <c r="E146" i="17"/>
  <c r="F146" i="17" s="1"/>
  <c r="C175" i="17"/>
  <c r="C174" i="17"/>
  <c r="F173" i="17"/>
  <c r="D77" i="18"/>
  <c r="E76" i="18"/>
  <c r="C21" i="5"/>
  <c r="E18" i="5"/>
  <c r="F18" i="5" s="1"/>
  <c r="C24" i="8"/>
  <c r="C20" i="8" s="1"/>
  <c r="C17" i="8"/>
  <c r="C42" i="12"/>
  <c r="F34" i="12"/>
  <c r="C272" i="17"/>
  <c r="E283" i="18"/>
  <c r="E34" i="12"/>
  <c r="F75" i="11"/>
  <c r="C169" i="18"/>
  <c r="C181" i="18"/>
  <c r="E326" i="18"/>
  <c r="D330" i="18"/>
  <c r="E330" i="18" s="1"/>
  <c r="E255" i="17"/>
  <c r="F255" i="17" s="1"/>
  <c r="E40" i="20"/>
  <c r="F40" i="20"/>
  <c r="C41" i="20"/>
  <c r="E89" i="17"/>
  <c r="F89" i="17" s="1"/>
  <c r="D90" i="17"/>
  <c r="E90" i="17" s="1"/>
  <c r="F90" i="17" s="1"/>
  <c r="F162" i="17"/>
  <c r="E252" i="18"/>
  <c r="F43" i="4"/>
  <c r="E263" i="17"/>
  <c r="F263" i="17" s="1"/>
  <c r="E66" i="18"/>
  <c r="D154" i="8"/>
  <c r="D152" i="8"/>
  <c r="D153" i="8"/>
  <c r="D157" i="8"/>
  <c r="D156" i="8"/>
  <c r="D155" i="8"/>
  <c r="E41" i="20"/>
  <c r="C123" i="18"/>
  <c r="C126" i="18"/>
  <c r="C121" i="18"/>
  <c r="C111" i="18"/>
  <c r="C124" i="18"/>
  <c r="C125" i="18"/>
  <c r="C115" i="18"/>
  <c r="C114" i="18"/>
  <c r="C110" i="18"/>
  <c r="C113" i="18"/>
  <c r="C109" i="18"/>
  <c r="C127" i="18"/>
  <c r="C122" i="18"/>
  <c r="C128" i="18" s="1"/>
  <c r="C112" i="18"/>
  <c r="E37" i="17"/>
  <c r="F37" i="17" s="1"/>
  <c r="E103" i="22"/>
  <c r="E253" i="18"/>
  <c r="D104" i="17"/>
  <c r="E104" i="17" s="1"/>
  <c r="F104" i="17" s="1"/>
  <c r="D70" i="17"/>
  <c r="E50" i="17"/>
  <c r="F50" i="17" s="1"/>
  <c r="E174" i="17"/>
  <c r="E55" i="18"/>
  <c r="D284" i="18"/>
  <c r="D235" i="18"/>
  <c r="E235" i="18" s="1"/>
  <c r="C284" i="18"/>
  <c r="E22" i="18"/>
  <c r="F41" i="11"/>
  <c r="D223" i="18"/>
  <c r="E222" i="18"/>
  <c r="D246" i="18"/>
  <c r="D141" i="8"/>
  <c r="E239" i="17"/>
  <c r="F239" i="17" s="1"/>
  <c r="E157" i="8"/>
  <c r="E152" i="8"/>
  <c r="E155" i="8"/>
  <c r="E153" i="8"/>
  <c r="E154" i="8"/>
  <c r="E156" i="8"/>
  <c r="E234" i="18"/>
  <c r="D241" i="18"/>
  <c r="E241" i="18" s="1"/>
  <c r="E217" i="18"/>
  <c r="E244" i="18"/>
  <c r="F44" i="20"/>
  <c r="E110" i="22"/>
  <c r="E35" i="22"/>
  <c r="E53" i="22"/>
  <c r="E45" i="22"/>
  <c r="E39" i="22"/>
  <c r="E29" i="22"/>
  <c r="C246" i="18"/>
  <c r="C223" i="18"/>
  <c r="C247" i="18" s="1"/>
  <c r="C140" i="17"/>
  <c r="C139" i="17"/>
  <c r="F52" i="6"/>
  <c r="E272" i="17"/>
  <c r="E215" i="17"/>
  <c r="F215" i="17" s="1"/>
  <c r="F63" i="17"/>
  <c r="C70" i="17"/>
  <c r="E75" i="4"/>
  <c r="F75" i="4" s="1"/>
  <c r="D105" i="17"/>
  <c r="F121" i="10"/>
  <c r="E121" i="10"/>
  <c r="C288" i="17"/>
  <c r="E285" i="17"/>
  <c r="F285" i="17" s="1"/>
  <c r="C286" i="17"/>
  <c r="D304" i="17"/>
  <c r="D273" i="17"/>
  <c r="E271" i="17"/>
  <c r="E254" i="17"/>
  <c r="F254" i="17" s="1"/>
  <c r="F95" i="6"/>
  <c r="E95" i="6"/>
  <c r="D168" i="18"/>
  <c r="E168" i="18" s="1"/>
  <c r="E144" i="18"/>
  <c r="D145" i="18"/>
  <c r="D180" i="18"/>
  <c r="E180" i="18" s="1"/>
  <c r="F181" i="17"/>
  <c r="D54" i="22"/>
  <c r="D111" i="22"/>
  <c r="D46" i="22"/>
  <c r="D30" i="22"/>
  <c r="D40" i="22"/>
  <c r="D36" i="22"/>
  <c r="E137" i="17"/>
  <c r="F137" i="17" s="1"/>
  <c r="D207" i="17"/>
  <c r="D138" i="17"/>
  <c r="D44" i="18"/>
  <c r="D259" i="18"/>
  <c r="E43" i="18"/>
  <c r="F111" i="17"/>
  <c r="E282" i="17"/>
  <c r="F271" i="17"/>
  <c r="C273" i="17"/>
  <c r="C208" i="17"/>
  <c r="D50" i="5"/>
  <c r="D88" i="18" l="1"/>
  <c r="E88" i="18" s="1"/>
  <c r="D86" i="18"/>
  <c r="D100" i="18"/>
  <c r="E44" i="18"/>
  <c r="D97" i="18"/>
  <c r="D85" i="18"/>
  <c r="D89" i="18"/>
  <c r="E89" i="18" s="1"/>
  <c r="D258" i="18"/>
  <c r="D83" i="18"/>
  <c r="D87" i="18"/>
  <c r="D98" i="18"/>
  <c r="D99" i="18"/>
  <c r="D96" i="18"/>
  <c r="D95" i="18"/>
  <c r="D101" i="18"/>
  <c r="E101" i="18" s="1"/>
  <c r="D84" i="18"/>
  <c r="D310" i="17"/>
  <c r="E304" i="17"/>
  <c r="F304" i="17" s="1"/>
  <c r="C141" i="17"/>
  <c r="D48" i="22"/>
  <c r="D113" i="22"/>
  <c r="D38" i="22"/>
  <c r="D56" i="22"/>
  <c r="F286" i="17"/>
  <c r="E286" i="17"/>
  <c r="F70" i="17"/>
  <c r="D247" i="18"/>
  <c r="E247" i="18" s="1"/>
  <c r="E223" i="18"/>
  <c r="F42" i="12"/>
  <c r="C49" i="12"/>
  <c r="E42" i="12"/>
  <c r="C265" i="17"/>
  <c r="E266" i="17"/>
  <c r="F266" i="17" s="1"/>
  <c r="C210" i="17"/>
  <c r="C209" i="17"/>
  <c r="D263" i="18"/>
  <c r="E263" i="18" s="1"/>
  <c r="E259" i="18"/>
  <c r="E158" i="8"/>
  <c r="E70" i="17"/>
  <c r="F41" i="20"/>
  <c r="C28" i="8"/>
  <c r="C112" i="8"/>
  <c r="C111" i="8" s="1"/>
  <c r="F174" i="17"/>
  <c r="C196" i="17"/>
  <c r="E194" i="17"/>
  <c r="F194" i="17" s="1"/>
  <c r="C195" i="17"/>
  <c r="C96" i="18"/>
  <c r="C88" i="18"/>
  <c r="C100" i="18"/>
  <c r="C97" i="18"/>
  <c r="C89" i="18"/>
  <c r="C83" i="18"/>
  <c r="C101" i="18"/>
  <c r="C87" i="18"/>
  <c r="C258" i="18"/>
  <c r="C84" i="18"/>
  <c r="C95" i="18"/>
  <c r="C85" i="18"/>
  <c r="C86" i="18"/>
  <c r="C98" i="18"/>
  <c r="C99" i="18"/>
  <c r="E138" i="17"/>
  <c r="F138" i="17" s="1"/>
  <c r="D139" i="17"/>
  <c r="E139" i="17" s="1"/>
  <c r="D140" i="17"/>
  <c r="F273" i="17"/>
  <c r="C117" i="18"/>
  <c r="C131" i="18" s="1"/>
  <c r="D158" i="8"/>
  <c r="E284" i="18"/>
  <c r="E37" i="22"/>
  <c r="E112" i="22"/>
  <c r="E55" i="22"/>
  <c r="E47" i="22"/>
  <c r="C176" i="17"/>
  <c r="E175" i="17"/>
  <c r="F175" i="17" s="1"/>
  <c r="F216" i="17"/>
  <c r="E288" i="17"/>
  <c r="F288" i="17" s="1"/>
  <c r="C291" i="17"/>
  <c r="C289" i="17"/>
  <c r="F270" i="17"/>
  <c r="E207" i="17"/>
  <c r="F207" i="17" s="1"/>
  <c r="D208" i="17"/>
  <c r="C129" i="18"/>
  <c r="C35" i="5"/>
  <c r="E21" i="5"/>
  <c r="F21" i="5"/>
  <c r="D181" i="18"/>
  <c r="E181" i="18" s="1"/>
  <c r="E145" i="18"/>
  <c r="D169" i="18"/>
  <c r="E169" i="18" s="1"/>
  <c r="E273" i="17"/>
  <c r="E105" i="17"/>
  <c r="F105" i="17" s="1"/>
  <c r="D106" i="17"/>
  <c r="E106" i="17" s="1"/>
  <c r="F106" i="17" s="1"/>
  <c r="F139" i="17"/>
  <c r="E246" i="18"/>
  <c r="C116" i="18"/>
  <c r="F272" i="17"/>
  <c r="F282" i="17"/>
  <c r="C281" i="17"/>
  <c r="E281" i="17" s="1"/>
  <c r="E125" i="17"/>
  <c r="F125" i="17" s="1"/>
  <c r="E92" i="17"/>
  <c r="F92" i="17" s="1"/>
  <c r="D324" i="17"/>
  <c r="D113" i="17"/>
  <c r="E113" i="17" s="1"/>
  <c r="F113" i="17" s="1"/>
  <c r="D124" i="18"/>
  <c r="E124" i="18" s="1"/>
  <c r="D123" i="18"/>
  <c r="E123" i="18" s="1"/>
  <c r="D122" i="18"/>
  <c r="D121" i="18"/>
  <c r="D127" i="18"/>
  <c r="E127" i="18" s="1"/>
  <c r="D125" i="18"/>
  <c r="E125" i="18" s="1"/>
  <c r="D112" i="18"/>
  <c r="E112" i="18" s="1"/>
  <c r="D114" i="18"/>
  <c r="E114" i="18" s="1"/>
  <c r="D111" i="18"/>
  <c r="E111" i="18" s="1"/>
  <c r="D126" i="18"/>
  <c r="E126" i="18" s="1"/>
  <c r="D113" i="18"/>
  <c r="E113" i="18" s="1"/>
  <c r="D109" i="18"/>
  <c r="D115" i="18"/>
  <c r="E115" i="18" s="1"/>
  <c r="D110" i="18"/>
  <c r="E77" i="18"/>
  <c r="E113" i="22"/>
  <c r="E56" i="22"/>
  <c r="E48" i="22"/>
  <c r="E38" i="22"/>
  <c r="C127" i="17"/>
  <c r="E126" i="17"/>
  <c r="F126" i="17" s="1"/>
  <c r="D90" i="18" l="1"/>
  <c r="E84" i="18"/>
  <c r="C305" i="17"/>
  <c r="E291" i="17"/>
  <c r="F291" i="17" s="1"/>
  <c r="C90" i="18"/>
  <c r="C91" i="18" s="1"/>
  <c r="C105" i="18" s="1"/>
  <c r="C148" i="17"/>
  <c r="F127" i="17"/>
  <c r="C197" i="17"/>
  <c r="E127" i="17"/>
  <c r="C102" i="18"/>
  <c r="C211" i="17"/>
  <c r="C322" i="17"/>
  <c r="E85" i="18"/>
  <c r="E109" i="18"/>
  <c r="E121" i="18"/>
  <c r="F35" i="5"/>
  <c r="C43" i="5"/>
  <c r="E35" i="5"/>
  <c r="E96" i="18"/>
  <c r="D102" i="18"/>
  <c r="E102" i="18" s="1"/>
  <c r="E97" i="18"/>
  <c r="E122" i="18"/>
  <c r="D128" i="18"/>
  <c r="E128" i="18" s="1"/>
  <c r="E195" i="17"/>
  <c r="F195" i="17" s="1"/>
  <c r="E99" i="18"/>
  <c r="E324" i="17"/>
  <c r="F324" i="17" s="1"/>
  <c r="E176" i="17"/>
  <c r="F176" i="17" s="1"/>
  <c r="C323" i="17"/>
  <c r="C183" i="17"/>
  <c r="E289" i="17"/>
  <c r="F289" i="17" s="1"/>
  <c r="C103" i="18"/>
  <c r="E258" i="18"/>
  <c r="D264" i="18"/>
  <c r="E110" i="18"/>
  <c r="D116" i="18"/>
  <c r="E116" i="18" s="1"/>
  <c r="E140" i="17"/>
  <c r="F140" i="17" s="1"/>
  <c r="D141" i="17"/>
  <c r="C267" i="18"/>
  <c r="C264" i="18"/>
  <c r="C266" i="18" s="1"/>
  <c r="C99" i="8"/>
  <c r="C101" i="8" s="1"/>
  <c r="C98" i="8" s="1"/>
  <c r="C22" i="8"/>
  <c r="E95" i="18"/>
  <c r="D103" i="18"/>
  <c r="E103" i="18" s="1"/>
  <c r="F281" i="17"/>
  <c r="E208" i="17"/>
  <c r="F208" i="17" s="1"/>
  <c r="D210" i="17"/>
  <c r="D209" i="17"/>
  <c r="E209" i="17" s="1"/>
  <c r="F209" i="17" s="1"/>
  <c r="E265" i="17"/>
  <c r="F265" i="17" s="1"/>
  <c r="E98" i="18"/>
  <c r="E100" i="18"/>
  <c r="D312" i="17"/>
  <c r="E87" i="18"/>
  <c r="E86" i="18"/>
  <c r="E196" i="17"/>
  <c r="F196" i="17" s="1"/>
  <c r="F49" i="12"/>
  <c r="E49" i="12"/>
  <c r="E83" i="18"/>
  <c r="D91" i="18"/>
  <c r="D313" i="17" l="1"/>
  <c r="E183" i="17"/>
  <c r="F183" i="17" s="1"/>
  <c r="F211" i="17"/>
  <c r="E264" i="18"/>
  <c r="D266" i="18"/>
  <c r="D129" i="18"/>
  <c r="E129" i="18" s="1"/>
  <c r="C309" i="17"/>
  <c r="E305" i="17"/>
  <c r="F305" i="17" s="1"/>
  <c r="E141" i="17"/>
  <c r="F141" i="17" s="1"/>
  <c r="D322" i="17"/>
  <c r="D148" i="17"/>
  <c r="E148" i="17" s="1"/>
  <c r="F148" i="17" s="1"/>
  <c r="C325" i="17"/>
  <c r="E323" i="17"/>
  <c r="F323" i="17" s="1"/>
  <c r="D117" i="18"/>
  <c r="C50" i="5"/>
  <c r="E43" i="5"/>
  <c r="F43" i="5" s="1"/>
  <c r="E91" i="18"/>
  <c r="D105" i="18"/>
  <c r="E105" i="18" s="1"/>
  <c r="D211" i="17"/>
  <c r="E211" i="17" s="1"/>
  <c r="E210" i="17"/>
  <c r="F210" i="17" s="1"/>
  <c r="C269" i="18"/>
  <c r="C268" i="18"/>
  <c r="C271" i="18" s="1"/>
  <c r="E197" i="17"/>
  <c r="F197" i="17" s="1"/>
  <c r="E90" i="18"/>
  <c r="F50" i="5" l="1"/>
  <c r="E50" i="5"/>
  <c r="D131" i="18"/>
  <c r="E131" i="18" s="1"/>
  <c r="E117" i="18"/>
  <c r="D251" i="17"/>
  <c r="D314" i="17"/>
  <c r="D315" i="17"/>
  <c r="D256" i="17"/>
  <c r="E322" i="17"/>
  <c r="F322" i="17" s="1"/>
  <c r="D325" i="17"/>
  <c r="E325" i="17" s="1"/>
  <c r="C310" i="17"/>
  <c r="E309" i="17"/>
  <c r="F309" i="17" s="1"/>
  <c r="E266" i="18"/>
  <c r="D267" i="18"/>
  <c r="F325" i="17"/>
  <c r="D257" i="17" l="1"/>
  <c r="D269" i="18"/>
  <c r="E269" i="18" s="1"/>
  <c r="E267" i="18"/>
  <c r="D268" i="18"/>
  <c r="D318" i="17"/>
  <c r="C312" i="17"/>
  <c r="E310" i="17"/>
  <c r="F310" i="17" s="1"/>
  <c r="C313" i="17" l="1"/>
  <c r="E312" i="17"/>
  <c r="F312" i="17" s="1"/>
  <c r="E268" i="18"/>
  <c r="D271" i="18"/>
  <c r="E271" i="18" s="1"/>
  <c r="C314" i="17" l="1"/>
  <c r="C315" i="17"/>
  <c r="C251" i="17"/>
  <c r="C256" i="17"/>
  <c r="E313" i="17"/>
  <c r="F313" i="17" s="1"/>
  <c r="E315" i="17" l="1"/>
  <c r="F315" i="17" s="1"/>
  <c r="C257" i="17"/>
  <c r="E256" i="17"/>
  <c r="F256" i="17" s="1"/>
  <c r="F251" i="17"/>
  <c r="E251" i="17"/>
  <c r="F314" i="17"/>
  <c r="C318" i="17"/>
  <c r="E314" i="17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<sst xmlns="http://schemas.openxmlformats.org/spreadsheetml/2006/main" count="2334" uniqueCount="1009">
  <si>
    <t>MILFORD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</si>
  <si>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</si>
  <si>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</si>
  <si>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</si>
  <si>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</si>
  <si>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</si>
  <si>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</si>
  <si>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</si>
  <si>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</si>
  <si>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</si>
  <si>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</si>
  <si>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</si>
  <si>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</si>
  <si>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</si>
  <si>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</si>
  <si>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</si>
  <si>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</si>
  <si>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</si>
  <si>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</si>
  <si>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</si>
  <si>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</si>
  <si>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</si>
  <si>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</si>
  <si>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</si>
  <si>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</si>
  <si>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</si>
  <si>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</si>
  <si>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</si>
  <si>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</si>
  <si>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</si>
  <si>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</si>
  <si>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</si>
  <si>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</si>
  <si>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</si>
  <si>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</si>
  <si>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</si>
  <si>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</si>
  <si>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</si>
  <si>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</si>
  <si>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</si>
  <si>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</si>
  <si>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</si>
  <si>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</si>
  <si>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</si>
  <si>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</si>
  <si>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</si>
  <si>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</si>
  <si>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</si>
  <si>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</si>
  <si>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</si>
  <si>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</si>
  <si>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</si>
  <si>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</si>
  <si>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</si>
  <si>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</si>
  <si>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</si>
  <si>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</si>
  <si>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</si>
  <si>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</si>
  <si>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</si>
  <si>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</si>
  <si>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</si>
  <si>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</si>
  <si>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</si>
  <si>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</si>
  <si>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</si>
  <si>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</si>
  <si>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</si>
  <si>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</si>
  <si>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</si>
  <si>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</si>
  <si>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</si>
  <si>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</si>
  <si>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</si>
  <si>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</si>
  <si>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</si>
  <si>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</si>
  <si>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</si>
  <si>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</si>
  <si>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</si>
  <si>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</si>
  <si>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</si>
  <si>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</si>
  <si>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</si>
  <si>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</si>
  <si>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</si>
  <si>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</si>
  <si>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</si>
  <si>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</si>
  <si>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</si>
  <si>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</si>
  <si>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</si>
  <si>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</si>
  <si>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</si>
  <si>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</si>
  <si>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</si>
  <si>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</si>
  <si>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</si>
  <si>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</si>
  <si>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</si>
  <si>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</si>
  <si>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</si>
  <si>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</si>
  <si>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</si>
  <si>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</si>
  <si>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</si>
  <si>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</si>
  <si>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</si>
  <si>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</si>
  <si>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</si>
  <si>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</si>
  <si>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</si>
  <si>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</si>
  <si>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</si>
  <si>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</si>
  <si>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</si>
  <si>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</si>
  <si>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</si>
  <si>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</si>
  <si>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</si>
  <si>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</si>
  <si>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</si>
  <si>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</si>
  <si>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</si>
  <si>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</si>
  <si>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</si>
  <si>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</si>
  <si>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</si>
  <si>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</si>
  <si>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</si>
  <si>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</si>
  <si>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</si>
  <si>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</si>
  <si>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</si>
  <si>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</si>
  <si>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</si>
  <si>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</si>
  <si>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</si>
  <si>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</si>
  <si>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</si>
  <si>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</si>
  <si>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</si>
  <si>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</si>
  <si>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</si>
  <si>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</si>
  <si>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</si>
  <si>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</si>
  <si>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</si>
  <si>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</si>
  <si>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</si>
  <si>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</si>
  <si>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</si>
  <si>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</si>
  <si>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</si>
  <si>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</si>
  <si>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</si>
  <si>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</si>
  <si>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</si>
  <si>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</si>
  <si>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</si>
  <si>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</si>
  <si>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</si>
  <si>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</si>
  <si>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</si>
  <si>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</si>
  <si>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</si>
  <si>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</si>
  <si>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</si>
  <si>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</si>
  <si>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</si>
  <si>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</si>
  <si>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</si>
  <si>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</si>
  <si>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</si>
  <si>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</si>
  <si>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</si>
  <si>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</si>
  <si>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</si>
  <si>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</si>
  <si>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</si>
  <si>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</si>
  <si>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</si>
  <si>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</si>
  <si>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</si>
  <si>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</si>
  <si>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</si>
  <si>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</si>
  <si>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</si>
  <si>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</si>
  <si>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</si>
  <si>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</si>
  <si>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</si>
  <si>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</si>
  <si>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</si>
  <si>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</si>
  <si>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</si>
  <si>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</si>
  <si>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</si>
  <si>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</si>
  <si>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</si>
  <si>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</si>
  <si>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</si>
  <si>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</si>
  <si>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</si>
  <si>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</si>
  <si>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</si>
  <si>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</si>
  <si>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</si>
  <si>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</si>
  <si>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</si>
  <si>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</si>
  <si>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</si>
  <si>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</si>
  <si>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</si>
  <si>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</si>
  <si>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</si>
  <si>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</si>
  <si>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</si>
  <si>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</si>
  <si>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</si>
  <si>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</si>
  <si>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</si>
  <si>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</si>
  <si>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</si>
  <si>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</si>
  <si>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</si>
  <si>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</si>
  <si>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</si>
  <si>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</si>
  <si>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</si>
  <si>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</si>
  <si>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</si>
  <si>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</si>
  <si>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</si>
  <si>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</si>
  <si>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</si>
  <si>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</si>
  <si>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</si>
  <si>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</si>
  <si>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</si>
  <si>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</si>
  <si>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</si>
  <si>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</si>
  <si>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</si>
  <si>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</si>
  <si>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</si>
  <si>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</si>
  <si>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</si>
  <si>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</si>
  <si>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</si>
  <si>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</si>
  <si>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</si>
  <si>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</si>
  <si>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</si>
  <si>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</si>
  <si>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</si>
  <si>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</si>
  <si>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</si>
  <si>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</si>
  <si>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</si>
  <si>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</si>
  <si>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</si>
  <si>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</si>
  <si>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</si>
  <si>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</si>
  <si>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</si>
  <si>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</si>
  <si>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</si>
  <si>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</si>
  <si>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</si>
  <si>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</si>
  <si>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</si>
  <si>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</si>
  <si>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</si>
  <si>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</si>
  <si>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</si>
  <si>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</si>
  <si>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</si>
  <si>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</si>
  <si>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</si>
  <si>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</si>
  <si>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</si>
  <si>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</si>
  <si>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</si>
  <si>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</si>
  <si>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</si>
  <si>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</si>
  <si>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</si>
  <si>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</si>
  <si>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</si>
  <si>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</si>
  <si>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</si>
  <si>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</si>
  <si>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</si>
  <si>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</si>
  <si>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</si>
  <si>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</si>
  <si>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</si>
  <si>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</si>
  <si>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</si>
  <si>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</si>
  <si>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</si>
  <si>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</si>
  <si>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</si>
  <si>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</si>
  <si>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</si>
  <si>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</si>
  <si>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</si>
  <si>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</si>
  <si>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</si>
  <si>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</si>
  <si>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</si>
  <si>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</si>
  <si>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</si>
  <si>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</si>
  <si>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</si>
  <si>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</si>
  <si>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</si>
  <si>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</si>
  <si>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</si>
  <si>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</si>
  <si>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</si>
  <si>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</si>
  <si>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</si>
  <si>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</si>
  <si>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</si>
  <si>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</si>
  <si>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</si>
  <si>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</si>
  <si>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</si>
  <si>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</si>
  <si>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</si>
  <si>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</si>
  <si>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</si>
  <si>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</si>
  <si>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</si>
  <si>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</si>
  <si>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</si>
  <si>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</si>
  <si>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</si>
  <si>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</si>
  <si>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</si>
  <si>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</si>
  <si>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</si>
  <si>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</si>
  <si>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</si>
  <si>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</si>
  <si>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</si>
  <si>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</si>
  <si>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</si>
  <si>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</si>
  <si>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</si>
  <si>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</si>
  <si>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</si>
  <si>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</si>
  <si>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</si>
  <si>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</si>
  <si>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</si>
  <si>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</si>
  <si>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</si>
  <si>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</si>
  <si>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</si>
  <si>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</si>
  <si>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</si>
  <si>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</si>
  <si>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</si>
  <si>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</si>
  <si>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</si>
  <si>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</si>
  <si>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</si>
  <si>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</si>
  <si>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</si>
  <si>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</si>
  <si>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</si>
  <si>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</si>
  <si>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</si>
  <si>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</si>
  <si>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</si>
  <si>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</si>
  <si>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</si>
  <si>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</si>
  <si>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</si>
  <si>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</si>
  <si>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</si>
  <si>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</si>
  <si>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</si>
  <si>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</si>
  <si>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</si>
  <si>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</si>
  <si>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</si>
  <si>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</si>
  <si>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</si>
  <si>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</si>
  <si>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</si>
  <si>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</si>
  <si>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</si>
  <si>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</si>
  <si>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</si>
  <si>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</si>
  <si>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</si>
  <si>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</si>
  <si>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</si>
  <si>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</si>
  <si>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</si>
  <si>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</si>
  <si>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</si>
  <si>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</si>
  <si>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</si>
  <si>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</si>
  <si>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</si>
  <si>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</si>
  <si>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</si>
  <si>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</si>
  <si>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</si>
  <si>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</si>
  <si>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</si>
  <si>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</si>
  <si>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</si>
  <si>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</si>
  <si>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</si>
  <si>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</si>
  <si>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</si>
  <si>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</si>
  <si>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</si>
  <si>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</si>
  <si>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</si>
  <si>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</si>
  <si>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</si>
  <si>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</si>
  <si>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</si>
  <si>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</si>
  <si>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</si>
  <si>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</si>
  <si>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</si>
  <si>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</si>
  <si>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</si>
  <si>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</si>
  <si>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</si>
  <si>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</si>
  <si>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</si>
  <si>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</si>
  <si>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</si>
  <si>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</si>
  <si>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</si>
  <si>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</si>
  <si>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</si>
  <si>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</si>
  <si>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</si>
  <si>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</si>
  <si>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</si>
  <si>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</si>
  <si>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</si>
  <si>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</si>
  <si>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</si>
  <si>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</si>
  <si>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</si>
  <si>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</si>
  <si>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</si>
  <si>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</si>
  <si>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</si>
  <si>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</si>
  <si>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</si>
  <si>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</si>
  <si>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</si>
  <si>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</si>
  <si>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</si>
  <si>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</si>
  <si>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</si>
  <si>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</si>
  <si>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</si>
  <si>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</si>
  <si>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</si>
  <si>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</si>
  <si>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</si>
  <si>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</si>
  <si>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</si>
  <si>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</si>
  <si>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</si>
  <si>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</si>
  <si>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</si>
  <si>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</si>
  <si>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</si>
  <si>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</si>
  <si>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</si>
  <si>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</si>
  <si>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</si>
  <si>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</si>
  <si>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</si>
  <si>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</si>
  <si>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</si>
  <si>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</si>
  <si>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</si>
  <si>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</si>
  <si>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</si>
  <si>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</si>
  <si>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</si>
  <si>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</si>
  <si>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</si>
  <si>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</si>
  <si>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</si>
  <si>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MILFORD HEALTH &amp; MEDICAL,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</si>
  <si>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</si>
  <si>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</si>
  <si>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</si>
  <si>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</si>
  <si>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</si>
  <si>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</si>
  <si>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</si>
  <si>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</si>
  <si>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</si>
  <si>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</si>
  <si>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</si>
  <si>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</si>
  <si>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</si>
  <si>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</si>
  <si>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</si>
  <si>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</si>
  <si>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</si>
  <si>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</si>
  <si>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</si>
  <si>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</si>
  <si>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</si>
  <si>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</si>
  <si>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</si>
  <si>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</si>
  <si>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</si>
  <si>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</si>
  <si>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</si>
  <si>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</si>
  <si>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</si>
  <si>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</si>
  <si>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</si>
  <si>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</si>
  <si>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</si>
  <si>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</si>
  <si>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</si>
  <si>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</si>
  <si>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</si>
  <si>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</si>
  <si>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</si>
  <si>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</si>
  <si>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</si>
  <si>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</si>
  <si>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</si>
  <si>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</si>
  <si>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</si>
  <si>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</si>
  <si>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</si>
  <si>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</si>
  <si>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</si>
  <si>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</si>
  <si>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</si>
  <si>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</si>
  <si>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</si>
  <si>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</si>
  <si>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</si>
  <si>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</si>
  <si>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</si>
  <si>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</si>
  <si>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</si>
  <si>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</si>
  <si>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</si>
  <si>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</si>
  <si>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</si>
  <si>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</si>
  <si>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</si>
  <si>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</si>
  <si>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</si>
  <si>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</si>
  <si>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</si>
  <si>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</si>
  <si>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</si>
  <si>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</si>
  <si>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</si>
  <si>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</si>
  <si>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</si>
  <si>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</si>
  <si>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</si>
  <si>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</si>
  <si>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</si>
  <si>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</si>
  <si>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</si>
  <si>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</si>
  <si>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</si>
  <si>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</si>
  <si>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</si>
  <si>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</si>
  <si>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</si>
  <si>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</si>
  <si>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</si>
  <si>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</si>
  <si>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</si>
  <si>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</si>
  <si>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</si>
  <si>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</si>
  <si>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</si>
  <si>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</si>
  <si>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</si>
  <si>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</si>
  <si>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</si>
  <si>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</si>
  <si>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</si>
  <si>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</si>
  <si>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</si>
  <si>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</si>
  <si>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</si>
  <si>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</si>
  <si>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</si>
  <si>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</si>
  <si>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</si>
  <si>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</si>
  <si>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</si>
  <si>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</si>
  <si>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</si>
  <si>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</si>
  <si>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</si>
  <si>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</si>
  <si>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</si>
  <si>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</si>
  <si>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</si>
  <si>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</si>
  <si>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Milford Hospital</t>
  </si>
  <si>
    <t>Total Outpatient Surgical Procedures(A)</t>
  </si>
  <si>
    <t>Total Outpatient Endoscopy Procedures(B)</t>
  </si>
  <si>
    <t>Outpatient Hospital Emergency Room Visits</t>
  </si>
  <si>
    <t>MilfHospBostonPostRd WalkIn Ctr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</si>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</sst>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6892694</v>
      </c>
      <c r="D13" s="22">
        <v>1171348</v>
      </c>
      <c r="E13" s="22">
        <f t="shared" ref="E13:E22" si="0">D13-C13</f>
        <v>-5721346</v>
      </c>
      <c r="F13" s="23">
        <f t="shared" ref="F13:F22" si="1">IF(C13=0,0,E13/C13)</f>
        <v>-0.83005948037153543</v>
      </c>
    </row>
    <row r="14" spans="1:8" ht="24" customHeight="1" x14ac:dyDescent="0.2">
      <c r="A14" s="20">
        <v>2</v>
      </c>
      <c r="B14" s="21" t="s">
        <v>17</v>
      </c>
      <c r="C14" s="22">
        <v>110778</v>
      </c>
      <c r="D14" s="22">
        <v>3536565</v>
      </c>
      <c r="E14" s="22">
        <f t="shared" si="0"/>
        <v>3425787</v>
      </c>
      <c r="F14" s="23">
        <f t="shared" si="1"/>
        <v>30.924795537019985</v>
      </c>
    </row>
    <row r="15" spans="1:8" ht="24" customHeight="1" x14ac:dyDescent="0.2">
      <c r="A15" s="20">
        <v>3</v>
      </c>
      <c r="B15" s="21" t="s">
        <v>18</v>
      </c>
      <c r="C15" s="22">
        <v>8850797</v>
      </c>
      <c r="D15" s="22">
        <v>8480597</v>
      </c>
      <c r="E15" s="22">
        <f t="shared" si="0"/>
        <v>-370200</v>
      </c>
      <c r="F15" s="23">
        <f t="shared" si="1"/>
        <v>-4.1826741704730094E-2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772809</v>
      </c>
      <c r="D19" s="22">
        <v>775631</v>
      </c>
      <c r="E19" s="22">
        <f t="shared" si="0"/>
        <v>2822</v>
      </c>
      <c r="F19" s="23">
        <f t="shared" si="1"/>
        <v>3.6516137881417014E-3</v>
      </c>
    </row>
    <row r="20" spans="1:11" ht="24" customHeight="1" x14ac:dyDescent="0.2">
      <c r="A20" s="20">
        <v>8</v>
      </c>
      <c r="B20" s="21" t="s">
        <v>23</v>
      </c>
      <c r="C20" s="22">
        <v>872178</v>
      </c>
      <c r="D20" s="22">
        <v>360501</v>
      </c>
      <c r="E20" s="22">
        <f t="shared" si="0"/>
        <v>-511677</v>
      </c>
      <c r="F20" s="23">
        <f t="shared" si="1"/>
        <v>-0.58666579528490748</v>
      </c>
    </row>
    <row r="21" spans="1:11" ht="24" customHeight="1" x14ac:dyDescent="0.2">
      <c r="A21" s="20">
        <v>9</v>
      </c>
      <c r="B21" s="21" t="s">
        <v>24</v>
      </c>
      <c r="C21" s="22">
        <v>672298</v>
      </c>
      <c r="D21" s="22">
        <v>983092</v>
      </c>
      <c r="E21" s="22">
        <f t="shared" si="0"/>
        <v>310794</v>
      </c>
      <c r="F21" s="23">
        <f t="shared" si="1"/>
        <v>0.46228606957033935</v>
      </c>
    </row>
    <row r="22" spans="1:11" ht="24" customHeight="1" x14ac:dyDescent="0.25">
      <c r="A22" s="24"/>
      <c r="B22" s="25" t="s">
        <v>25</v>
      </c>
      <c r="C22" s="26">
        <f>SUM(C13:C21)</f>
        <v>18171554</v>
      </c>
      <c r="D22" s="26">
        <f>SUM(D13:D21)</f>
        <v>15307734</v>
      </c>
      <c r="E22" s="26">
        <f t="shared" si="0"/>
        <v>-2863820</v>
      </c>
      <c r="F22" s="27">
        <f t="shared" si="1"/>
        <v>-0.15759906940264987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1658681</v>
      </c>
      <c r="D28" s="22">
        <v>1665769</v>
      </c>
      <c r="E28" s="22">
        <f>D28-C28</f>
        <v>7088</v>
      </c>
      <c r="F28" s="23">
        <f>IF(C28=0,0,E28/C28)</f>
        <v>4.2732749696897717E-3</v>
      </c>
    </row>
    <row r="29" spans="1:11" ht="24" customHeight="1" x14ac:dyDescent="0.25">
      <c r="A29" s="24"/>
      <c r="B29" s="25" t="s">
        <v>32</v>
      </c>
      <c r="C29" s="26">
        <f>SUM(C25:C28)</f>
        <v>1658681</v>
      </c>
      <c r="D29" s="26">
        <f>SUM(D25:D28)</f>
        <v>1665769</v>
      </c>
      <c r="E29" s="26">
        <f>D29-C29</f>
        <v>7088</v>
      </c>
      <c r="F29" s="27">
        <f>IF(C29=0,0,E29/C29)</f>
        <v>4.2732749696897717E-3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960239</v>
      </c>
      <c r="D31" s="22">
        <v>946440</v>
      </c>
      <c r="E31" s="22">
        <f>D31-C31</f>
        <v>-13799</v>
      </c>
      <c r="F31" s="23">
        <f>IF(C31=0,0,E31/C31)</f>
        <v>-1.4370380707303078E-2</v>
      </c>
    </row>
    <row r="32" spans="1:11" ht="24" customHeight="1" x14ac:dyDescent="0.2">
      <c r="A32" s="20">
        <v>6</v>
      </c>
      <c r="B32" s="21" t="s">
        <v>34</v>
      </c>
      <c r="C32" s="22">
        <v>1815473</v>
      </c>
      <c r="D32" s="22">
        <v>457556</v>
      </c>
      <c r="E32" s="22">
        <f>D32-C32</f>
        <v>-1357917</v>
      </c>
      <c r="F32" s="23">
        <f>IF(C32=0,0,E32/C32)</f>
        <v>-0.74796871118435804</v>
      </c>
    </row>
    <row r="33" spans="1:8" ht="24" customHeight="1" x14ac:dyDescent="0.2">
      <c r="A33" s="20">
        <v>7</v>
      </c>
      <c r="B33" s="21" t="s">
        <v>35</v>
      </c>
      <c r="C33" s="22">
        <v>3337233</v>
      </c>
      <c r="D33" s="22">
        <v>3826862</v>
      </c>
      <c r="E33" s="22">
        <f>D33-C33</f>
        <v>489629</v>
      </c>
      <c r="F33" s="23">
        <f>IF(C33=0,0,E33/C33)</f>
        <v>0.14671705571651725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51713669</v>
      </c>
      <c r="D36" s="22">
        <v>53080312</v>
      </c>
      <c r="E36" s="22">
        <f>D36-C36</f>
        <v>1366643</v>
      </c>
      <c r="F36" s="23">
        <f>IF(C36=0,0,E36/C36)</f>
        <v>2.6427113496820347E-2</v>
      </c>
    </row>
    <row r="37" spans="1:8" ht="24" customHeight="1" x14ac:dyDescent="0.2">
      <c r="A37" s="20">
        <v>2</v>
      </c>
      <c r="B37" s="21" t="s">
        <v>39</v>
      </c>
      <c r="C37" s="22">
        <v>30714786</v>
      </c>
      <c r="D37" s="22">
        <v>32778530</v>
      </c>
      <c r="E37" s="22">
        <f>D37-C37</f>
        <v>2063744</v>
      </c>
      <c r="F37" s="23">
        <f>IF(C37=0,0,E37/C37)</f>
        <v>6.7190570691262511E-2</v>
      </c>
    </row>
    <row r="38" spans="1:8" ht="24" customHeight="1" x14ac:dyDescent="0.25">
      <c r="A38" s="24"/>
      <c r="B38" s="25" t="s">
        <v>40</v>
      </c>
      <c r="C38" s="26">
        <f>C36-C37</f>
        <v>20998883</v>
      </c>
      <c r="D38" s="26">
        <f>D36-D37</f>
        <v>20301782</v>
      </c>
      <c r="E38" s="26">
        <f>D38-C38</f>
        <v>-697101</v>
      </c>
      <c r="F38" s="27">
        <f>IF(C38=0,0,E38/C38)</f>
        <v>-3.3197051481262126E-2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20998883</v>
      </c>
      <c r="D41" s="26">
        <f>+D38+D40</f>
        <v>20301782</v>
      </c>
      <c r="E41" s="26">
        <f>D41-C41</f>
        <v>-697101</v>
      </c>
      <c r="F41" s="27">
        <f>IF(C41=0,0,E41/C41)</f>
        <v>-3.3197051481262126E-2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46942063</v>
      </c>
      <c r="D43" s="26">
        <f>D22+D29+D31+D32+D33+D41</f>
        <v>42506143</v>
      </c>
      <c r="E43" s="26">
        <f>D43-C43</f>
        <v>-4435920</v>
      </c>
      <c r="F43" s="27">
        <f>IF(C43=0,0,E43/C43)</f>
        <v>-9.4497764190721659E-2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7032887</v>
      </c>
      <c r="D49" s="22">
        <v>6717519</v>
      </c>
      <c r="E49" s="22">
        <f t="shared" ref="E49:E56" si="2">D49-C49</f>
        <v>-315368</v>
      </c>
      <c r="F49" s="23">
        <f t="shared" ref="F49:F56" si="3">IF(C49=0,0,E49/C49)</f>
        <v>-4.484189778678372E-2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6690575</v>
      </c>
      <c r="D50" s="22">
        <v>5785222</v>
      </c>
      <c r="E50" s="22">
        <f t="shared" si="2"/>
        <v>-905353</v>
      </c>
      <c r="F50" s="23">
        <f t="shared" si="3"/>
        <v>-0.13531766701666151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2226150</v>
      </c>
      <c r="D51" s="22">
        <v>920996</v>
      </c>
      <c r="E51" s="22">
        <f t="shared" si="2"/>
        <v>-1305154</v>
      </c>
      <c r="F51" s="23">
        <f t="shared" si="3"/>
        <v>-0.58628304471846016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122749</v>
      </c>
      <c r="D52" s="22">
        <v>230880</v>
      </c>
      <c r="E52" s="22">
        <f t="shared" si="2"/>
        <v>108131</v>
      </c>
      <c r="F52" s="23">
        <f t="shared" si="3"/>
        <v>0.88091145345379596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2554267</v>
      </c>
      <c r="D55" s="22">
        <v>2465236</v>
      </c>
      <c r="E55" s="22">
        <f t="shared" si="2"/>
        <v>-89031</v>
      </c>
      <c r="F55" s="23">
        <f t="shared" si="3"/>
        <v>-3.4855792287963629E-2</v>
      </c>
    </row>
    <row r="56" spans="1:6" ht="24" customHeight="1" x14ac:dyDescent="0.25">
      <c r="A56" s="24"/>
      <c r="B56" s="25" t="s">
        <v>54</v>
      </c>
      <c r="C56" s="26">
        <f>SUM(C49:C55)</f>
        <v>18626628</v>
      </c>
      <c r="D56" s="26">
        <f>SUM(D49:D55)</f>
        <v>16119853</v>
      </c>
      <c r="E56" s="26">
        <f t="shared" si="2"/>
        <v>-2506775</v>
      </c>
      <c r="F56" s="27">
        <f t="shared" si="3"/>
        <v>-0.13458018273624189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6000000</v>
      </c>
      <c r="D60" s="22">
        <v>8000000</v>
      </c>
      <c r="E60" s="22">
        <f>D60-C60</f>
        <v>2000000</v>
      </c>
      <c r="F60" s="23">
        <f>IF(C60=0,0,E60/C60)</f>
        <v>0.33333333333333331</v>
      </c>
    </row>
    <row r="61" spans="1:6" ht="24" customHeight="1" x14ac:dyDescent="0.25">
      <c r="A61" s="24"/>
      <c r="B61" s="25" t="s">
        <v>58</v>
      </c>
      <c r="C61" s="26">
        <f>SUM(C59:C60)</f>
        <v>6000000</v>
      </c>
      <c r="D61" s="26">
        <f>SUM(D59:D60)</f>
        <v>8000000</v>
      </c>
      <c r="E61" s="26">
        <f>D61-C61</f>
        <v>2000000</v>
      </c>
      <c r="F61" s="27">
        <f>IF(C61=0,0,E61/C61)</f>
        <v>0.33333333333333331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18262691</v>
      </c>
      <c r="D63" s="22">
        <v>32759034</v>
      </c>
      <c r="E63" s="22">
        <f>D63-C63</f>
        <v>14496343</v>
      </c>
      <c r="F63" s="23">
        <f>IF(C63=0,0,E63/C63)</f>
        <v>0.79376818016578166</v>
      </c>
    </row>
    <row r="64" spans="1:6" ht="24" customHeight="1" x14ac:dyDescent="0.2">
      <c r="A64" s="20">
        <v>4</v>
      </c>
      <c r="B64" s="21" t="s">
        <v>60</v>
      </c>
      <c r="C64" s="22">
        <v>5074953</v>
      </c>
      <c r="D64" s="22">
        <v>6994390</v>
      </c>
      <c r="E64" s="22">
        <f>D64-C64</f>
        <v>1919437</v>
      </c>
      <c r="F64" s="23">
        <f>IF(C64=0,0,E64/C64)</f>
        <v>0.37821768989781779</v>
      </c>
    </row>
    <row r="65" spans="1:6" ht="24" customHeight="1" x14ac:dyDescent="0.25">
      <c r="A65" s="24"/>
      <c r="B65" s="25" t="s">
        <v>61</v>
      </c>
      <c r="C65" s="26">
        <f>SUM(C61:C64)</f>
        <v>29337644</v>
      </c>
      <c r="D65" s="26">
        <f>SUM(D61:D64)</f>
        <v>47753424</v>
      </c>
      <c r="E65" s="26">
        <f>D65-C65</f>
        <v>18415780</v>
      </c>
      <c r="F65" s="27">
        <f>IF(C65=0,0,E65/C65)</f>
        <v>0.62771843574078412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-2536448</v>
      </c>
      <c r="D70" s="22">
        <v>-22867574</v>
      </c>
      <c r="E70" s="22">
        <f>D70-C70</f>
        <v>-20331126</v>
      </c>
      <c r="F70" s="23">
        <f>IF(C70=0,0,E70/C70)</f>
        <v>8.0155895173092446</v>
      </c>
    </row>
    <row r="71" spans="1:6" ht="24" customHeight="1" x14ac:dyDescent="0.2">
      <c r="A71" s="20">
        <v>2</v>
      </c>
      <c r="B71" s="21" t="s">
        <v>65</v>
      </c>
      <c r="C71" s="22">
        <v>840476</v>
      </c>
      <c r="D71" s="22">
        <v>826677</v>
      </c>
      <c r="E71" s="22">
        <f>D71-C71</f>
        <v>-13799</v>
      </c>
      <c r="F71" s="23">
        <f>IF(C71=0,0,E71/C71)</f>
        <v>-1.6418077375201671E-2</v>
      </c>
    </row>
    <row r="72" spans="1:6" ht="24" customHeight="1" x14ac:dyDescent="0.2">
      <c r="A72" s="20">
        <v>3</v>
      </c>
      <c r="B72" s="21" t="s">
        <v>66</v>
      </c>
      <c r="C72" s="22">
        <v>673763</v>
      </c>
      <c r="D72" s="22">
        <v>673763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-1022209</v>
      </c>
      <c r="D73" s="26">
        <f>SUM(D70:D72)</f>
        <v>-21367134</v>
      </c>
      <c r="E73" s="26">
        <f>D73-C73</f>
        <v>-20344925</v>
      </c>
      <c r="F73" s="27">
        <f>IF(C73=0,0,E73/C73)</f>
        <v>19.902901461442816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46942063</v>
      </c>
      <c r="D75" s="26">
        <f>D56+D65+D67+D73</f>
        <v>42506143</v>
      </c>
      <c r="E75" s="26">
        <f>D75-C75</f>
        <v>-4435920</v>
      </c>
      <c r="F75" s="27">
        <f>IF(C75=0,0,E75/C75)</f>
        <v>-9.4497764190721659E-2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74532323</v>
      </c>
      <c r="D11" s="76">
        <v>68025386</v>
      </c>
      <c r="E11" s="76">
        <v>64899709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2729480</v>
      </c>
      <c r="D12" s="185">
        <v>2438403</v>
      </c>
      <c r="E12" s="185">
        <v>4647727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77261803</v>
      </c>
      <c r="D13" s="76">
        <f>+D11+D12</f>
        <v>70463789</v>
      </c>
      <c r="E13" s="76">
        <f>+E11+E12</f>
        <v>69547436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89832916</v>
      </c>
      <c r="D14" s="185">
        <v>81583595</v>
      </c>
      <c r="E14" s="185">
        <v>77415816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-12571113</v>
      </c>
      <c r="D15" s="76">
        <f>+D13-D14</f>
        <v>-11119806</v>
      </c>
      <c r="E15" s="76">
        <f>+E13-E14</f>
        <v>-7868380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1654384</v>
      </c>
      <c r="D16" s="185">
        <v>1447081</v>
      </c>
      <c r="E16" s="185">
        <v>1211823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-10916729</v>
      </c>
      <c r="D17" s="76">
        <f>D15+D16</f>
        <v>-9672725</v>
      </c>
      <c r="E17" s="76">
        <f>E15+E16</f>
        <v>-6656557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-0.15929701469230895</v>
      </c>
      <c r="D20" s="189">
        <f>IF(+D27=0,0,+D24/+D27)</f>
        <v>-0.15463317298205403</v>
      </c>
      <c r="E20" s="189">
        <f>IF(+E27=0,0,+E24/+E27)</f>
        <v>-0.11119929902035859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2.096381063114466E-2</v>
      </c>
      <c r="D21" s="189">
        <f>IF(+D27=0,0,+D26/+D27)</f>
        <v>2.0123258138859953E-2</v>
      </c>
      <c r="E21" s="189">
        <f>IF(+E27=0,0,+E26/+E27)</f>
        <v>1.712599901590264E-2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-0.13833320406116428</v>
      </c>
      <c r="D22" s="189">
        <f>IF(+D27=0,0,+D28/+D27)</f>
        <v>-0.13450991484319408</v>
      </c>
      <c r="E22" s="189">
        <f>IF(+E27=0,0,+E28/+E27)</f>
        <v>-9.4073300004455948E-2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-12571113</v>
      </c>
      <c r="D24" s="76">
        <f>+D15</f>
        <v>-11119806</v>
      </c>
      <c r="E24" s="76">
        <f>+E15</f>
        <v>-7868380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77261803</v>
      </c>
      <c r="D25" s="76">
        <f>+D13</f>
        <v>70463789</v>
      </c>
      <c r="E25" s="76">
        <f>+E13</f>
        <v>69547436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1654384</v>
      </c>
      <c r="D26" s="76">
        <f>+D16</f>
        <v>1447081</v>
      </c>
      <c r="E26" s="76">
        <f>+E16</f>
        <v>1211823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78916187</v>
      </c>
      <c r="D27" s="76">
        <f>SUM(D25:D26)</f>
        <v>71910870</v>
      </c>
      <c r="E27" s="76">
        <f>SUM(E25:E26)</f>
        <v>70759259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-10916729</v>
      </c>
      <c r="D28" s="76">
        <f>+D17</f>
        <v>-9672725</v>
      </c>
      <c r="E28" s="76">
        <f>+E17</f>
        <v>-6656557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16895968</v>
      </c>
      <c r="D31" s="76">
        <v>5129446</v>
      </c>
      <c r="E31" s="76">
        <v>-14756915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18344241</v>
      </c>
      <c r="D32" s="76">
        <v>6643686</v>
      </c>
      <c r="E32" s="76">
        <v>-13242675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1538902</v>
      </c>
      <c r="D33" s="76">
        <f>+D32-C32</f>
        <v>-11700555</v>
      </c>
      <c r="E33" s="76">
        <f>+E32-D32</f>
        <v>-19886361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1.0914999999999999</v>
      </c>
      <c r="D34" s="193">
        <f>IF(C32=0,0,+D33/C32)</f>
        <v>-0.63783260370380002</v>
      </c>
      <c r="E34" s="193">
        <f>IF(D32=0,0,+E33/D32)</f>
        <v>-2.9932722588033207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1.0272020222870053</v>
      </c>
      <c r="D38" s="338">
        <f>IF(+D40=0,0,+D39/+D40)</f>
        <v>1.0460805607726931</v>
      </c>
      <c r="E38" s="338">
        <f>IF(+E40=0,0,+E39/+E40)</f>
        <v>1.0507957850390515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18163962</v>
      </c>
      <c r="D39" s="341">
        <v>19631456</v>
      </c>
      <c r="E39" s="341">
        <v>16936841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17682950</v>
      </c>
      <c r="D40" s="341">
        <v>18766677</v>
      </c>
      <c r="E40" s="341">
        <v>16118109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14.456896097435409</v>
      </c>
      <c r="D42" s="343">
        <f>IF((D48/365)=0,0,+D45/(D48/365))</f>
        <v>36.129251310577637</v>
      </c>
      <c r="E42" s="343">
        <f>IF((E48/365)=0,0,+E45/(E48/365))</f>
        <v>26.953309525816042</v>
      </c>
    </row>
    <row r="43" spans="1:14" ht="24" customHeight="1" x14ac:dyDescent="0.2">
      <c r="A43" s="339">
        <v>5</v>
      </c>
      <c r="B43" s="344" t="s">
        <v>16</v>
      </c>
      <c r="C43" s="345">
        <v>3173042</v>
      </c>
      <c r="D43" s="345">
        <v>7667186</v>
      </c>
      <c r="E43" s="345">
        <v>1974260</v>
      </c>
    </row>
    <row r="44" spans="1:14" ht="24" customHeight="1" x14ac:dyDescent="0.2">
      <c r="A44" s="339">
        <v>6</v>
      </c>
      <c r="B44" s="346" t="s">
        <v>17</v>
      </c>
      <c r="C44" s="345">
        <v>112243</v>
      </c>
      <c r="D44" s="345">
        <v>112417</v>
      </c>
      <c r="E44" s="345">
        <v>3538211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3285285</v>
      </c>
      <c r="D45" s="341">
        <f>+D43+D44</f>
        <v>7779603</v>
      </c>
      <c r="E45" s="341">
        <f>+E43+E44</f>
        <v>5512471</v>
      </c>
    </row>
    <row r="46" spans="1:14" ht="24" customHeight="1" x14ac:dyDescent="0.2">
      <c r="A46" s="339">
        <v>8</v>
      </c>
      <c r="B46" s="340" t="s">
        <v>334</v>
      </c>
      <c r="C46" s="341">
        <f>+C14</f>
        <v>89832916</v>
      </c>
      <c r="D46" s="341">
        <f>+D14</f>
        <v>81583595</v>
      </c>
      <c r="E46" s="341">
        <f>+E14</f>
        <v>77415816</v>
      </c>
    </row>
    <row r="47" spans="1:14" ht="24" customHeight="1" x14ac:dyDescent="0.2">
      <c r="A47" s="339">
        <v>9</v>
      </c>
      <c r="B47" s="340" t="s">
        <v>356</v>
      </c>
      <c r="C47" s="341">
        <v>6887793</v>
      </c>
      <c r="D47" s="341">
        <v>2989243</v>
      </c>
      <c r="E47" s="341">
        <v>2766285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82945123</v>
      </c>
      <c r="D48" s="341">
        <f>+D46-D47</f>
        <v>78594352</v>
      </c>
      <c r="E48" s="341">
        <f>+E46-E47</f>
        <v>74649531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41.551817189436051</v>
      </c>
      <c r="D50" s="350">
        <f>IF((D55/365)=0,0,+D54/(D55/365))</f>
        <v>40.26638908010019</v>
      </c>
      <c r="E50" s="350">
        <f>IF((E55/365)=0,0,+E54/(E55/365))</f>
        <v>47.633270358731501</v>
      </c>
    </row>
    <row r="51" spans="1:5" ht="24" customHeight="1" x14ac:dyDescent="0.2">
      <c r="A51" s="339">
        <v>12</v>
      </c>
      <c r="B51" s="344" t="s">
        <v>359</v>
      </c>
      <c r="C51" s="351">
        <v>10371729</v>
      </c>
      <c r="D51" s="351">
        <v>9919854</v>
      </c>
      <c r="E51" s="351">
        <v>9571176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1886925</v>
      </c>
      <c r="D53" s="341">
        <v>2415370</v>
      </c>
      <c r="E53" s="341">
        <v>1101627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8484804</v>
      </c>
      <c r="D54" s="352">
        <f>+D51+D52-D53</f>
        <v>7504484</v>
      </c>
      <c r="E54" s="352">
        <f>+E51+E52-E53</f>
        <v>8469549</v>
      </c>
    </row>
    <row r="55" spans="1:5" ht="24" customHeight="1" x14ac:dyDescent="0.2">
      <c r="A55" s="339">
        <v>16</v>
      </c>
      <c r="B55" s="340" t="s">
        <v>75</v>
      </c>
      <c r="C55" s="341">
        <f>+C11</f>
        <v>74532323</v>
      </c>
      <c r="D55" s="341">
        <f>+D11</f>
        <v>68025386</v>
      </c>
      <c r="E55" s="341">
        <f>+E11</f>
        <v>64899709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77.813818541205848</v>
      </c>
      <c r="D57" s="355">
        <f>IF((D61/365)=0,0,+D58/(D61/365))</f>
        <v>87.15431746291388</v>
      </c>
      <c r="E57" s="355">
        <f>IF((E61/365)=0,0,+E58/(E61/365))</f>
        <v>78.80973538869253</v>
      </c>
    </row>
    <row r="58" spans="1:5" ht="24" customHeight="1" x14ac:dyDescent="0.2">
      <c r="A58" s="339">
        <v>18</v>
      </c>
      <c r="B58" s="340" t="s">
        <v>54</v>
      </c>
      <c r="C58" s="353">
        <f>+C40</f>
        <v>17682950</v>
      </c>
      <c r="D58" s="353">
        <f>+D40</f>
        <v>18766677</v>
      </c>
      <c r="E58" s="353">
        <f>+E40</f>
        <v>16118109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89832916</v>
      </c>
      <c r="D59" s="353">
        <f t="shared" si="0"/>
        <v>81583595</v>
      </c>
      <c r="E59" s="353">
        <f t="shared" si="0"/>
        <v>77415816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6887793</v>
      </c>
      <c r="D60" s="356">
        <f t="shared" si="0"/>
        <v>2989243</v>
      </c>
      <c r="E60" s="356">
        <f t="shared" si="0"/>
        <v>2766285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82945123</v>
      </c>
      <c r="D61" s="353">
        <f>+D59-D60</f>
        <v>78594352</v>
      </c>
      <c r="E61" s="353">
        <f>+E59-E60</f>
        <v>74649531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24.654702949138972</v>
      </c>
      <c r="D65" s="357">
        <f>IF(D67=0,0,(D66/D67)*100)</f>
        <v>10.039313840609807</v>
      </c>
      <c r="E65" s="357">
        <f>IF(E67=0,0,(E66/E67)*100)</f>
        <v>-21.468809672734551</v>
      </c>
    </row>
    <row r="66" spans="1:5" ht="24" customHeight="1" x14ac:dyDescent="0.2">
      <c r="A66" s="339">
        <v>2</v>
      </c>
      <c r="B66" s="340" t="s">
        <v>67</v>
      </c>
      <c r="C66" s="353">
        <f>+C32</f>
        <v>18344241</v>
      </c>
      <c r="D66" s="353">
        <f>+D32</f>
        <v>6643686</v>
      </c>
      <c r="E66" s="353">
        <f>+E32</f>
        <v>-13242675</v>
      </c>
    </row>
    <row r="67" spans="1:5" ht="24" customHeight="1" x14ac:dyDescent="0.2">
      <c r="A67" s="339">
        <v>3</v>
      </c>
      <c r="B67" s="340" t="s">
        <v>43</v>
      </c>
      <c r="C67" s="353">
        <v>74404632</v>
      </c>
      <c r="D67" s="353">
        <v>66176694</v>
      </c>
      <c r="E67" s="353">
        <v>61683322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-16.567910782048653</v>
      </c>
      <c r="D69" s="357">
        <f>IF(D75=0,0,(D72/D75)*100)</f>
        <v>-21.380847878384603</v>
      </c>
      <c r="E69" s="357">
        <f>IF(E75=0,0,(E72/E75)*100)</f>
        <v>-12.771513571328677</v>
      </c>
    </row>
    <row r="70" spans="1:5" ht="24" customHeight="1" x14ac:dyDescent="0.2">
      <c r="A70" s="339">
        <v>5</v>
      </c>
      <c r="B70" s="340" t="s">
        <v>366</v>
      </c>
      <c r="C70" s="353">
        <f>+C28</f>
        <v>-10916729</v>
      </c>
      <c r="D70" s="353">
        <f>+D28</f>
        <v>-9672725</v>
      </c>
      <c r="E70" s="353">
        <f>+E28</f>
        <v>-6656557</v>
      </c>
    </row>
    <row r="71" spans="1:5" ht="24" customHeight="1" x14ac:dyDescent="0.2">
      <c r="A71" s="339">
        <v>6</v>
      </c>
      <c r="B71" s="340" t="s">
        <v>356</v>
      </c>
      <c r="C71" s="356">
        <f>+C47</f>
        <v>6887793</v>
      </c>
      <c r="D71" s="356">
        <f>+D47</f>
        <v>2989243</v>
      </c>
      <c r="E71" s="356">
        <f>+E47</f>
        <v>2766285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-4028936</v>
      </c>
      <c r="D72" s="353">
        <f>+D70+D71</f>
        <v>-6683482</v>
      </c>
      <c r="E72" s="353">
        <f>+E70+E71</f>
        <v>-3890272</v>
      </c>
    </row>
    <row r="73" spans="1:5" ht="24" customHeight="1" x14ac:dyDescent="0.2">
      <c r="A73" s="339">
        <v>8</v>
      </c>
      <c r="B73" s="340" t="s">
        <v>54</v>
      </c>
      <c r="C73" s="341">
        <f>+C40</f>
        <v>17682950</v>
      </c>
      <c r="D73" s="341">
        <f>+D40</f>
        <v>18766677</v>
      </c>
      <c r="E73" s="341">
        <f>+E40</f>
        <v>16118109</v>
      </c>
    </row>
    <row r="74" spans="1:5" ht="24" customHeight="1" x14ac:dyDescent="0.2">
      <c r="A74" s="339">
        <v>9</v>
      </c>
      <c r="B74" s="340" t="s">
        <v>58</v>
      </c>
      <c r="C74" s="353">
        <v>6634757</v>
      </c>
      <c r="D74" s="353">
        <v>12492523</v>
      </c>
      <c r="E74" s="353">
        <v>14342431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24317707</v>
      </c>
      <c r="D75" s="341">
        <f>+D73+D74</f>
        <v>31259200</v>
      </c>
      <c r="E75" s="341">
        <f>+E73+E74</f>
        <v>30460540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26.561341651894928</v>
      </c>
      <c r="D77" s="359">
        <f>IF(D80=0,0,(D78/D80)*100)</f>
        <v>65.282120403262738</v>
      </c>
      <c r="E77" s="359">
        <f>IF(E80=0,0,(E78/E80)*100)</f>
        <v>1304.1466470744419</v>
      </c>
    </row>
    <row r="78" spans="1:5" ht="24" customHeight="1" x14ac:dyDescent="0.2">
      <c r="A78" s="339">
        <v>12</v>
      </c>
      <c r="B78" s="340" t="s">
        <v>58</v>
      </c>
      <c r="C78" s="341">
        <f>+C74</f>
        <v>6634757</v>
      </c>
      <c r="D78" s="341">
        <f>+D74</f>
        <v>12492523</v>
      </c>
      <c r="E78" s="341">
        <f>+E74</f>
        <v>14342431</v>
      </c>
    </row>
    <row r="79" spans="1:5" ht="24" customHeight="1" x14ac:dyDescent="0.2">
      <c r="A79" s="339">
        <v>13</v>
      </c>
      <c r="B79" s="340" t="s">
        <v>67</v>
      </c>
      <c r="C79" s="341">
        <f>+C32</f>
        <v>18344241</v>
      </c>
      <c r="D79" s="341">
        <f>+D32</f>
        <v>6643686</v>
      </c>
      <c r="E79" s="341">
        <f>+E32</f>
        <v>-13242675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24978998</v>
      </c>
      <c r="D80" s="341">
        <f>+D78+D79</f>
        <v>19136209</v>
      </c>
      <c r="E80" s="341">
        <f>+E78+E79</f>
        <v>1099756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9767</v>
      </c>
      <c r="D11" s="376">
        <v>3093</v>
      </c>
      <c r="E11" s="376">
        <v>3180</v>
      </c>
      <c r="F11" s="377">
        <v>27</v>
      </c>
      <c r="G11" s="377">
        <v>78</v>
      </c>
      <c r="H11" s="378">
        <f>IF(F11=0,0,$C11/(F11*365))</f>
        <v>0.99107052257737194</v>
      </c>
      <c r="I11" s="378">
        <f>IF(G11=0,0,$C11/(G11*365))</f>
        <v>0.34306287319985951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2032</v>
      </c>
      <c r="D13" s="376">
        <v>528</v>
      </c>
      <c r="E13" s="376">
        <v>0</v>
      </c>
      <c r="F13" s="377">
        <v>6</v>
      </c>
      <c r="G13" s="377">
        <v>10</v>
      </c>
      <c r="H13" s="378">
        <f>IF(F13=0,0,$C13/(F13*365))</f>
        <v>0.92785388127853885</v>
      </c>
      <c r="I13" s="378">
        <f>IF(G13=0,0,$C13/(G13*365))</f>
        <v>0.55671232876712329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161</v>
      </c>
      <c r="D21" s="376">
        <v>53</v>
      </c>
      <c r="E21" s="376">
        <v>53</v>
      </c>
      <c r="F21" s="377">
        <v>4</v>
      </c>
      <c r="G21" s="377">
        <v>12</v>
      </c>
      <c r="H21" s="378">
        <f>IF(F21=0,0,$C21/(F21*365))</f>
        <v>0.11027397260273973</v>
      </c>
      <c r="I21" s="378">
        <f>IF(G21=0,0,$C21/(G21*365))</f>
        <v>3.6757990867579908E-2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150</v>
      </c>
      <c r="D23" s="376">
        <v>55</v>
      </c>
      <c r="E23" s="376">
        <v>55</v>
      </c>
      <c r="F23" s="377">
        <v>4</v>
      </c>
      <c r="G23" s="377">
        <v>12</v>
      </c>
      <c r="H23" s="378">
        <f>IF(F23=0,0,$C23/(F23*365))</f>
        <v>0.10273972602739725</v>
      </c>
      <c r="I23" s="378">
        <f>IF(G23=0,0,$C23/(G23*365))</f>
        <v>3.4246575342465752E-2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6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11960</v>
      </c>
      <c r="D31" s="384">
        <f>SUM(D10:D29)-D13-D17-D23</f>
        <v>3146</v>
      </c>
      <c r="E31" s="384">
        <f>SUM(E10:E29)-E17-E23</f>
        <v>3233</v>
      </c>
      <c r="F31" s="384">
        <f>SUM(F10:F29)-F17-F23</f>
        <v>37</v>
      </c>
      <c r="G31" s="384">
        <f>SUM(G10:G29)-G17-G23</f>
        <v>106</v>
      </c>
      <c r="H31" s="385">
        <f>IF(F31=0,0,$C31/(F31*365))</f>
        <v>0.88559792669381709</v>
      </c>
      <c r="I31" s="385">
        <f>IF(G31=0,0,$C31/(G31*365))</f>
        <v>0.30912380460067201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12110</v>
      </c>
      <c r="D33" s="384">
        <f>SUM(D10:D29)-D13-D17</f>
        <v>3201</v>
      </c>
      <c r="E33" s="384">
        <f>SUM(E10:E29)-E17</f>
        <v>3288</v>
      </c>
      <c r="F33" s="384">
        <f>SUM(F10:F29)-F17</f>
        <v>41</v>
      </c>
      <c r="G33" s="384">
        <f>SUM(G10:G29)-G17</f>
        <v>118</v>
      </c>
      <c r="H33" s="385">
        <f>IF(F33=0,0,$C33/(F33*365))</f>
        <v>0.80922151687270294</v>
      </c>
      <c r="I33" s="385">
        <f>IF(G33=0,0,$C33/(G33*365))</f>
        <v>0.28117018806593919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12110</v>
      </c>
      <c r="D36" s="384">
        <f t="shared" si="1"/>
        <v>3201</v>
      </c>
      <c r="E36" s="384">
        <f t="shared" si="1"/>
        <v>3288</v>
      </c>
      <c r="F36" s="384">
        <f t="shared" si="1"/>
        <v>41</v>
      </c>
      <c r="G36" s="384">
        <f t="shared" si="1"/>
        <v>118</v>
      </c>
      <c r="H36" s="387">
        <f t="shared" si="1"/>
        <v>0.80922151687270294</v>
      </c>
      <c r="I36" s="387">
        <f t="shared" si="1"/>
        <v>0.28117018806593919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12880</v>
      </c>
      <c r="D37" s="384">
        <v>3121</v>
      </c>
      <c r="E37" s="384">
        <v>3127</v>
      </c>
      <c r="F37" s="386">
        <v>43</v>
      </c>
      <c r="G37" s="386">
        <v>118</v>
      </c>
      <c r="H37" s="385">
        <f>IF(F37=0,0,$C37/(F37*365))</f>
        <v>0.82064351704364447</v>
      </c>
      <c r="I37" s="385">
        <f>IF(G37=0,0,$C37/(G37*365))</f>
        <v>0.29904806129556538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-770</v>
      </c>
      <c r="D38" s="384">
        <f t="shared" si="2"/>
        <v>80</v>
      </c>
      <c r="E38" s="384">
        <f t="shared" si="2"/>
        <v>161</v>
      </c>
      <c r="F38" s="384">
        <f t="shared" si="2"/>
        <v>-2</v>
      </c>
      <c r="G38" s="384">
        <f t="shared" si="2"/>
        <v>0</v>
      </c>
      <c r="H38" s="387">
        <f t="shared" si="2"/>
        <v>-1.1422000170941526E-2</v>
      </c>
      <c r="I38" s="387">
        <f t="shared" si="2"/>
        <v>-1.7877873229626196E-2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-5.9782608695652176E-2</v>
      </c>
      <c r="D40" s="389">
        <f t="shared" si="3"/>
        <v>2.5632809996795899E-2</v>
      </c>
      <c r="E40" s="389">
        <f t="shared" si="3"/>
        <v>5.1487048289094978E-2</v>
      </c>
      <c r="F40" s="389">
        <f t="shared" si="3"/>
        <v>-4.6511627906976744E-2</v>
      </c>
      <c r="G40" s="389">
        <f t="shared" si="3"/>
        <v>0</v>
      </c>
      <c r="H40" s="389">
        <f t="shared" si="3"/>
        <v>-1.3918345705196216E-2</v>
      </c>
      <c r="I40" s="389">
        <f t="shared" si="3"/>
        <v>-5.978260869565219E-2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490</v>
      </c>
      <c r="D12" s="409">
        <v>483</v>
      </c>
      <c r="E12" s="409">
        <f>+D12-C12</f>
        <v>-7</v>
      </c>
      <c r="F12" s="410">
        <f>IF(C12=0,0,+E12/C12)</f>
        <v>-1.4285714285714285E-2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1325</v>
      </c>
      <c r="D13" s="409">
        <v>1371</v>
      </c>
      <c r="E13" s="409">
        <f>+D13-C13</f>
        <v>46</v>
      </c>
      <c r="F13" s="410">
        <f>IF(C13=0,0,+E13/C13)</f>
        <v>3.471698113207547E-2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6301</v>
      </c>
      <c r="D14" s="409">
        <v>6124</v>
      </c>
      <c r="E14" s="409">
        <f>+D14-C14</f>
        <v>-177</v>
      </c>
      <c r="F14" s="410">
        <f>IF(C14=0,0,+E14/C14)</f>
        <v>-2.8090779241390255E-2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8116</v>
      </c>
      <c r="D16" s="401">
        <f>SUM(D12:D15)</f>
        <v>7978</v>
      </c>
      <c r="E16" s="401">
        <f>+D16-C16</f>
        <v>-138</v>
      </c>
      <c r="F16" s="402">
        <f>IF(C16=0,0,+E16/C16)</f>
        <v>-1.700344997535732E-2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140</v>
      </c>
      <c r="D19" s="409">
        <v>165</v>
      </c>
      <c r="E19" s="409">
        <f>+D19-C19</f>
        <v>25</v>
      </c>
      <c r="F19" s="410">
        <f>IF(C19=0,0,+E19/C19)</f>
        <v>0.17857142857142858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1468</v>
      </c>
      <c r="D20" s="409">
        <v>1110</v>
      </c>
      <c r="E20" s="409">
        <f>+D20-C20</f>
        <v>-358</v>
      </c>
      <c r="F20" s="410">
        <f>IF(C20=0,0,+E20/C20)</f>
        <v>-0.2438692098092643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183</v>
      </c>
      <c r="D21" s="409">
        <v>229</v>
      </c>
      <c r="E21" s="409">
        <f>+D21-C21</f>
        <v>46</v>
      </c>
      <c r="F21" s="410">
        <f>IF(C21=0,0,+E21/C21)</f>
        <v>0.25136612021857924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1791</v>
      </c>
      <c r="D23" s="401">
        <f>SUM(D19:D22)</f>
        <v>1504</v>
      </c>
      <c r="E23" s="401">
        <f>+D23-C23</f>
        <v>-287</v>
      </c>
      <c r="F23" s="402">
        <f>IF(C23=0,0,+E23/C23)</f>
        <v>-0.16024567280848687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58</v>
      </c>
      <c r="D27" s="409">
        <v>53</v>
      </c>
      <c r="E27" s="409">
        <f>+D27-C27</f>
        <v>-5</v>
      </c>
      <c r="F27" s="410">
        <f>IF(C27=0,0,+E27/C27)</f>
        <v>-8.6206896551724144E-2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58</v>
      </c>
      <c r="D30" s="401">
        <f>SUM(D26:D29)</f>
        <v>53</v>
      </c>
      <c r="E30" s="401">
        <f>+D30-C30</f>
        <v>-5</v>
      </c>
      <c r="F30" s="402">
        <f>IF(C30=0,0,+E30/C30)</f>
        <v>-8.6206896551724144E-2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1062</v>
      </c>
      <c r="D63" s="409">
        <v>1001</v>
      </c>
      <c r="E63" s="409">
        <f>+D63-C63</f>
        <v>-61</v>
      </c>
      <c r="F63" s="410">
        <f>IF(C63=0,0,+E63/C63)</f>
        <v>-5.7438794726930323E-2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1748</v>
      </c>
      <c r="D64" s="409">
        <v>1471</v>
      </c>
      <c r="E64" s="409">
        <f>+D64-C64</f>
        <v>-277</v>
      </c>
      <c r="F64" s="410">
        <f>IF(C64=0,0,+E64/C64)</f>
        <v>-0.15846681922196795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2810</v>
      </c>
      <c r="D65" s="401">
        <f>SUM(D63:D64)</f>
        <v>2472</v>
      </c>
      <c r="E65" s="401">
        <f>+D65-C65</f>
        <v>-338</v>
      </c>
      <c r="F65" s="402">
        <f>IF(C65=0,0,+E65/C65)</f>
        <v>-0.1202846975088968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286</v>
      </c>
      <c r="D68" s="409">
        <v>214</v>
      </c>
      <c r="E68" s="409">
        <f>+D68-C68</f>
        <v>-72</v>
      </c>
      <c r="F68" s="410">
        <f>IF(C68=0,0,+E68/C68)</f>
        <v>-0.25174825174825177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1645</v>
      </c>
      <c r="D69" s="409">
        <v>1787</v>
      </c>
      <c r="E69" s="409">
        <f>+D69-C69</f>
        <v>142</v>
      </c>
      <c r="F69" s="412">
        <f>IF(C69=0,0,+E69/C69)</f>
        <v>8.6322188449848028E-2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1931</v>
      </c>
      <c r="D70" s="401">
        <f>SUM(D68:D69)</f>
        <v>2001</v>
      </c>
      <c r="E70" s="401">
        <f>+D70-C70</f>
        <v>70</v>
      </c>
      <c r="F70" s="402">
        <f>IF(C70=0,0,+E70/C70)</f>
        <v>3.6250647332988092E-2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2897</v>
      </c>
      <c r="D73" s="376">
        <v>3031</v>
      </c>
      <c r="E73" s="409">
        <f>+D73-C73</f>
        <v>134</v>
      </c>
      <c r="F73" s="410">
        <f>IF(C73=0,0,+E73/C73)</f>
        <v>4.6254746289264757E-2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19735</v>
      </c>
      <c r="D74" s="376">
        <v>18664</v>
      </c>
      <c r="E74" s="409">
        <f>+D74-C74</f>
        <v>-1071</v>
      </c>
      <c r="F74" s="410">
        <f>IF(C74=0,0,+E74/C74)</f>
        <v>-5.4269065112743854E-2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22632</v>
      </c>
      <c r="D75" s="401">
        <f>SUM(D73:D74)</f>
        <v>21695</v>
      </c>
      <c r="E75" s="401">
        <f>SUM(E73:E74)</f>
        <v>-937</v>
      </c>
      <c r="F75" s="402">
        <f>IF(C75=0,0,+E75/C75)</f>
        <v>-4.1401555319901022E-2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11264</v>
      </c>
      <c r="D84" s="376">
        <v>10532</v>
      </c>
      <c r="E84" s="409">
        <f t="shared" si="0"/>
        <v>-732</v>
      </c>
      <c r="F84" s="410">
        <f t="shared" si="1"/>
        <v>-6.4985795454545456E-2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11264</v>
      </c>
      <c r="D92" s="381">
        <f>SUM(D79:D91)</f>
        <v>10532</v>
      </c>
      <c r="E92" s="401">
        <f t="shared" si="0"/>
        <v>-732</v>
      </c>
      <c r="F92" s="402">
        <f t="shared" si="1"/>
        <v>-6.4985795454545456E-2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22170</v>
      </c>
      <c r="D99" s="414">
        <v>20400</v>
      </c>
      <c r="E99" s="409">
        <f t="shared" si="2"/>
        <v>-1770</v>
      </c>
      <c r="F99" s="410">
        <f t="shared" si="3"/>
        <v>-7.9837618403247629E-2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22170</v>
      </c>
      <c r="D100" s="381">
        <f>SUM(D95:D99)</f>
        <v>20400</v>
      </c>
      <c r="E100" s="401">
        <f t="shared" si="2"/>
        <v>-1770</v>
      </c>
      <c r="F100" s="402">
        <f t="shared" si="3"/>
        <v>-7.9837618403247629E-2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195</v>
      </c>
      <c r="D104" s="416">
        <v>159.6</v>
      </c>
      <c r="E104" s="417">
        <f>+D104-C104</f>
        <v>-35.400000000000006</v>
      </c>
      <c r="F104" s="410">
        <f>IF(C104=0,0,+E104/C104)</f>
        <v>-0.18153846153846157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13</v>
      </c>
      <c r="D105" s="416">
        <v>11</v>
      </c>
      <c r="E105" s="417">
        <f>+D105-C105</f>
        <v>-2</v>
      </c>
      <c r="F105" s="410">
        <f>IF(C105=0,0,+E105/C105)</f>
        <v>-0.15384615384615385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260</v>
      </c>
      <c r="D106" s="416">
        <v>273.60000000000002</v>
      </c>
      <c r="E106" s="417">
        <f>+D106-C106</f>
        <v>13.600000000000023</v>
      </c>
      <c r="F106" s="410">
        <f>IF(C106=0,0,+E106/C106)</f>
        <v>5.2307692307692395E-2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468</v>
      </c>
      <c r="D107" s="418">
        <f>SUM(D104:D106)</f>
        <v>444.20000000000005</v>
      </c>
      <c r="E107" s="418">
        <f>+D107-C107</f>
        <v>-23.799999999999955</v>
      </c>
      <c r="F107" s="402">
        <f>IF(C107=0,0,+E107/C107)</f>
        <v>-5.0854700854700757E-2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1748</v>
      </c>
      <c r="D12" s="409">
        <v>1471</v>
      </c>
      <c r="E12" s="409">
        <f>+D12-C12</f>
        <v>-277</v>
      </c>
      <c r="F12" s="410">
        <f>IF(C12=0,0,+E12/C12)</f>
        <v>-0.15846681922196795</v>
      </c>
    </row>
    <row r="13" spans="1:6" ht="15.75" customHeight="1" x14ac:dyDescent="0.25">
      <c r="A13" s="374"/>
      <c r="B13" s="399" t="s">
        <v>622</v>
      </c>
      <c r="C13" s="401">
        <f>SUM(C11:C12)</f>
        <v>1748</v>
      </c>
      <c r="D13" s="401">
        <f>SUM(D11:D12)</f>
        <v>1471</v>
      </c>
      <c r="E13" s="401">
        <f>+D13-C13</f>
        <v>-277</v>
      </c>
      <c r="F13" s="402">
        <f>IF(C13=0,0,+E13/C13)</f>
        <v>-0.15846681922196795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1645</v>
      </c>
      <c r="D16" s="409">
        <v>1787</v>
      </c>
      <c r="E16" s="409">
        <f>+D16-C16</f>
        <v>142</v>
      </c>
      <c r="F16" s="410">
        <f>IF(C16=0,0,+E16/C16)</f>
        <v>8.6322188449848028E-2</v>
      </c>
    </row>
    <row r="17" spans="1:6" ht="15.75" customHeight="1" x14ac:dyDescent="0.25">
      <c r="A17" s="374"/>
      <c r="B17" s="399" t="s">
        <v>623</v>
      </c>
      <c r="C17" s="401">
        <f>SUM(C15:C16)</f>
        <v>1645</v>
      </c>
      <c r="D17" s="401">
        <f>SUM(D15:D16)</f>
        <v>1787</v>
      </c>
      <c r="E17" s="401">
        <f>+D17-C17</f>
        <v>142</v>
      </c>
      <c r="F17" s="402">
        <f>IF(C17=0,0,+E17/C17)</f>
        <v>8.6322188449848028E-2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</row>
    <row r="21" spans="1:6" ht="15.75" customHeight="1" x14ac:dyDescent="0.2">
      <c r="A21" s="374">
        <v>2</v>
      </c>
      <c r="B21" s="408" t="s">
        <v>621</v>
      </c>
      <c r="C21" s="409">
        <v>19735</v>
      </c>
      <c r="D21" s="409">
        <v>18664</v>
      </c>
      <c r="E21" s="409">
        <f>+D21-C21</f>
        <v>-1071</v>
      </c>
      <c r="F21" s="410">
        <f>IF(C21=0,0,+E21/C21)</f>
        <v>-5.4269065112743854E-2</v>
      </c>
    </row>
    <row r="22" spans="1:6" ht="15.75" customHeight="1" x14ac:dyDescent="0.25">
      <c r="A22" s="374"/>
      <c r="B22" s="399" t="s">
        <v>626</v>
      </c>
      <c r="C22" s="401">
        <f>SUM(C19:C21)</f>
        <v>19735</v>
      </c>
      <c r="D22" s="401">
        <f>SUM(D19:D21)</f>
        <v>18664</v>
      </c>
      <c r="E22" s="401">
        <f>+D22-C22</f>
        <v>-1071</v>
      </c>
      <c r="F22" s="402">
        <f>IF(C22=0,0,+E22/C22)</f>
        <v>-5.4269065112743854E-2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63576740</v>
      </c>
      <c r="D15" s="448">
        <v>68152688</v>
      </c>
      <c r="E15" s="448">
        <f t="shared" ref="E15:E24" si="0">D15-C15</f>
        <v>4575948</v>
      </c>
      <c r="F15" s="449">
        <f t="shared" ref="F15:F24" si="1">IF(C15=0,0,E15/C15)</f>
        <v>7.1975190926744592E-2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20112609</v>
      </c>
      <c r="D16" s="448">
        <v>19042627</v>
      </c>
      <c r="E16" s="448">
        <f t="shared" si="0"/>
        <v>-1069982</v>
      </c>
      <c r="F16" s="449">
        <f t="shared" si="1"/>
        <v>-5.3199562523191295E-2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0.31635168773988726</v>
      </c>
      <c r="D17" s="453">
        <f>IF(LN_IA1=0,0,LN_IA2/LN_IA1)</f>
        <v>0.27941123906954335</v>
      </c>
      <c r="E17" s="454">
        <f t="shared" si="0"/>
        <v>-3.6940448670343906E-2</v>
      </c>
      <c r="F17" s="449">
        <f t="shared" si="1"/>
        <v>-0.11677019627825511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1867</v>
      </c>
      <c r="D18" s="456">
        <v>1941</v>
      </c>
      <c r="E18" s="456">
        <f t="shared" si="0"/>
        <v>74</v>
      </c>
      <c r="F18" s="449">
        <f t="shared" si="1"/>
        <v>3.9635779325120517E-2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1.4706999999999999</v>
      </c>
      <c r="D19" s="459">
        <v>1.4253</v>
      </c>
      <c r="E19" s="460">
        <f t="shared" si="0"/>
        <v>-4.5399999999999885E-2</v>
      </c>
      <c r="F19" s="449">
        <f t="shared" si="1"/>
        <v>-3.0869653906303043E-2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2745.7968999999998</v>
      </c>
      <c r="D20" s="463">
        <f>LN_IA4*LN_IA5</f>
        <v>2766.5073000000002</v>
      </c>
      <c r="E20" s="463">
        <f t="shared" si="0"/>
        <v>20.710400000000391</v>
      </c>
      <c r="F20" s="449">
        <f t="shared" si="1"/>
        <v>7.5425826287444609E-3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7324.8713333458863</v>
      </c>
      <c r="D21" s="465">
        <f>IF(LN_IA6=0,0,LN_IA2/LN_IA6)</f>
        <v>6883.2737220682548</v>
      </c>
      <c r="E21" s="465">
        <f t="shared" si="0"/>
        <v>-441.59761127763159</v>
      </c>
      <c r="F21" s="449">
        <f t="shared" si="1"/>
        <v>-6.0287422287855628E-2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8231</v>
      </c>
      <c r="D22" s="456">
        <v>8091</v>
      </c>
      <c r="E22" s="456">
        <f t="shared" si="0"/>
        <v>-140</v>
      </c>
      <c r="F22" s="449">
        <f t="shared" si="1"/>
        <v>-1.7008868910217471E-2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2443.5194994532862</v>
      </c>
      <c r="D23" s="465">
        <f>IF(LN_IA8=0,0,LN_IA2/LN_IA8)</f>
        <v>2353.5566679026078</v>
      </c>
      <c r="E23" s="465">
        <f t="shared" si="0"/>
        <v>-89.962831550678402</v>
      </c>
      <c r="F23" s="449">
        <f t="shared" si="1"/>
        <v>-3.6816907567468443E-2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4.4086770219603642</v>
      </c>
      <c r="D24" s="466">
        <f>IF(LN_IA4=0,0,LN_IA8/LN_IA4)</f>
        <v>4.1684698608964448</v>
      </c>
      <c r="E24" s="466">
        <f t="shared" si="0"/>
        <v>-0.24020716106391937</v>
      </c>
      <c r="F24" s="449">
        <f t="shared" si="1"/>
        <v>-5.4485089260884155E-2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34730744</v>
      </c>
      <c r="D27" s="448">
        <v>34924535</v>
      </c>
      <c r="E27" s="448">
        <f t="shared" ref="E27:E32" si="2">D27-C27</f>
        <v>193791</v>
      </c>
      <c r="F27" s="449">
        <f t="shared" ref="F27:F32" si="3">IF(C27=0,0,E27/C27)</f>
        <v>5.5798113625207682E-3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8449365</v>
      </c>
      <c r="D28" s="448">
        <v>7777901</v>
      </c>
      <c r="E28" s="448">
        <f t="shared" si="2"/>
        <v>-671464</v>
      </c>
      <c r="F28" s="449">
        <f t="shared" si="3"/>
        <v>-7.9469167209606881E-2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0.24328200397895305</v>
      </c>
      <c r="D29" s="453">
        <f>IF(LN_IA11=0,0,LN_IA12/LN_IA11)</f>
        <v>0.22270592865445452</v>
      </c>
      <c r="E29" s="454">
        <f t="shared" si="2"/>
        <v>-2.0576075324498538E-2</v>
      </c>
      <c r="F29" s="449">
        <f t="shared" si="3"/>
        <v>-8.4577054562073678E-2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0.54628066805564424</v>
      </c>
      <c r="D30" s="453">
        <f>IF(LN_IA1=0,0,LN_IA11/LN_IA1)</f>
        <v>0.51244545189472201</v>
      </c>
      <c r="E30" s="454">
        <f t="shared" si="2"/>
        <v>-3.3835216160922221E-2</v>
      </c>
      <c r="F30" s="449">
        <f t="shared" si="3"/>
        <v>-6.1937421804345749E-2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1019.9060072598878</v>
      </c>
      <c r="D31" s="463">
        <f>LN_IA14*LN_IA4</f>
        <v>994.6566221276554</v>
      </c>
      <c r="E31" s="463">
        <f t="shared" si="2"/>
        <v>-25.249385132232419</v>
      </c>
      <c r="F31" s="449">
        <f t="shared" si="3"/>
        <v>-2.4756580461829249E-2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8284.4545868499536</v>
      </c>
      <c r="D32" s="465">
        <f>IF(LN_IA15=0,0,LN_IA12/LN_IA15)</f>
        <v>7819.6845292824837</v>
      </c>
      <c r="E32" s="465">
        <f t="shared" si="2"/>
        <v>-464.77005756746985</v>
      </c>
      <c r="F32" s="449">
        <f t="shared" si="3"/>
        <v>-5.6101467235417854E-2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98307484</v>
      </c>
      <c r="D35" s="448">
        <f>LN_IA1+LN_IA11</f>
        <v>103077223</v>
      </c>
      <c r="E35" s="448">
        <f>D35-C35</f>
        <v>4769739</v>
      </c>
      <c r="F35" s="449">
        <f>IF(C35=0,0,E35/C35)</f>
        <v>4.8518574638732492E-2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28561974</v>
      </c>
      <c r="D36" s="448">
        <f>LN_IA2+LN_IA12</f>
        <v>26820528</v>
      </c>
      <c r="E36" s="448">
        <f>D36-C36</f>
        <v>-1741446</v>
      </c>
      <c r="F36" s="449">
        <f>IF(C36=0,0,E36/C36)</f>
        <v>-6.0970785842743222E-2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69745510</v>
      </c>
      <c r="D37" s="448">
        <f>LN_IA17-LN_IA18</f>
        <v>76256695</v>
      </c>
      <c r="E37" s="448">
        <f>D37-C37</f>
        <v>6511185</v>
      </c>
      <c r="F37" s="449">
        <f>IF(C37=0,0,E37/C37)</f>
        <v>9.335633218539803E-2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26989492</v>
      </c>
      <c r="D42" s="448">
        <v>29546764</v>
      </c>
      <c r="E42" s="448">
        <f t="shared" ref="E42:E53" si="4">D42-C42</f>
        <v>2557272</v>
      </c>
      <c r="F42" s="449">
        <f t="shared" ref="F42:F53" si="5">IF(C42=0,0,E42/C42)</f>
        <v>9.475065332833979E-2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10646730</v>
      </c>
      <c r="D43" s="448">
        <v>11546348</v>
      </c>
      <c r="E43" s="448">
        <f t="shared" si="4"/>
        <v>899618</v>
      </c>
      <c r="F43" s="449">
        <f t="shared" si="5"/>
        <v>8.4497117894414525E-2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0.39447685788231951</v>
      </c>
      <c r="D44" s="453">
        <f>IF(LN_IB1=0,0,LN_IB2/LN_IB1)</f>
        <v>0.39078215130428495</v>
      </c>
      <c r="E44" s="454">
        <f t="shared" si="4"/>
        <v>-3.6947065780345567E-3</v>
      </c>
      <c r="F44" s="449">
        <f t="shared" si="5"/>
        <v>-9.3660920893279959E-3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916</v>
      </c>
      <c r="D45" s="456">
        <v>932</v>
      </c>
      <c r="E45" s="456">
        <f t="shared" si="4"/>
        <v>16</v>
      </c>
      <c r="F45" s="449">
        <f t="shared" si="5"/>
        <v>1.7467248908296942E-2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1.397</v>
      </c>
      <c r="D46" s="459">
        <v>1.4137</v>
      </c>
      <c r="E46" s="460">
        <f t="shared" si="4"/>
        <v>1.6699999999999937E-2</v>
      </c>
      <c r="F46" s="449">
        <f t="shared" si="5"/>
        <v>1.1954187544738681E-2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1279.652</v>
      </c>
      <c r="D47" s="463">
        <f>LN_IB4*LN_IB5</f>
        <v>1317.5683999999999</v>
      </c>
      <c r="E47" s="463">
        <f t="shared" si="4"/>
        <v>37.91639999999984</v>
      </c>
      <c r="F47" s="449">
        <f t="shared" si="5"/>
        <v>2.9630243222375958E-2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8320.0198178879873</v>
      </c>
      <c r="D48" s="465">
        <f>IF(LN_IB6=0,0,LN_IB2/LN_IB6)</f>
        <v>8763.3765351385173</v>
      </c>
      <c r="E48" s="465">
        <f t="shared" si="4"/>
        <v>443.35671725052998</v>
      </c>
      <c r="F48" s="449">
        <f t="shared" si="5"/>
        <v>5.3287940047608541E-2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-995.14848454210096</v>
      </c>
      <c r="D49" s="465">
        <f>LN_IA7-LN_IB7</f>
        <v>-1880.1028130702625</v>
      </c>
      <c r="E49" s="465">
        <f t="shared" si="4"/>
        <v>-884.95432852816157</v>
      </c>
      <c r="F49" s="449">
        <f t="shared" si="5"/>
        <v>0.88926862902811621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-1273443.7485412685</v>
      </c>
      <c r="D50" s="479">
        <f>LN_IB8*LN_IB6</f>
        <v>-2477164.0552524845</v>
      </c>
      <c r="E50" s="479">
        <f t="shared" si="4"/>
        <v>-1203720.306711216</v>
      </c>
      <c r="F50" s="449">
        <f t="shared" si="5"/>
        <v>0.94524811801862407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3068</v>
      </c>
      <c r="D51" s="456">
        <v>2745</v>
      </c>
      <c r="E51" s="456">
        <f t="shared" si="4"/>
        <v>-323</v>
      </c>
      <c r="F51" s="449">
        <f t="shared" si="5"/>
        <v>-0.10528031290743155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3470.2509778357235</v>
      </c>
      <c r="D52" s="465">
        <f>IF(LN_IB10=0,0,LN_IB2/LN_IB10)</f>
        <v>4206.3198542805103</v>
      </c>
      <c r="E52" s="465">
        <f t="shared" si="4"/>
        <v>736.06887644478684</v>
      </c>
      <c r="F52" s="449">
        <f t="shared" si="5"/>
        <v>0.21210825417124377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3.3493449781659388</v>
      </c>
      <c r="D53" s="466">
        <f>IF(LN_IB4=0,0,LN_IB10/LN_IB4)</f>
        <v>2.9452789699570814</v>
      </c>
      <c r="E53" s="466">
        <f t="shared" si="4"/>
        <v>-0.40406600820885741</v>
      </c>
      <c r="F53" s="449">
        <f t="shared" si="5"/>
        <v>-0.12064030753563018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45994687</v>
      </c>
      <c r="D56" s="448">
        <v>41667397</v>
      </c>
      <c r="E56" s="448">
        <f t="shared" ref="E56:E63" si="6">D56-C56</f>
        <v>-4327290</v>
      </c>
      <c r="F56" s="449">
        <f t="shared" ref="F56:F63" si="7">IF(C56=0,0,E56/C56)</f>
        <v>-9.4082388254973878E-2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19197547</v>
      </c>
      <c r="D57" s="448">
        <v>17279715</v>
      </c>
      <c r="E57" s="448">
        <f t="shared" si="6"/>
        <v>-1917832</v>
      </c>
      <c r="F57" s="449">
        <f t="shared" si="7"/>
        <v>-9.9899846579357243E-2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0.41738618636539476</v>
      </c>
      <c r="D58" s="453">
        <f>IF(LN_IB13=0,0,LN_IB14/LN_IB13)</f>
        <v>0.41470589103514194</v>
      </c>
      <c r="E58" s="454">
        <f t="shared" si="6"/>
        <v>-2.6802953302528243E-3</v>
      </c>
      <c r="F58" s="449">
        <f t="shared" si="7"/>
        <v>-6.4216196362243717E-3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1.7041701637066751</v>
      </c>
      <c r="D59" s="453">
        <f>IF(LN_IB1=0,0,LN_IB13/LN_IB1)</f>
        <v>1.4102186283411611</v>
      </c>
      <c r="E59" s="454">
        <f t="shared" si="6"/>
        <v>-0.29395153536551399</v>
      </c>
      <c r="F59" s="449">
        <f t="shared" si="7"/>
        <v>-0.17248954454533535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1561.0198699553143</v>
      </c>
      <c r="D60" s="463">
        <f>LN_IB16*LN_IB4</f>
        <v>1314.3237616139622</v>
      </c>
      <c r="E60" s="463">
        <f t="shared" si="6"/>
        <v>-246.6961083413521</v>
      </c>
      <c r="F60" s="449">
        <f t="shared" si="7"/>
        <v>-0.15803521344569049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12298.07984478093</v>
      </c>
      <c r="D61" s="465">
        <f>IF(LN_IB17=0,0,LN_IB14/LN_IB17)</f>
        <v>13147.228639297269</v>
      </c>
      <c r="E61" s="465">
        <f t="shared" si="6"/>
        <v>849.14879451633897</v>
      </c>
      <c r="F61" s="449">
        <f t="shared" si="7"/>
        <v>6.9047266340257291E-2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-4013.6252579309767</v>
      </c>
      <c r="D62" s="465">
        <f>LN_IA16-LN_IB18</f>
        <v>-5327.5441100147855</v>
      </c>
      <c r="E62" s="465">
        <f t="shared" si="6"/>
        <v>-1313.9188520838088</v>
      </c>
      <c r="F62" s="449">
        <f t="shared" si="7"/>
        <v>0.3273646062216416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-6265348.7781847781</v>
      </c>
      <c r="D63" s="448">
        <f>LN_IB19*LN_IB17</f>
        <v>-7002117.8148389412</v>
      </c>
      <c r="E63" s="448">
        <f t="shared" si="6"/>
        <v>-736769.03665416315</v>
      </c>
      <c r="F63" s="449">
        <f t="shared" si="7"/>
        <v>0.11759425735714953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72984179</v>
      </c>
      <c r="D66" s="448">
        <f>LN_IB1+LN_IB13</f>
        <v>71214161</v>
      </c>
      <c r="E66" s="448">
        <f>D66-C66</f>
        <v>-1770018</v>
      </c>
      <c r="F66" s="449">
        <f>IF(C66=0,0,E66/C66)</f>
        <v>-2.4252077974323723E-2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29844277</v>
      </c>
      <c r="D67" s="448">
        <f>LN_IB2+LN_IB14</f>
        <v>28826063</v>
      </c>
      <c r="E67" s="448">
        <f>D67-C67</f>
        <v>-1018214</v>
      </c>
      <c r="F67" s="449">
        <f>IF(C67=0,0,E67/C67)</f>
        <v>-3.4117562975306791E-2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43139902</v>
      </c>
      <c r="D68" s="448">
        <f>LN_IB21-LN_IB22</f>
        <v>42388098</v>
      </c>
      <c r="E68" s="448">
        <f>D68-C68</f>
        <v>-751804</v>
      </c>
      <c r="F68" s="449">
        <f>IF(C68=0,0,E68/C68)</f>
        <v>-1.7427114229420365E-2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-7538792.5267260466</v>
      </c>
      <c r="D70" s="441">
        <f>LN_IB9+LN_IB20</f>
        <v>-9479281.8700914253</v>
      </c>
      <c r="E70" s="448">
        <f>D70-C70</f>
        <v>-1940489.3433653787</v>
      </c>
      <c r="F70" s="449">
        <f>IF(C70=0,0,E70/C70)</f>
        <v>0.25740055008624785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66221864</v>
      </c>
      <c r="D73" s="488">
        <v>64692160</v>
      </c>
      <c r="E73" s="488">
        <f>D73-C73</f>
        <v>-1529704</v>
      </c>
      <c r="F73" s="489">
        <f>IF(C73=0,0,E73/C73)</f>
        <v>-2.3099682002306669E-2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33792844</v>
      </c>
      <c r="D74" s="488">
        <v>32162323</v>
      </c>
      <c r="E74" s="488">
        <f>D74-C74</f>
        <v>-1630521</v>
      </c>
      <c r="F74" s="489">
        <f>IF(C74=0,0,E74/C74)</f>
        <v>-4.8250481670024575E-2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32429020</v>
      </c>
      <c r="D76" s="441">
        <f>LN_IB32-LN_IB33</f>
        <v>32529837</v>
      </c>
      <c r="E76" s="488">
        <f>D76-C76</f>
        <v>100817</v>
      </c>
      <c r="F76" s="489">
        <f>IF(E76=0,0,E76/C76)</f>
        <v>3.10885126963442E-3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0.48970261543830901</v>
      </c>
      <c r="D77" s="453">
        <f>IF(LN_IB32=0,0,LN_IB34/LN_IB32)</f>
        <v>0.50284048329813069</v>
      </c>
      <c r="E77" s="493">
        <f>D77-C77</f>
        <v>1.3137867859821684E-2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1574728</v>
      </c>
      <c r="D83" s="448">
        <v>758177</v>
      </c>
      <c r="E83" s="448">
        <f t="shared" ref="E83:E95" si="8">D83-C83</f>
        <v>-816551</v>
      </c>
      <c r="F83" s="449">
        <f t="shared" ref="F83:F95" si="9">IF(C83=0,0,E83/C83)</f>
        <v>-0.51853462947251838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56740</v>
      </c>
      <c r="D84" s="448">
        <v>75818</v>
      </c>
      <c r="E84" s="448">
        <f t="shared" si="8"/>
        <v>19078</v>
      </c>
      <c r="F84" s="449">
        <f t="shared" si="9"/>
        <v>0.33623545999295029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3.6031619428879148E-2</v>
      </c>
      <c r="D85" s="453">
        <f>IF(LN_IC1=0,0,LN_IC2/LN_IC1)</f>
        <v>0.10000039568596779</v>
      </c>
      <c r="E85" s="454">
        <f t="shared" si="8"/>
        <v>6.3968776257088633E-2</v>
      </c>
      <c r="F85" s="449">
        <f t="shared" si="9"/>
        <v>1.775351129675232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55</v>
      </c>
      <c r="D86" s="456">
        <v>33</v>
      </c>
      <c r="E86" s="456">
        <f t="shared" si="8"/>
        <v>-22</v>
      </c>
      <c r="F86" s="449">
        <f t="shared" si="9"/>
        <v>-0.4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1.2742</v>
      </c>
      <c r="D87" s="459">
        <v>1.101</v>
      </c>
      <c r="E87" s="460">
        <f t="shared" si="8"/>
        <v>-0.17320000000000002</v>
      </c>
      <c r="F87" s="449">
        <f t="shared" si="9"/>
        <v>-0.13592842567885735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70.081000000000003</v>
      </c>
      <c r="D88" s="463">
        <f>LN_IC4*LN_IC5</f>
        <v>36.332999999999998</v>
      </c>
      <c r="E88" s="463">
        <f t="shared" si="8"/>
        <v>-33.748000000000005</v>
      </c>
      <c r="F88" s="449">
        <f t="shared" si="9"/>
        <v>-0.48155705540731442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809.63456571681331</v>
      </c>
      <c r="D89" s="465">
        <f>IF(LN_IC6=0,0,LN_IC2/LN_IC6)</f>
        <v>2086.7530894778852</v>
      </c>
      <c r="E89" s="465">
        <f t="shared" si="8"/>
        <v>1277.1185237610719</v>
      </c>
      <c r="F89" s="449">
        <f t="shared" si="9"/>
        <v>1.5774011854723244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7510.3852521711742</v>
      </c>
      <c r="D90" s="465">
        <f>LN_IB7-LN_IC7</f>
        <v>6676.6234456606326</v>
      </c>
      <c r="E90" s="465">
        <f t="shared" si="8"/>
        <v>-833.76180651054165</v>
      </c>
      <c r="F90" s="449">
        <f t="shared" si="9"/>
        <v>-0.11101451903143181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6515.2367676290733</v>
      </c>
      <c r="D91" s="465">
        <f>LN_IA7-LN_IC7</f>
        <v>4796.5206325903691</v>
      </c>
      <c r="E91" s="465">
        <f t="shared" si="8"/>
        <v>-1718.7161350387041</v>
      </c>
      <c r="F91" s="449">
        <f t="shared" si="9"/>
        <v>-0.26379948977113743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456594.30791221309</v>
      </c>
      <c r="D92" s="441">
        <f>LN_IC9*LN_IC6</f>
        <v>174271.98414390587</v>
      </c>
      <c r="E92" s="441">
        <f t="shared" si="8"/>
        <v>-282322.32376830722</v>
      </c>
      <c r="F92" s="449">
        <f t="shared" si="9"/>
        <v>-0.61832203966631094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244</v>
      </c>
      <c r="D93" s="456">
        <v>101</v>
      </c>
      <c r="E93" s="456">
        <f t="shared" si="8"/>
        <v>-143</v>
      </c>
      <c r="F93" s="449">
        <f t="shared" si="9"/>
        <v>-0.58606557377049184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232.54098360655738</v>
      </c>
      <c r="D94" s="499">
        <f>IF(LN_IC11=0,0,LN_IC2/LN_IC11)</f>
        <v>750.67326732673268</v>
      </c>
      <c r="E94" s="499">
        <f t="shared" si="8"/>
        <v>518.13228372017534</v>
      </c>
      <c r="F94" s="449">
        <f t="shared" si="9"/>
        <v>2.2281331904780188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4.4363636363636365</v>
      </c>
      <c r="D95" s="466">
        <f>IF(LN_IC4=0,0,LN_IC11/LN_IC4)</f>
        <v>3.0606060606060606</v>
      </c>
      <c r="E95" s="466">
        <f t="shared" si="8"/>
        <v>-1.375757575757576</v>
      </c>
      <c r="F95" s="449">
        <f t="shared" si="9"/>
        <v>-0.31010928961748635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3025507</v>
      </c>
      <c r="D98" s="448">
        <v>3899766</v>
      </c>
      <c r="E98" s="448">
        <f t="shared" ref="E98:E106" si="10">D98-C98</f>
        <v>874259</v>
      </c>
      <c r="F98" s="449">
        <f t="shared" ref="F98:F106" si="11">IF(C98=0,0,E98/C98)</f>
        <v>0.28896280854745998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134197</v>
      </c>
      <c r="D99" s="448">
        <v>389977</v>
      </c>
      <c r="E99" s="448">
        <f t="shared" si="10"/>
        <v>255780</v>
      </c>
      <c r="F99" s="449">
        <f t="shared" si="11"/>
        <v>1.9060038599968703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4.4355210548182505E-2</v>
      </c>
      <c r="D100" s="453">
        <f>IF(LN_IC14=0,0,LN_IC15/LN_IC14)</f>
        <v>0.10000010257025678</v>
      </c>
      <c r="E100" s="454">
        <f t="shared" si="10"/>
        <v>5.5644892022074274E-2</v>
      </c>
      <c r="F100" s="449">
        <f t="shared" si="11"/>
        <v>1.2545288667185546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1.9212886288933708</v>
      </c>
      <c r="D101" s="453">
        <f>IF(LN_IC1=0,0,LN_IC14/LN_IC1)</f>
        <v>5.1436089461959407</v>
      </c>
      <c r="E101" s="454">
        <f t="shared" si="10"/>
        <v>3.2223203173025698</v>
      </c>
      <c r="F101" s="449">
        <f t="shared" si="11"/>
        <v>1.6771661835934411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105.67087458913539</v>
      </c>
      <c r="D102" s="463">
        <f>LN_IC17*LN_IC4</f>
        <v>169.73909522446604</v>
      </c>
      <c r="E102" s="463">
        <f t="shared" si="10"/>
        <v>64.068220635330647</v>
      </c>
      <c r="F102" s="449">
        <f t="shared" si="11"/>
        <v>0.60629971015606465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1269.952581747606</v>
      </c>
      <c r="D103" s="465">
        <f>IF(LN_IC18=0,0,LN_IC15/LN_IC18)</f>
        <v>2297.5084171639269</v>
      </c>
      <c r="E103" s="465">
        <f t="shared" si="10"/>
        <v>1027.5558354163209</v>
      </c>
      <c r="F103" s="449">
        <f t="shared" si="11"/>
        <v>0.80912929363258712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11028.127263033324</v>
      </c>
      <c r="D104" s="465">
        <f>LN_IB18-LN_IC19</f>
        <v>10849.720222133343</v>
      </c>
      <c r="E104" s="465">
        <f t="shared" si="10"/>
        <v>-178.40704089998144</v>
      </c>
      <c r="F104" s="449">
        <f t="shared" si="11"/>
        <v>-1.6177455758785826E-2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7014.5020051023475</v>
      </c>
      <c r="D105" s="465">
        <f>LN_IA16-LN_IC19</f>
        <v>5522.1761121185573</v>
      </c>
      <c r="E105" s="465">
        <f t="shared" si="10"/>
        <v>-1492.3258929837903</v>
      </c>
      <c r="F105" s="449">
        <f t="shared" si="11"/>
        <v>-0.21274865869284415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741228.56168640894</v>
      </c>
      <c r="D106" s="448">
        <f>LN_IC21*LN_IC18</f>
        <v>937329.17694116349</v>
      </c>
      <c r="E106" s="448">
        <f t="shared" si="10"/>
        <v>196100.61525475455</v>
      </c>
      <c r="F106" s="449">
        <f t="shared" si="11"/>
        <v>0.26456160136165757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4600235</v>
      </c>
      <c r="D109" s="448">
        <f>LN_IC1+LN_IC14</f>
        <v>4657943</v>
      </c>
      <c r="E109" s="448">
        <f>D109-C109</f>
        <v>57708</v>
      </c>
      <c r="F109" s="449">
        <f>IF(C109=0,0,E109/C109)</f>
        <v>1.2544576527068725E-2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190937</v>
      </c>
      <c r="D110" s="448">
        <f>LN_IC2+LN_IC15</f>
        <v>465795</v>
      </c>
      <c r="E110" s="448">
        <f>D110-C110</f>
        <v>274858</v>
      </c>
      <c r="F110" s="449">
        <f>IF(C110=0,0,E110/C110)</f>
        <v>1.4395219365549894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4409298</v>
      </c>
      <c r="D111" s="448">
        <f>LN_IC23-LN_IC24</f>
        <v>4192148</v>
      </c>
      <c r="E111" s="448">
        <f>D111-C111</f>
        <v>-217150</v>
      </c>
      <c r="F111" s="449">
        <f>IF(C111=0,0,E111/C111)</f>
        <v>-4.9248202321548688E-2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1197822.869598622</v>
      </c>
      <c r="D113" s="448">
        <f>LN_IC10+LN_IC22</f>
        <v>1111601.1610850694</v>
      </c>
      <c r="E113" s="448">
        <f>D113-C113</f>
        <v>-86221.708513552556</v>
      </c>
      <c r="F113" s="449">
        <f>IF(C113=0,0,E113/C113)</f>
        <v>-7.1982018962824246E-2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8491118</v>
      </c>
      <c r="D118" s="448">
        <v>7962245</v>
      </c>
      <c r="E118" s="448">
        <f t="shared" ref="E118:E130" si="12">D118-C118</f>
        <v>-528873</v>
      </c>
      <c r="F118" s="449">
        <f t="shared" ref="F118:F130" si="13">IF(C118=0,0,E118/C118)</f>
        <v>-6.228543755957696E-2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1668745</v>
      </c>
      <c r="D119" s="448">
        <v>1391159</v>
      </c>
      <c r="E119" s="448">
        <f t="shared" si="12"/>
        <v>-277586</v>
      </c>
      <c r="F119" s="449">
        <f t="shared" si="13"/>
        <v>-0.16634416882147962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0.1965283016912496</v>
      </c>
      <c r="D120" s="453">
        <f>IF(LN_ID1=0,0,LN_1D2/LN_ID1)</f>
        <v>0.17471944156453362</v>
      </c>
      <c r="E120" s="454">
        <f t="shared" si="12"/>
        <v>-2.1808860126715984E-2</v>
      </c>
      <c r="F120" s="449">
        <f t="shared" si="13"/>
        <v>-0.11097058255242136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333</v>
      </c>
      <c r="D121" s="456">
        <v>323</v>
      </c>
      <c r="E121" s="456">
        <f t="shared" si="12"/>
        <v>-10</v>
      </c>
      <c r="F121" s="449">
        <f t="shared" si="13"/>
        <v>-3.003003003003003E-2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1.111</v>
      </c>
      <c r="D122" s="459">
        <v>0.99048000000000003</v>
      </c>
      <c r="E122" s="460">
        <f t="shared" si="12"/>
        <v>-0.12051999999999996</v>
      </c>
      <c r="F122" s="449">
        <f t="shared" si="13"/>
        <v>-0.10847884788478844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369.96300000000002</v>
      </c>
      <c r="D123" s="463">
        <f>LN_ID4*LN_ID5</f>
        <v>319.92504000000002</v>
      </c>
      <c r="E123" s="463">
        <f t="shared" si="12"/>
        <v>-50.037959999999998</v>
      </c>
      <c r="F123" s="449">
        <f t="shared" si="13"/>
        <v>-0.13525125485521525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4510.5726788895099</v>
      </c>
      <c r="D124" s="465">
        <f>IF(LN_ID6=0,0,LN_1D2/LN_ID6)</f>
        <v>4348.3904854712209</v>
      </c>
      <c r="E124" s="465">
        <f t="shared" si="12"/>
        <v>-162.18219341828899</v>
      </c>
      <c r="F124" s="449">
        <f t="shared" si="13"/>
        <v>-3.5956009350506191E-2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3809.4471389984774</v>
      </c>
      <c r="D125" s="465">
        <f>LN_IB7-LN_ID7</f>
        <v>4414.9860496672964</v>
      </c>
      <c r="E125" s="465">
        <f t="shared" si="12"/>
        <v>605.53891066881897</v>
      </c>
      <c r="F125" s="449">
        <f t="shared" si="13"/>
        <v>0.15895716322448253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2814.2986544563764</v>
      </c>
      <c r="D126" s="465">
        <f>LN_IA7-LN_ID7</f>
        <v>2534.8832365970338</v>
      </c>
      <c r="E126" s="465">
        <f t="shared" si="12"/>
        <v>-279.4154178593426</v>
      </c>
      <c r="F126" s="449">
        <f t="shared" si="13"/>
        <v>-9.9284209732643264E-2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1041186.3730986444</v>
      </c>
      <c r="D127" s="479">
        <f>LN_ID9*LN_ID6</f>
        <v>810972.62086363556</v>
      </c>
      <c r="E127" s="479">
        <f t="shared" si="12"/>
        <v>-230213.75223500887</v>
      </c>
      <c r="F127" s="449">
        <f t="shared" si="13"/>
        <v>-0.2211071506342101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1559</v>
      </c>
      <c r="D128" s="456">
        <v>1252</v>
      </c>
      <c r="E128" s="456">
        <f t="shared" si="12"/>
        <v>-307</v>
      </c>
      <c r="F128" s="449">
        <f t="shared" si="13"/>
        <v>-0.19692110327132778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1070.3944836433611</v>
      </c>
      <c r="D129" s="465">
        <f>IF(LN_ID11=0,0,LN_1D2/LN_ID11)</f>
        <v>1111.1493610223642</v>
      </c>
      <c r="E129" s="465">
        <f t="shared" si="12"/>
        <v>40.754877379003119</v>
      </c>
      <c r="F129" s="449">
        <f t="shared" si="13"/>
        <v>3.8074633232678366E-2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4.681681681681682</v>
      </c>
      <c r="D130" s="466">
        <f>IF(LN_ID4=0,0,LN_ID11/LN_ID4)</f>
        <v>3.8761609907120742</v>
      </c>
      <c r="E130" s="466">
        <f t="shared" si="12"/>
        <v>-0.80552069096960777</v>
      </c>
      <c r="F130" s="449">
        <f t="shared" si="13"/>
        <v>-0.17205797953359805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16965353</v>
      </c>
      <c r="D133" s="448">
        <v>18535877</v>
      </c>
      <c r="E133" s="448">
        <f t="shared" ref="E133:E141" si="14">D133-C133</f>
        <v>1570524</v>
      </c>
      <c r="F133" s="449">
        <f t="shared" ref="F133:F141" si="15">IF(C133=0,0,E133/C133)</f>
        <v>9.2572432769303409E-2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4731261</v>
      </c>
      <c r="D134" s="448">
        <v>5019976</v>
      </c>
      <c r="E134" s="448">
        <f t="shared" si="14"/>
        <v>288715</v>
      </c>
      <c r="F134" s="449">
        <f t="shared" si="15"/>
        <v>6.1022843592860337E-2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0.27887784003079691</v>
      </c>
      <c r="D135" s="453">
        <f>IF(LN_ID14=0,0,LN_ID15/LN_ID14)</f>
        <v>0.2708248441657225</v>
      </c>
      <c r="E135" s="454">
        <f t="shared" si="14"/>
        <v>-8.0529958650744082E-3</v>
      </c>
      <c r="F135" s="449">
        <f t="shared" si="15"/>
        <v>-2.8876427987914361E-2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1.9980116870357942</v>
      </c>
      <c r="D136" s="453">
        <f>IF(LN_ID1=0,0,LN_ID14/LN_ID1)</f>
        <v>2.3279711940539385</v>
      </c>
      <c r="E136" s="454">
        <f t="shared" si="14"/>
        <v>0.32995950701814425</v>
      </c>
      <c r="F136" s="449">
        <f t="shared" si="15"/>
        <v>0.16514393241996739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665.33789178291943</v>
      </c>
      <c r="D137" s="463">
        <f>LN_ID17*LN_ID4</f>
        <v>751.93469567942213</v>
      </c>
      <c r="E137" s="463">
        <f t="shared" si="14"/>
        <v>86.596803896502706</v>
      </c>
      <c r="F137" s="449">
        <f t="shared" si="15"/>
        <v>0.13015462514008858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7111.0650068667273</v>
      </c>
      <c r="D138" s="465">
        <f>IF(LN_ID18=0,0,LN_ID15/LN_ID18)</f>
        <v>6676.0797564529503</v>
      </c>
      <c r="E138" s="465">
        <f t="shared" si="14"/>
        <v>-434.98525041377707</v>
      </c>
      <c r="F138" s="449">
        <f t="shared" si="15"/>
        <v>-6.1170197430868371E-2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5187.0148379142029</v>
      </c>
      <c r="D139" s="465">
        <f>LN_IB18-LN_ID19</f>
        <v>6471.1488828443189</v>
      </c>
      <c r="E139" s="465">
        <f t="shared" si="14"/>
        <v>1284.134044930116</v>
      </c>
      <c r="F139" s="449">
        <f t="shared" si="15"/>
        <v>0.24756706604033751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1173.3895799832262</v>
      </c>
      <c r="D140" s="465">
        <f>LN_IA16-LN_ID19</f>
        <v>1143.6047728295334</v>
      </c>
      <c r="E140" s="465">
        <f t="shared" si="14"/>
        <v>-29.784807153692782</v>
      </c>
      <c r="F140" s="449">
        <f t="shared" si="15"/>
        <v>-2.5383562000029489E-2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780700.54938608501</v>
      </c>
      <c r="D141" s="441">
        <f>LN_ID21*LN_ID18</f>
        <v>859916.10683510988</v>
      </c>
      <c r="E141" s="441">
        <f t="shared" si="14"/>
        <v>79215.557449024869</v>
      </c>
      <c r="F141" s="449">
        <f t="shared" si="15"/>
        <v>0.10146727514322508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25456471</v>
      </c>
      <c r="D144" s="448">
        <f>LN_ID1+LN_ID14</f>
        <v>26498122</v>
      </c>
      <c r="E144" s="448">
        <f>D144-C144</f>
        <v>1041651</v>
      </c>
      <c r="F144" s="449">
        <f>IF(C144=0,0,E144/C144)</f>
        <v>4.0918908202162034E-2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6400006</v>
      </c>
      <c r="D145" s="448">
        <f>LN_1D2+LN_ID15</f>
        <v>6411135</v>
      </c>
      <c r="E145" s="448">
        <f>D145-C145</f>
        <v>11129</v>
      </c>
      <c r="F145" s="449">
        <f>IF(C145=0,0,E145/C145)</f>
        <v>1.7389046197769189E-3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19056465</v>
      </c>
      <c r="D146" s="448">
        <f>LN_ID23-LN_ID24</f>
        <v>20086987</v>
      </c>
      <c r="E146" s="448">
        <f>D146-C146</f>
        <v>1030522</v>
      </c>
      <c r="F146" s="449">
        <f>IF(C146=0,0,E146/C146)</f>
        <v>5.4077290830172334E-2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1821886.9224847294</v>
      </c>
      <c r="D148" s="448">
        <f>LN_ID10+LN_ID22</f>
        <v>1670888.7276987454</v>
      </c>
      <c r="E148" s="448">
        <f>D148-C148</f>
        <v>-150998.194785984</v>
      </c>
      <c r="F148" s="503">
        <f>IF(C148=0,0,E148/C148)</f>
        <v>-8.2880113426605714E-2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72804</v>
      </c>
      <c r="D153" s="448">
        <v>138845</v>
      </c>
      <c r="E153" s="448">
        <f t="shared" ref="E153:E165" si="16">D153-C153</f>
        <v>66041</v>
      </c>
      <c r="F153" s="449">
        <f t="shared" ref="F153:F165" si="17">IF(C153=0,0,E153/C153)</f>
        <v>0.90710675237624305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18590</v>
      </c>
      <c r="D154" s="448">
        <v>36215</v>
      </c>
      <c r="E154" s="448">
        <f t="shared" si="16"/>
        <v>17625</v>
      </c>
      <c r="F154" s="449">
        <f t="shared" si="17"/>
        <v>0.94809037116729422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0.25534311301576834</v>
      </c>
      <c r="D155" s="453">
        <f>IF(LN_IE1=0,0,LN_IE2/LN_IE1)</f>
        <v>0.26083042241348264</v>
      </c>
      <c r="E155" s="454">
        <f t="shared" si="16"/>
        <v>5.4873093977143017E-3</v>
      </c>
      <c r="F155" s="449">
        <f t="shared" si="17"/>
        <v>2.1489944776287899E-2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</v>
      </c>
      <c r="D156" s="506">
        <v>5</v>
      </c>
      <c r="E156" s="506">
        <f t="shared" si="16"/>
        <v>3</v>
      </c>
      <c r="F156" s="449">
        <f t="shared" si="17"/>
        <v>1.5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0.85140000000000005</v>
      </c>
      <c r="D157" s="459">
        <v>1.0623</v>
      </c>
      <c r="E157" s="460">
        <f t="shared" si="16"/>
        <v>0.21089999999999998</v>
      </c>
      <c r="F157" s="449">
        <f t="shared" si="17"/>
        <v>0.24770965468639883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1.7028000000000001</v>
      </c>
      <c r="D158" s="463">
        <f>LN_IE4*LN_IE5</f>
        <v>5.3115000000000006</v>
      </c>
      <c r="E158" s="463">
        <f t="shared" si="16"/>
        <v>3.6087000000000007</v>
      </c>
      <c r="F158" s="449">
        <f t="shared" si="17"/>
        <v>2.1192741367159975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10917.312661498707</v>
      </c>
      <c r="D159" s="465">
        <f>IF(LN_IE6=0,0,LN_IE2/LN_IE6)</f>
        <v>6818.2246069848434</v>
      </c>
      <c r="E159" s="465">
        <f t="shared" si="16"/>
        <v>-4099.0880545138634</v>
      </c>
      <c r="F159" s="449">
        <f t="shared" si="17"/>
        <v>-0.37546676380990895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-2597.2928436107195</v>
      </c>
      <c r="D160" s="465">
        <f>LN_IB7-LN_IE7</f>
        <v>1945.1519281536739</v>
      </c>
      <c r="E160" s="465">
        <f t="shared" si="16"/>
        <v>4542.4447717643934</v>
      </c>
      <c r="F160" s="449">
        <f t="shared" si="17"/>
        <v>-1.7489151379054937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-3592.4413281528205</v>
      </c>
      <c r="D161" s="465">
        <f>LN_IA7-LN_IE7</f>
        <v>65.04911508341138</v>
      </c>
      <c r="E161" s="465">
        <f t="shared" si="16"/>
        <v>3657.4904432362318</v>
      </c>
      <c r="F161" s="449">
        <f t="shared" si="17"/>
        <v>-1.0181072171098919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-6117.2090935786227</v>
      </c>
      <c r="D162" s="479">
        <f>LN_IE9*LN_IE6</f>
        <v>345.5083747655396</v>
      </c>
      <c r="E162" s="479">
        <f t="shared" si="16"/>
        <v>6462.7174683441626</v>
      </c>
      <c r="F162" s="449">
        <f t="shared" si="17"/>
        <v>-1.0564813740187871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16</v>
      </c>
      <c r="D163" s="456">
        <v>22</v>
      </c>
      <c r="E163" s="506">
        <f t="shared" si="16"/>
        <v>6</v>
      </c>
      <c r="F163" s="449">
        <f t="shared" si="17"/>
        <v>0.375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1161.875</v>
      </c>
      <c r="D164" s="465">
        <f>IF(LN_IE11=0,0,LN_IE2/LN_IE11)</f>
        <v>1646.1363636363637</v>
      </c>
      <c r="E164" s="465">
        <f t="shared" si="16"/>
        <v>484.26136363636374</v>
      </c>
      <c r="F164" s="449">
        <f t="shared" si="17"/>
        <v>0.41679299721257773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8</v>
      </c>
      <c r="D165" s="466">
        <f>IF(LN_IE4=0,0,LN_IE11/LN_IE4)</f>
        <v>4.4000000000000004</v>
      </c>
      <c r="E165" s="466">
        <f t="shared" si="16"/>
        <v>-3.5999999999999996</v>
      </c>
      <c r="F165" s="449">
        <f t="shared" si="17"/>
        <v>-0.44999999999999996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183557</v>
      </c>
      <c r="D168" s="511">
        <v>177944</v>
      </c>
      <c r="E168" s="511">
        <f t="shared" ref="E168:E176" si="18">D168-C168</f>
        <v>-5613</v>
      </c>
      <c r="F168" s="449">
        <f t="shared" ref="F168:F176" si="19">IF(C168=0,0,E168/C168)</f>
        <v>-3.0579057186595988E-2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34694</v>
      </c>
      <c r="D169" s="511">
        <v>36804</v>
      </c>
      <c r="E169" s="511">
        <f t="shared" si="18"/>
        <v>2110</v>
      </c>
      <c r="F169" s="449">
        <f t="shared" si="19"/>
        <v>6.0817432409062087E-2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0.18900940852160364</v>
      </c>
      <c r="D170" s="453">
        <f>IF(LN_IE14=0,0,LN_IE15/LN_IE14)</f>
        <v>0.20682911477768287</v>
      </c>
      <c r="E170" s="454">
        <f t="shared" si="18"/>
        <v>1.7819706256079232E-2</v>
      </c>
      <c r="F170" s="449">
        <f t="shared" si="19"/>
        <v>9.4279466802534601E-2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2.5212488324817319</v>
      </c>
      <c r="D171" s="453">
        <f>IF(LN_IE1=0,0,LN_IE14/LN_IE1)</f>
        <v>1.281601786164428</v>
      </c>
      <c r="E171" s="454">
        <f t="shared" si="18"/>
        <v>-1.2396470463173039</v>
      </c>
      <c r="F171" s="449">
        <f t="shared" si="19"/>
        <v>-0.49167977009912445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5.0424976649634639</v>
      </c>
      <c r="D172" s="463">
        <f>LN_IE17*LN_IE4</f>
        <v>6.40800893082214</v>
      </c>
      <c r="E172" s="463">
        <f t="shared" si="18"/>
        <v>1.3655112658586761</v>
      </c>
      <c r="F172" s="449">
        <f t="shared" si="19"/>
        <v>0.27080057475218883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6880.3204890034158</v>
      </c>
      <c r="D173" s="465">
        <f>IF(LN_IE18=0,0,LN_IE15/LN_IE18)</f>
        <v>5743.4376882614752</v>
      </c>
      <c r="E173" s="465">
        <f t="shared" si="18"/>
        <v>-1136.8828007419406</v>
      </c>
      <c r="F173" s="449">
        <f t="shared" si="19"/>
        <v>-0.16523689594968463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5417.7593557775144</v>
      </c>
      <c r="D174" s="465">
        <f>LN_IB18-LN_IE19</f>
        <v>7403.790951035794</v>
      </c>
      <c r="E174" s="465">
        <f t="shared" si="18"/>
        <v>1986.0315952582796</v>
      </c>
      <c r="F174" s="449">
        <f t="shared" si="19"/>
        <v>0.36657803804821448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1404.1340978465378</v>
      </c>
      <c r="D175" s="465">
        <f>LN_IA16-LN_IE19</f>
        <v>2076.2468410210085</v>
      </c>
      <c r="E175" s="465">
        <f t="shared" si="18"/>
        <v>672.11274317447078</v>
      </c>
      <c r="F175" s="449">
        <f t="shared" si="19"/>
        <v>0.47866706193180708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7080.3429096867467</v>
      </c>
      <c r="D176" s="441">
        <f>LN_IE21*LN_IE18</f>
        <v>13304.608299853879</v>
      </c>
      <c r="E176" s="441">
        <f t="shared" si="18"/>
        <v>6224.265390167132</v>
      </c>
      <c r="F176" s="449">
        <f t="shared" si="19"/>
        <v>0.87909095217007083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256361</v>
      </c>
      <c r="D179" s="448">
        <f>LN_IE1+LN_IE14</f>
        <v>316789</v>
      </c>
      <c r="E179" s="448">
        <f>D179-C179</f>
        <v>60428</v>
      </c>
      <c r="F179" s="449">
        <f>IF(C179=0,0,E179/C179)</f>
        <v>0.23571448075175241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53284</v>
      </c>
      <c r="D180" s="448">
        <f>LN_IE15+LN_IE2</f>
        <v>73019</v>
      </c>
      <c r="E180" s="448">
        <f>D180-C180</f>
        <v>19735</v>
      </c>
      <c r="F180" s="449">
        <f>IF(C180=0,0,E180/C180)</f>
        <v>0.37037384580737182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203077</v>
      </c>
      <c r="D181" s="448">
        <f>LN_IE23-LN_IE24</f>
        <v>243770</v>
      </c>
      <c r="E181" s="448">
        <f>D181-C181</f>
        <v>40693</v>
      </c>
      <c r="F181" s="449">
        <f>IF(C181=0,0,E181/C181)</f>
        <v>0.20038212106737838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963.13381610812394</v>
      </c>
      <c r="D183" s="448">
        <f>LN_IE10+LN_IE22</f>
        <v>13650.116674619418</v>
      </c>
      <c r="E183" s="441">
        <f>D183-C183</f>
        <v>12686.982858511294</v>
      </c>
      <c r="F183" s="449">
        <f>IF(C183=0,0,E183/C183)</f>
        <v>13.172606595600024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8563922</v>
      </c>
      <c r="D188" s="448">
        <f>LN_ID1+LN_IE1</f>
        <v>8101090</v>
      </c>
      <c r="E188" s="448">
        <f t="shared" ref="E188:E200" si="20">D188-C188</f>
        <v>-462832</v>
      </c>
      <c r="F188" s="449">
        <f t="shared" ref="F188:F200" si="21">IF(C188=0,0,E188/C188)</f>
        <v>-5.4044396948033854E-2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1687335</v>
      </c>
      <c r="D189" s="448">
        <f>LN_1D2+LN_IE2</f>
        <v>1427374</v>
      </c>
      <c r="E189" s="448">
        <f t="shared" si="20"/>
        <v>-259961</v>
      </c>
      <c r="F189" s="449">
        <f t="shared" si="21"/>
        <v>-0.15406602719673332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0.1970283008182466</v>
      </c>
      <c r="D190" s="453">
        <f>IF(LN_IF1=0,0,LN_IF2/LN_IF1)</f>
        <v>0.17619530211366619</v>
      </c>
      <c r="E190" s="454">
        <f t="shared" si="20"/>
        <v>-2.0832998704580413E-2</v>
      </c>
      <c r="F190" s="449">
        <f t="shared" si="21"/>
        <v>-0.10573607252390764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335</v>
      </c>
      <c r="D191" s="456">
        <f>LN_ID4+LN_IE4</f>
        <v>328</v>
      </c>
      <c r="E191" s="456">
        <f t="shared" si="20"/>
        <v>-7</v>
      </c>
      <c r="F191" s="449">
        <f t="shared" si="21"/>
        <v>-2.0895522388059702E-2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1.1094501492537314</v>
      </c>
      <c r="D192" s="459">
        <f>IF((LN_ID4+LN_IE4)=0,0,(LN_ID6+LN_IE6)/(LN_ID4+LN_IE4))</f>
        <v>0.99157481707317086</v>
      </c>
      <c r="E192" s="460">
        <f t="shared" si="20"/>
        <v>-0.11787533218056057</v>
      </c>
      <c r="F192" s="449">
        <f t="shared" si="21"/>
        <v>-0.10624662339254187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371.66580000000005</v>
      </c>
      <c r="D193" s="463">
        <f>LN_IF4*LN_IF5</f>
        <v>325.23654000000005</v>
      </c>
      <c r="E193" s="463">
        <f t="shared" si="20"/>
        <v>-46.429259999999999</v>
      </c>
      <c r="F193" s="449">
        <f t="shared" si="21"/>
        <v>-0.12492206708284699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4539.9253845793719</v>
      </c>
      <c r="D194" s="465">
        <f>IF(LN_IF6=0,0,LN_IF2/LN_IF6)</f>
        <v>4388.725817830923</v>
      </c>
      <c r="E194" s="465">
        <f t="shared" si="20"/>
        <v>-151.19956674844889</v>
      </c>
      <c r="F194" s="449">
        <f t="shared" si="21"/>
        <v>-3.3304416689759683E-2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3780.0944333086154</v>
      </c>
      <c r="D195" s="465">
        <f>LN_IB7-LN_IF7</f>
        <v>4374.6507173075943</v>
      </c>
      <c r="E195" s="465">
        <f t="shared" si="20"/>
        <v>594.55628399897887</v>
      </c>
      <c r="F195" s="449">
        <f t="shared" si="21"/>
        <v>0.15728609284466463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2784.9459487665144</v>
      </c>
      <c r="D196" s="465">
        <f>LN_IA7-LN_IF7</f>
        <v>2494.5479042373317</v>
      </c>
      <c r="E196" s="465">
        <f t="shared" si="20"/>
        <v>-290.3980445291827</v>
      </c>
      <c r="F196" s="449">
        <f t="shared" si="21"/>
        <v>-0.10427421209298637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1035069.1640050658</v>
      </c>
      <c r="D197" s="479">
        <f>LN_IF9*LN_IF6</f>
        <v>811318.12923840119</v>
      </c>
      <c r="E197" s="479">
        <f t="shared" si="20"/>
        <v>-223751.03476666461</v>
      </c>
      <c r="F197" s="449">
        <f t="shared" si="21"/>
        <v>-0.21617012905774241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1575</v>
      </c>
      <c r="D198" s="456">
        <f>LN_ID11+LN_IE11</f>
        <v>1274</v>
      </c>
      <c r="E198" s="456">
        <f t="shared" si="20"/>
        <v>-301</v>
      </c>
      <c r="F198" s="449">
        <f t="shared" si="21"/>
        <v>-0.19111111111111112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1071.3238095238096</v>
      </c>
      <c r="D199" s="519">
        <f>IF(LN_IF11=0,0,LN_IF2/LN_IF11)</f>
        <v>1120.3877551020407</v>
      </c>
      <c r="E199" s="519">
        <f t="shared" si="20"/>
        <v>49.063945578231142</v>
      </c>
      <c r="F199" s="449">
        <f t="shared" si="21"/>
        <v>4.5797493850192196E-2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4.7014925373134329</v>
      </c>
      <c r="D200" s="466">
        <f>IF(LN_IF4=0,0,LN_IF11/LN_IF4)</f>
        <v>3.8841463414634148</v>
      </c>
      <c r="E200" s="466">
        <f t="shared" si="20"/>
        <v>-0.81734619585001811</v>
      </c>
      <c r="F200" s="449">
        <f t="shared" si="21"/>
        <v>-0.17384823848238481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17148910</v>
      </c>
      <c r="D203" s="448">
        <f>LN_ID14+LN_IE14</f>
        <v>18713821</v>
      </c>
      <c r="E203" s="448">
        <f t="shared" ref="E203:E211" si="22">D203-C203</f>
        <v>1564911</v>
      </c>
      <c r="F203" s="449">
        <f t="shared" ref="F203:F211" si="23">IF(C203=0,0,E203/C203)</f>
        <v>9.1254254643589591E-2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4765955</v>
      </c>
      <c r="D204" s="448">
        <f>LN_ID15+LN_IE15</f>
        <v>5056780</v>
      </c>
      <c r="E204" s="448">
        <f t="shared" si="22"/>
        <v>290825</v>
      </c>
      <c r="F204" s="449">
        <f t="shared" si="23"/>
        <v>6.1021348292210058E-2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0.27791591418929834</v>
      </c>
      <c r="D205" s="453">
        <f>IF(LN_IF14=0,0,LN_IF15/LN_IF14)</f>
        <v>0.27021632834897802</v>
      </c>
      <c r="E205" s="454">
        <f t="shared" si="22"/>
        <v>-7.6995858403203221E-3</v>
      </c>
      <c r="F205" s="449">
        <f t="shared" si="23"/>
        <v>-2.7704731709159564E-2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2.0024598542583645</v>
      </c>
      <c r="D206" s="453">
        <f>IF(LN_IF1=0,0,LN_IF14/LN_IF1)</f>
        <v>2.3100374147182663</v>
      </c>
      <c r="E206" s="454">
        <f t="shared" si="22"/>
        <v>0.30757756045990181</v>
      </c>
      <c r="F206" s="449">
        <f t="shared" si="23"/>
        <v>0.15359986359068203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670.38038944788286</v>
      </c>
      <c r="D207" s="463">
        <f>LN_ID18+LN_IE18</f>
        <v>758.34270461024425</v>
      </c>
      <c r="E207" s="463">
        <f t="shared" si="22"/>
        <v>87.962315162361392</v>
      </c>
      <c r="F207" s="449">
        <f t="shared" si="23"/>
        <v>0.13121254223263615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7109.3293822708365</v>
      </c>
      <c r="D208" s="465">
        <f>IF(LN_IF18=0,0,LN_IF15/LN_IF18)</f>
        <v>6668.1989148942484</v>
      </c>
      <c r="E208" s="465">
        <f t="shared" si="22"/>
        <v>-441.13046737658806</v>
      </c>
      <c r="F208" s="449">
        <f t="shared" si="23"/>
        <v>-6.2049518830379999E-2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5188.7504625100937</v>
      </c>
      <c r="D209" s="465">
        <f>LN_IB18-LN_IF19</f>
        <v>6479.0297244030207</v>
      </c>
      <c r="E209" s="465">
        <f t="shared" si="22"/>
        <v>1290.279261892927</v>
      </c>
      <c r="F209" s="449">
        <f t="shared" si="23"/>
        <v>0.24866859009996514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1175.1252045791171</v>
      </c>
      <c r="D210" s="465">
        <f>LN_IA16-LN_IF19</f>
        <v>1151.4856143882353</v>
      </c>
      <c r="E210" s="465">
        <f t="shared" si="22"/>
        <v>-23.63959019088179</v>
      </c>
      <c r="F210" s="449">
        <f t="shared" si="23"/>
        <v>-2.0116656590093776E-2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787780.89229577174</v>
      </c>
      <c r="D211" s="441">
        <f>LN_IF21*LN_IF18</f>
        <v>873220.71513496316</v>
      </c>
      <c r="E211" s="441">
        <f t="shared" si="22"/>
        <v>85439.822839191416</v>
      </c>
      <c r="F211" s="449">
        <f t="shared" si="23"/>
        <v>0.10845632799013498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25712832</v>
      </c>
      <c r="D214" s="448">
        <f>LN_IF1+LN_IF14</f>
        <v>26814911</v>
      </c>
      <c r="E214" s="448">
        <f>D214-C214</f>
        <v>1102079</v>
      </c>
      <c r="F214" s="449">
        <f>IF(C214=0,0,E214/C214)</f>
        <v>4.2861050855852831E-2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6453290</v>
      </c>
      <c r="D215" s="448">
        <f>LN_IF2+LN_IF15</f>
        <v>6484154</v>
      </c>
      <c r="E215" s="448">
        <f>D215-C215</f>
        <v>30864</v>
      </c>
      <c r="F215" s="449">
        <f>IF(C215=0,0,E215/C215)</f>
        <v>4.7826767431806104E-3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19259542</v>
      </c>
      <c r="D216" s="448">
        <f>LN_IF23-LN_IF24</f>
        <v>20330757</v>
      </c>
      <c r="E216" s="448">
        <f>D216-C216</f>
        <v>1071215</v>
      </c>
      <c r="F216" s="449">
        <f>IF(C216=0,0,E216/C216)</f>
        <v>5.5619962302322662E-2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119348</v>
      </c>
      <c r="D221" s="448">
        <v>0</v>
      </c>
      <c r="E221" s="448">
        <f t="shared" ref="E221:E230" si="24">D221-C221</f>
        <v>-119348</v>
      </c>
      <c r="F221" s="449">
        <f t="shared" ref="F221:F230" si="25">IF(C221=0,0,E221/C221)</f>
        <v>-1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33114</v>
      </c>
      <c r="D222" s="448">
        <v>0</v>
      </c>
      <c r="E222" s="448">
        <f t="shared" si="24"/>
        <v>-33114</v>
      </c>
      <c r="F222" s="449">
        <f t="shared" si="25"/>
        <v>-1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0.27745751918758588</v>
      </c>
      <c r="D223" s="453">
        <f>IF(LN_IG1=0,0,LN_IG2/LN_IG1)</f>
        <v>0</v>
      </c>
      <c r="E223" s="454">
        <f t="shared" si="24"/>
        <v>-0.27745751918758588</v>
      </c>
      <c r="F223" s="449">
        <f t="shared" si="25"/>
        <v>-1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</v>
      </c>
      <c r="D224" s="456">
        <v>0</v>
      </c>
      <c r="E224" s="456">
        <f t="shared" si="24"/>
        <v>-3</v>
      </c>
      <c r="F224" s="449">
        <f t="shared" si="25"/>
        <v>-1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1.6774</v>
      </c>
      <c r="D225" s="459">
        <v>0</v>
      </c>
      <c r="E225" s="460">
        <f t="shared" si="24"/>
        <v>-1.6774</v>
      </c>
      <c r="F225" s="449">
        <f t="shared" si="25"/>
        <v>-1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5.0321999999999996</v>
      </c>
      <c r="D226" s="463">
        <f>LN_IG3*LN_IG4</f>
        <v>0</v>
      </c>
      <c r="E226" s="463">
        <f t="shared" si="24"/>
        <v>-5.0321999999999996</v>
      </c>
      <c r="F226" s="449">
        <f t="shared" si="25"/>
        <v>-1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6580.4220817932519</v>
      </c>
      <c r="D227" s="465">
        <f>IF(LN_IG5=0,0,LN_IG2/LN_IG5)</f>
        <v>0</v>
      </c>
      <c r="E227" s="465">
        <f t="shared" si="24"/>
        <v>-6580.4220817932519</v>
      </c>
      <c r="F227" s="449">
        <f t="shared" si="25"/>
        <v>-1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</v>
      </c>
      <c r="D228" s="456">
        <v>0</v>
      </c>
      <c r="E228" s="456">
        <f t="shared" si="24"/>
        <v>-6</v>
      </c>
      <c r="F228" s="449">
        <f t="shared" si="25"/>
        <v>-1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5519</v>
      </c>
      <c r="D229" s="465">
        <f>IF(LN_IG6=0,0,LN_IG2/LN_IG6)</f>
        <v>0</v>
      </c>
      <c r="E229" s="465">
        <f t="shared" si="24"/>
        <v>-5519</v>
      </c>
      <c r="F229" s="449">
        <f t="shared" si="25"/>
        <v>-1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</v>
      </c>
      <c r="D230" s="466">
        <f>IF(LN_IG3=0,0,LN_IG6/LN_IG3)</f>
        <v>0</v>
      </c>
      <c r="E230" s="466">
        <f t="shared" si="24"/>
        <v>-2</v>
      </c>
      <c r="F230" s="449">
        <f t="shared" si="25"/>
        <v>-1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180436</v>
      </c>
      <c r="D233" s="448">
        <v>139543</v>
      </c>
      <c r="E233" s="448">
        <f>D233-C233</f>
        <v>-40893</v>
      </c>
      <c r="F233" s="449">
        <f>IF(C233=0,0,E233/C233)</f>
        <v>-0.22663437451506352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51084</v>
      </c>
      <c r="D234" s="448">
        <v>38199</v>
      </c>
      <c r="E234" s="448">
        <f>D234-C234</f>
        <v>-12885</v>
      </c>
      <c r="F234" s="449">
        <f>IF(C234=0,0,E234/C234)</f>
        <v>-0.25223161851068826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299784</v>
      </c>
      <c r="D237" s="448">
        <f>LN_IG1+LN_IG9</f>
        <v>139543</v>
      </c>
      <c r="E237" s="448">
        <f>D237-C237</f>
        <v>-160241</v>
      </c>
      <c r="F237" s="449">
        <f>IF(C237=0,0,E237/C237)</f>
        <v>-0.53452152216262372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84198</v>
      </c>
      <c r="D238" s="448">
        <f>LN_IG2+LN_IG10</f>
        <v>38199</v>
      </c>
      <c r="E238" s="448">
        <f>D238-C238</f>
        <v>-45999</v>
      </c>
      <c r="F238" s="449">
        <f>IF(C238=0,0,E238/C238)</f>
        <v>-0.54631939000926388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215586</v>
      </c>
      <c r="D239" s="448">
        <f>LN_IG13-LN_IG14</f>
        <v>101344</v>
      </c>
      <c r="E239" s="448">
        <f>D239-C239</f>
        <v>-114242</v>
      </c>
      <c r="F239" s="449">
        <f>IF(C239=0,0,E239/C239)</f>
        <v>-0.52991381629604895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1352459</v>
      </c>
      <c r="D243" s="448">
        <v>669361</v>
      </c>
      <c r="E243" s="441">
        <f>D243-C243</f>
        <v>-683098</v>
      </c>
      <c r="F243" s="503">
        <f>IF(C243=0,0,E243/C243)</f>
        <v>-0.50507852733428515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72076598</v>
      </c>
      <c r="D244" s="448">
        <v>68666088</v>
      </c>
      <c r="E244" s="441">
        <f>D244-C244</f>
        <v>-3410510</v>
      </c>
      <c r="F244" s="503">
        <f>IF(C244=0,0,E244/C244)</f>
        <v>-4.731785481884148E-2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579795</v>
      </c>
      <c r="D248" s="441">
        <v>245354</v>
      </c>
      <c r="E248" s="441">
        <f>D248-C248</f>
        <v>-334441</v>
      </c>
      <c r="F248" s="449">
        <f>IF(C248=0,0,E248/C248)</f>
        <v>-0.57682629205150093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5608309</v>
      </c>
      <c r="D249" s="441">
        <v>3556700</v>
      </c>
      <c r="E249" s="441">
        <f>D249-C249</f>
        <v>-2051609</v>
      </c>
      <c r="F249" s="449">
        <f>IF(C249=0,0,E249/C249)</f>
        <v>-0.36581597055369097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6188104</v>
      </c>
      <c r="D250" s="441">
        <f>LN_IH4+LN_IH5</f>
        <v>3802054</v>
      </c>
      <c r="E250" s="441">
        <f>D250-C250</f>
        <v>-2386050</v>
      </c>
      <c r="F250" s="449">
        <f>IF(C250=0,0,E250/C250)</f>
        <v>-0.38558660294009278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2110886.0787426108</v>
      </c>
      <c r="D251" s="441">
        <f>LN_IH6*LN_III10</f>
        <v>1253732.5571176384</v>
      </c>
      <c r="E251" s="441">
        <f>D251-C251</f>
        <v>-857153.52162497235</v>
      </c>
      <c r="F251" s="449">
        <f>IF(C251=0,0,E251/C251)</f>
        <v>-0.40606337322360481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25712832</v>
      </c>
      <c r="D254" s="441">
        <f>LN_IF23</f>
        <v>26814911</v>
      </c>
      <c r="E254" s="441">
        <f>D254-C254</f>
        <v>1102079</v>
      </c>
      <c r="F254" s="449">
        <f>IF(C254=0,0,E254/C254)</f>
        <v>4.2861050855852831E-2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6453290</v>
      </c>
      <c r="D255" s="441">
        <f>LN_IF24</f>
        <v>6484154</v>
      </c>
      <c r="E255" s="441">
        <f>D255-C255</f>
        <v>30864</v>
      </c>
      <c r="F255" s="449">
        <f>IF(C255=0,0,E255/C255)</f>
        <v>4.7826767431806104E-3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8771161.4274497516</v>
      </c>
      <c r="D256" s="441">
        <f>LN_IH8*LN_III10</f>
        <v>8842253.9335085433</v>
      </c>
      <c r="E256" s="441">
        <f>D256-C256</f>
        <v>71092.506058791652</v>
      </c>
      <c r="F256" s="449">
        <f>IF(C256=0,0,E256/C256)</f>
        <v>8.1052556889791589E-3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2317871.4274497516</v>
      </c>
      <c r="D257" s="441">
        <f>LN_IH10-LN_IH9</f>
        <v>2358099.9335085433</v>
      </c>
      <c r="E257" s="441">
        <f>D257-C257</f>
        <v>40228.506058791652</v>
      </c>
      <c r="F257" s="449">
        <f>IF(C257=0,0,E257/C257)</f>
        <v>1.7355797039637029E-2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99249502</v>
      </c>
      <c r="D261" s="448">
        <f>LN_IA1+LN_IB1+LN_IF1+LN_IG1</f>
        <v>105800542</v>
      </c>
      <c r="E261" s="448">
        <f t="shared" ref="E261:E274" si="26">D261-C261</f>
        <v>6551040</v>
      </c>
      <c r="F261" s="503">
        <f t="shared" ref="F261:F274" si="27">IF(C261=0,0,E261/C261)</f>
        <v>6.6005771998735072E-2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32479788</v>
      </c>
      <c r="D262" s="448">
        <f>+LN_IA2+LN_IB2+LN_IF2+LN_IG2</f>
        <v>32016349</v>
      </c>
      <c r="E262" s="448">
        <f t="shared" si="26"/>
        <v>-463439</v>
      </c>
      <c r="F262" s="503">
        <f t="shared" si="27"/>
        <v>-1.4268535250291658E-2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0.3272539140800928</v>
      </c>
      <c r="D263" s="453">
        <f>IF(LN_IIA1=0,0,LN_IIA2/LN_IIA1)</f>
        <v>0.30261044409394422</v>
      </c>
      <c r="E263" s="454">
        <f t="shared" si="26"/>
        <v>-2.4643469986148581E-2</v>
      </c>
      <c r="F263" s="458">
        <f t="shared" si="27"/>
        <v>-7.5303820446032274E-2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3121</v>
      </c>
      <c r="D264" s="456">
        <f>LN_IA4+LN_IB4+LN_IF4+LN_IG3</f>
        <v>3201</v>
      </c>
      <c r="E264" s="456">
        <f t="shared" si="26"/>
        <v>80</v>
      </c>
      <c r="F264" s="503">
        <f t="shared" si="27"/>
        <v>2.5632809996795899E-2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1.4104924383210509</v>
      </c>
      <c r="D265" s="525">
        <f>IF(LN_IIA4=0,0,LN_IIA6/LN_IIA4)</f>
        <v>1.377479612621056</v>
      </c>
      <c r="E265" s="525">
        <f t="shared" si="26"/>
        <v>-3.3012825699994863E-2</v>
      </c>
      <c r="F265" s="503">
        <f t="shared" si="27"/>
        <v>-2.3405177371451182E-2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4402.1468999999997</v>
      </c>
      <c r="D266" s="463">
        <f>LN_IA6+LN_IB6+LN_IF6+LN_IG5</f>
        <v>4409.3122400000002</v>
      </c>
      <c r="E266" s="463">
        <f t="shared" si="26"/>
        <v>7.1653400000004694</v>
      </c>
      <c r="F266" s="503">
        <f t="shared" si="27"/>
        <v>1.6276921608409909E-3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98054777</v>
      </c>
      <c r="D267" s="448">
        <f>LN_IA11+LN_IB13+LN_IF14+LN_IG9</f>
        <v>95445296</v>
      </c>
      <c r="E267" s="448">
        <f t="shared" si="26"/>
        <v>-2609481</v>
      </c>
      <c r="F267" s="503">
        <f t="shared" si="27"/>
        <v>-2.6612482123130013E-2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0.98796240811364477</v>
      </c>
      <c r="D268" s="453">
        <f>IF(LN_IIA1=0,0,LN_IIA7/LN_IIA1)</f>
        <v>0.90212483032459323</v>
      </c>
      <c r="E268" s="454">
        <f t="shared" si="26"/>
        <v>-8.5837577789051545E-2</v>
      </c>
      <c r="F268" s="458">
        <f t="shared" si="27"/>
        <v>-8.6883445244586369E-2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32463951</v>
      </c>
      <c r="D269" s="448">
        <f>LN_IA12+LN_IB14+LN_IF15+LN_IG10</f>
        <v>30152595</v>
      </c>
      <c r="E269" s="448">
        <f t="shared" si="26"/>
        <v>-2311356</v>
      </c>
      <c r="F269" s="503">
        <f t="shared" si="27"/>
        <v>-7.1197618552344411E-2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0.33107974943433915</v>
      </c>
      <c r="D270" s="453">
        <f>IF(LN_IIA7=0,0,LN_IIA9/LN_IIA7)</f>
        <v>0.31591494042828472</v>
      </c>
      <c r="E270" s="454">
        <f t="shared" si="26"/>
        <v>-1.5164809006054436E-2</v>
      </c>
      <c r="F270" s="458">
        <f t="shared" si="27"/>
        <v>-4.5804097145669645E-2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197304279</v>
      </c>
      <c r="D271" s="441">
        <f>LN_IIA1+LN_IIA7</f>
        <v>201245838</v>
      </c>
      <c r="E271" s="441">
        <f t="shared" si="26"/>
        <v>3941559</v>
      </c>
      <c r="F271" s="503">
        <f t="shared" si="27"/>
        <v>1.9977057872120452E-2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64943739</v>
      </c>
      <c r="D272" s="441">
        <f>LN_IIA2+LN_IIA9</f>
        <v>62168944</v>
      </c>
      <c r="E272" s="441">
        <f t="shared" si="26"/>
        <v>-2774795</v>
      </c>
      <c r="F272" s="503">
        <f t="shared" si="27"/>
        <v>-4.2726135617168579E-2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0.32915524857927686</v>
      </c>
      <c r="D273" s="453">
        <f>IF(LN_IIA11=0,0,LN_IIA12/LN_IIA11)</f>
        <v>0.30892039615745992</v>
      </c>
      <c r="E273" s="454">
        <f t="shared" si="26"/>
        <v>-2.023485242181694E-2</v>
      </c>
      <c r="F273" s="458">
        <f t="shared" si="27"/>
        <v>-6.1475101822486625E-2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12880</v>
      </c>
      <c r="D274" s="508">
        <f>LN_IA8+LN_IB10+LN_IF11+LN_IG6</f>
        <v>12110</v>
      </c>
      <c r="E274" s="528">
        <f t="shared" si="26"/>
        <v>-770</v>
      </c>
      <c r="F274" s="458">
        <f t="shared" si="27"/>
        <v>-5.9782608695652176E-2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72260010</v>
      </c>
      <c r="D277" s="448">
        <f>LN_IA1+LN_IF1+LN_IG1</f>
        <v>76253778</v>
      </c>
      <c r="E277" s="448">
        <f t="shared" ref="E277:E291" si="28">D277-C277</f>
        <v>3993768</v>
      </c>
      <c r="F277" s="503">
        <f t="shared" ref="F277:F291" si="29">IF(C277=0,0,E277/C277)</f>
        <v>5.5269408349099318E-2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21833058</v>
      </c>
      <c r="D278" s="448">
        <f>LN_IA2+LN_IF2+LN_IG2</f>
        <v>20470001</v>
      </c>
      <c r="E278" s="448">
        <f t="shared" si="28"/>
        <v>-1363057</v>
      </c>
      <c r="F278" s="503">
        <f t="shared" si="29"/>
        <v>-6.2430878899327802E-2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0.30214579267287672</v>
      </c>
      <c r="D279" s="453">
        <f>IF(D277=0,0,LN_IIB2/D277)</f>
        <v>0.26844572868245298</v>
      </c>
      <c r="E279" s="454">
        <f t="shared" si="28"/>
        <v>-3.3700063990423745E-2</v>
      </c>
      <c r="F279" s="458">
        <f t="shared" si="29"/>
        <v>-0.11153577116630478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2205</v>
      </c>
      <c r="D280" s="456">
        <f>LN_IA4+LN_IF4+LN_IG3</f>
        <v>2269</v>
      </c>
      <c r="E280" s="456">
        <f t="shared" si="28"/>
        <v>64</v>
      </c>
      <c r="F280" s="503">
        <f t="shared" si="29"/>
        <v>2.9024943310657598E-2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1.4160974603174603</v>
      </c>
      <c r="D281" s="525">
        <f>IF(LN_IIB4=0,0,LN_IIB6/LN_IIB4)</f>
        <v>1.3626019568091672</v>
      </c>
      <c r="E281" s="525">
        <f t="shared" si="28"/>
        <v>-5.349550350829313E-2</v>
      </c>
      <c r="F281" s="503">
        <f t="shared" si="29"/>
        <v>-3.7776710295279056E-2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3122.4949000000001</v>
      </c>
      <c r="D282" s="463">
        <f>LN_IA6+LN_IF6+LN_IG5</f>
        <v>3091.7438400000001</v>
      </c>
      <c r="E282" s="463">
        <f t="shared" si="28"/>
        <v>-30.751060000000052</v>
      </c>
      <c r="F282" s="503">
        <f t="shared" si="29"/>
        <v>-9.8482338594051994E-3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52060090</v>
      </c>
      <c r="D283" s="448">
        <f>LN_IA11+LN_IF14+LN_IG9</f>
        <v>53777899</v>
      </c>
      <c r="E283" s="448">
        <f t="shared" si="28"/>
        <v>1717809</v>
      </c>
      <c r="F283" s="503">
        <f t="shared" si="29"/>
        <v>3.2996658284686023E-2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0.72045506221214195</v>
      </c>
      <c r="D284" s="453">
        <f>IF(D277=0,0,LN_IIB7/D277)</f>
        <v>0.70524897795883634</v>
      </c>
      <c r="E284" s="454">
        <f t="shared" si="28"/>
        <v>-1.5206084253305607E-2</v>
      </c>
      <c r="F284" s="458">
        <f t="shared" si="29"/>
        <v>-2.110622167969179E-2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13266404</v>
      </c>
      <c r="D285" s="448">
        <f>LN_IA12+LN_IF15+LN_IG10</f>
        <v>12872880</v>
      </c>
      <c r="E285" s="448">
        <f t="shared" si="28"/>
        <v>-393524</v>
      </c>
      <c r="F285" s="503">
        <f t="shared" si="29"/>
        <v>-2.9663200366881637E-2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0.25482867970454909</v>
      </c>
      <c r="D286" s="453">
        <f>IF(LN_IIB7=0,0,LN_IIB9/LN_IIB7)</f>
        <v>0.23937119596286199</v>
      </c>
      <c r="E286" s="454">
        <f t="shared" si="28"/>
        <v>-1.5457483741687095E-2</v>
      </c>
      <c r="F286" s="458">
        <f t="shared" si="29"/>
        <v>-6.0658336257946539E-2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124320100</v>
      </c>
      <c r="D287" s="441">
        <f>D277+LN_IIB7</f>
        <v>130031677</v>
      </c>
      <c r="E287" s="441">
        <f t="shared" si="28"/>
        <v>5711577</v>
      </c>
      <c r="F287" s="503">
        <f t="shared" si="29"/>
        <v>4.594250648125283E-2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35099462</v>
      </c>
      <c r="D288" s="441">
        <f>LN_IIB2+LN_IIB9</f>
        <v>33342881</v>
      </c>
      <c r="E288" s="441">
        <f t="shared" si="28"/>
        <v>-1756581</v>
      </c>
      <c r="F288" s="503">
        <f t="shared" si="29"/>
        <v>-5.0045809818965316E-2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0.28233135269357085</v>
      </c>
      <c r="D289" s="453">
        <f>IF(LN_IIB11=0,0,LN_IIB12/LN_IIB11)</f>
        <v>0.25642121803904749</v>
      </c>
      <c r="E289" s="454">
        <f t="shared" si="28"/>
        <v>-2.5910134654523354E-2</v>
      </c>
      <c r="F289" s="458">
        <f t="shared" si="29"/>
        <v>-9.1772077055306683E-2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9812</v>
      </c>
      <c r="D290" s="508">
        <f>LN_IA8+LN_IF11+LN_IG6</f>
        <v>9365</v>
      </c>
      <c r="E290" s="528">
        <f t="shared" si="28"/>
        <v>-447</v>
      </c>
      <c r="F290" s="458">
        <f t="shared" si="29"/>
        <v>-4.5556461475743985E-2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89220638</v>
      </c>
      <c r="D291" s="516">
        <f>LN_IIB11-LN_IIB12</f>
        <v>96688796</v>
      </c>
      <c r="E291" s="441">
        <f t="shared" si="28"/>
        <v>7468158</v>
      </c>
      <c r="F291" s="503">
        <f t="shared" si="29"/>
        <v>8.3704377904134694E-2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4.4086770219603642</v>
      </c>
      <c r="D294" s="466">
        <f>IF(LN_IA4=0,0,LN_IA8/LN_IA4)</f>
        <v>4.1684698608964448</v>
      </c>
      <c r="E294" s="466">
        <f t="shared" ref="E294:E300" si="30">D294-C294</f>
        <v>-0.24020716106391937</v>
      </c>
      <c r="F294" s="503">
        <f t="shared" ref="F294:F300" si="31">IF(C294=0,0,E294/C294)</f>
        <v>-5.4485089260884155E-2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3.3493449781659388</v>
      </c>
      <c r="D295" s="466">
        <f>IF(LN_IB4=0,0,(LN_IB10)/(LN_IB4))</f>
        <v>2.9452789699570814</v>
      </c>
      <c r="E295" s="466">
        <f t="shared" si="30"/>
        <v>-0.40406600820885741</v>
      </c>
      <c r="F295" s="503">
        <f t="shared" si="31"/>
        <v>-0.12064030753563018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4.4363636363636365</v>
      </c>
      <c r="D296" s="466">
        <f>IF(LN_IC4=0,0,LN_IC11/LN_IC4)</f>
        <v>3.0606060606060606</v>
      </c>
      <c r="E296" s="466">
        <f t="shared" si="30"/>
        <v>-1.375757575757576</v>
      </c>
      <c r="F296" s="503">
        <f t="shared" si="31"/>
        <v>-0.31010928961748635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4.681681681681682</v>
      </c>
      <c r="D297" s="466">
        <f>IF(LN_ID4=0,0,LN_ID11/LN_ID4)</f>
        <v>3.8761609907120742</v>
      </c>
      <c r="E297" s="466">
        <f t="shared" si="30"/>
        <v>-0.80552069096960777</v>
      </c>
      <c r="F297" s="503">
        <f t="shared" si="31"/>
        <v>-0.17205797953359805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8</v>
      </c>
      <c r="D298" s="466">
        <f>IF(LN_IE4=0,0,LN_IE11/LN_IE4)</f>
        <v>4.4000000000000004</v>
      </c>
      <c r="E298" s="466">
        <f t="shared" si="30"/>
        <v>-3.5999999999999996</v>
      </c>
      <c r="F298" s="503">
        <f t="shared" si="31"/>
        <v>-0.44999999999999996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</v>
      </c>
      <c r="D299" s="466">
        <f>IF(LN_IG3=0,0,LN_IG6/LN_IG3)</f>
        <v>0</v>
      </c>
      <c r="E299" s="466">
        <f t="shared" si="30"/>
        <v>-2</v>
      </c>
      <c r="F299" s="503">
        <f t="shared" si="31"/>
        <v>-1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4.1268824094841401</v>
      </c>
      <c r="D300" s="466">
        <f>IF(LN_IIA4=0,0,LN_IIA14/LN_IIA4)</f>
        <v>3.7831927522649171</v>
      </c>
      <c r="E300" s="466">
        <f t="shared" si="30"/>
        <v>-0.34368965721922295</v>
      </c>
      <c r="F300" s="503">
        <f t="shared" si="31"/>
        <v>-8.3280700324626922E-2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197304279</v>
      </c>
      <c r="D304" s="441">
        <f>LN_IIA11</f>
        <v>201245838</v>
      </c>
      <c r="E304" s="441">
        <f t="shared" ref="E304:E316" si="32">D304-C304</f>
        <v>3941559</v>
      </c>
      <c r="F304" s="449">
        <f>IF(C304=0,0,E304/C304)</f>
        <v>1.9977057872120452E-2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89220638</v>
      </c>
      <c r="D305" s="441">
        <f>LN_IIB14</f>
        <v>96688796</v>
      </c>
      <c r="E305" s="441">
        <f t="shared" si="32"/>
        <v>7468158</v>
      </c>
      <c r="F305" s="449">
        <f>IF(C305=0,0,E305/C305)</f>
        <v>8.3704377904134694E-2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6188104</v>
      </c>
      <c r="D306" s="441">
        <f>LN_IH6</f>
        <v>3802054</v>
      </c>
      <c r="E306" s="441">
        <f t="shared" si="32"/>
        <v>-2386050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32429020</v>
      </c>
      <c r="D307" s="441">
        <f>LN_IB32-LN_IB33</f>
        <v>32529837</v>
      </c>
      <c r="E307" s="441">
        <f t="shared" si="32"/>
        <v>100817</v>
      </c>
      <c r="F307" s="449">
        <f t="shared" ref="F307:F316" si="33">IF(C307=0,0,E307/C307)</f>
        <v>3.10885126963442E-3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2162080</v>
      </c>
      <c r="D308" s="441">
        <v>1864058</v>
      </c>
      <c r="E308" s="441">
        <f t="shared" si="32"/>
        <v>-298022</v>
      </c>
      <c r="F308" s="449">
        <f t="shared" si="33"/>
        <v>-0.13784041293569155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129999842</v>
      </c>
      <c r="D309" s="441">
        <f>LN_III2+LN_III3+LN_III4+LN_III5</f>
        <v>134884745</v>
      </c>
      <c r="E309" s="441">
        <f t="shared" si="32"/>
        <v>4884903</v>
      </c>
      <c r="F309" s="449">
        <f t="shared" si="33"/>
        <v>3.7576222592639763E-2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67304437</v>
      </c>
      <c r="D310" s="441">
        <f>LN_III1-LN_III6</f>
        <v>66361093</v>
      </c>
      <c r="E310" s="441">
        <f t="shared" si="32"/>
        <v>-943344</v>
      </c>
      <c r="F310" s="449">
        <f t="shared" si="33"/>
        <v>-1.4016074452862595E-2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67304437</v>
      </c>
      <c r="D312" s="441">
        <f>LN_III7+LN_III8</f>
        <v>66361093</v>
      </c>
      <c r="E312" s="441">
        <f t="shared" si="32"/>
        <v>-943344</v>
      </c>
      <c r="F312" s="449">
        <f t="shared" si="33"/>
        <v>-1.4016074452862595E-2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0.34112000682965421</v>
      </c>
      <c r="D313" s="532">
        <f>IF(LN_III1=0,0,LN_III9/LN_III1)</f>
        <v>0.32975138099501966</v>
      </c>
      <c r="E313" s="532">
        <f t="shared" si="32"/>
        <v>-1.1368625834634549E-2</v>
      </c>
      <c r="F313" s="449">
        <f t="shared" si="33"/>
        <v>-3.3327349926771437E-2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2110886.0787426108</v>
      </c>
      <c r="D314" s="441">
        <f>D313*LN_III5</f>
        <v>1253732.5571176384</v>
      </c>
      <c r="E314" s="441">
        <f t="shared" si="32"/>
        <v>-857153.52162497235</v>
      </c>
      <c r="F314" s="449">
        <f t="shared" si="33"/>
        <v>-0.40606337322360481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2317871.4274497516</v>
      </c>
      <c r="D315" s="441">
        <f>D313*LN_IH8-LN_IH9</f>
        <v>2358099.9335085433</v>
      </c>
      <c r="E315" s="441">
        <f t="shared" si="32"/>
        <v>40228.506058791652</v>
      </c>
      <c r="F315" s="449">
        <f t="shared" si="33"/>
        <v>1.7355797039637029E-2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4428757.5061923619</v>
      </c>
      <c r="D318" s="441">
        <f>D314+D315+D316</f>
        <v>3611832.4906261815</v>
      </c>
      <c r="E318" s="441">
        <f>D318-C318</f>
        <v>-816925.01556618046</v>
      </c>
      <c r="F318" s="449">
        <f>IF(C318=0,0,E318/C318)</f>
        <v>-0.18445918847982587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780700.54938608501</v>
      </c>
      <c r="D322" s="441">
        <f>LN_ID22</f>
        <v>859916.10683510988</v>
      </c>
      <c r="E322" s="441">
        <f>LN_IV2-C322</f>
        <v>79215.557449024869</v>
      </c>
      <c r="F322" s="449">
        <f>IF(C322=0,0,E322/C322)</f>
        <v>0.10146727514322508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963.13381610812394</v>
      </c>
      <c r="D323" s="441">
        <f>LN_IE10+LN_IE22</f>
        <v>13650.116674619418</v>
      </c>
      <c r="E323" s="441">
        <f>LN_IV3-C323</f>
        <v>12686.982858511294</v>
      </c>
      <c r="F323" s="449">
        <f>IF(C323=0,0,E323/C323)</f>
        <v>13.172606595600024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1197822.869598622</v>
      </c>
      <c r="D324" s="441">
        <f>LN_IC10+LN_IC22</f>
        <v>1111601.1610850694</v>
      </c>
      <c r="E324" s="441">
        <f>LN_IV1-C324</f>
        <v>-86221.708513552556</v>
      </c>
      <c r="F324" s="449">
        <f>IF(C324=0,0,E324/C324)</f>
        <v>-7.1982018962824246E-2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1979486.5528008151</v>
      </c>
      <c r="D325" s="516">
        <f>LN_IV1+LN_IV2+LN_IV3</f>
        <v>1985167.3845947988</v>
      </c>
      <c r="E325" s="441">
        <f>LN_IV4-C325</f>
        <v>5680.8317939836998</v>
      </c>
      <c r="F325" s="449">
        <f>IF(C325=0,0,E325/C325)</f>
        <v>2.8698511671856409E-3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2162080</v>
      </c>
      <c r="D329" s="518">
        <v>1864058</v>
      </c>
      <c r="E329" s="518">
        <f t="shared" ref="E329:E335" si="34">D329-C329</f>
        <v>-298022</v>
      </c>
      <c r="F329" s="542">
        <f t="shared" ref="F329:F335" si="35">IF(C329=0,0,E329/C329)</f>
        <v>-0.13784041293569155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-1442946</v>
      </c>
      <c r="D330" s="516">
        <v>-1796306</v>
      </c>
      <c r="E330" s="518">
        <f t="shared" si="34"/>
        <v>-353360</v>
      </c>
      <c r="F330" s="543">
        <f t="shared" si="35"/>
        <v>0.24488788908247433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63500794</v>
      </c>
      <c r="D331" s="516">
        <v>60372640</v>
      </c>
      <c r="E331" s="518">
        <f t="shared" si="34"/>
        <v>-3128154</v>
      </c>
      <c r="F331" s="542">
        <f t="shared" si="35"/>
        <v>-4.9261651751945024E-2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197304279</v>
      </c>
      <c r="D333" s="516">
        <v>201245838</v>
      </c>
      <c r="E333" s="518">
        <f t="shared" si="34"/>
        <v>3941559</v>
      </c>
      <c r="F333" s="542">
        <f t="shared" si="35"/>
        <v>1.9977057872120452E-2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6188104</v>
      </c>
      <c r="D335" s="516">
        <v>3802054</v>
      </c>
      <c r="E335" s="516">
        <f t="shared" si="34"/>
        <v>-2386050</v>
      </c>
      <c r="F335" s="542">
        <f t="shared" si="35"/>
        <v>-0.38558660294009278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26989492</v>
      </c>
      <c r="D14" s="589">
        <v>29546764</v>
      </c>
      <c r="E14" s="590">
        <f t="shared" ref="E14:E22" si="0">D14-C14</f>
        <v>2557272</v>
      </c>
    </row>
    <row r="15" spans="1:5" s="421" customFormat="1" x14ac:dyDescent="0.2">
      <c r="A15" s="588">
        <v>2</v>
      </c>
      <c r="B15" s="587" t="s">
        <v>636</v>
      </c>
      <c r="C15" s="589">
        <v>63576740</v>
      </c>
      <c r="D15" s="591">
        <v>68152688</v>
      </c>
      <c r="E15" s="590">
        <f t="shared" si="0"/>
        <v>4575948</v>
      </c>
    </row>
    <row r="16" spans="1:5" s="421" customFormat="1" x14ac:dyDescent="0.2">
      <c r="A16" s="588">
        <v>3</v>
      </c>
      <c r="B16" s="587" t="s">
        <v>778</v>
      </c>
      <c r="C16" s="589">
        <v>8563922</v>
      </c>
      <c r="D16" s="591">
        <v>8101090</v>
      </c>
      <c r="E16" s="590">
        <f t="shared" si="0"/>
        <v>-462832</v>
      </c>
    </row>
    <row r="17" spans="1:5" s="421" customFormat="1" x14ac:dyDescent="0.2">
      <c r="A17" s="588">
        <v>4</v>
      </c>
      <c r="B17" s="587" t="s">
        <v>115</v>
      </c>
      <c r="C17" s="589">
        <v>8491118</v>
      </c>
      <c r="D17" s="591">
        <v>7962245</v>
      </c>
      <c r="E17" s="590">
        <f t="shared" si="0"/>
        <v>-528873</v>
      </c>
    </row>
    <row r="18" spans="1:5" s="421" customFormat="1" x14ac:dyDescent="0.2">
      <c r="A18" s="588">
        <v>5</v>
      </c>
      <c r="B18" s="587" t="s">
        <v>744</v>
      </c>
      <c r="C18" s="589">
        <v>72804</v>
      </c>
      <c r="D18" s="591">
        <v>138845</v>
      </c>
      <c r="E18" s="590">
        <f t="shared" si="0"/>
        <v>66041</v>
      </c>
    </row>
    <row r="19" spans="1:5" s="421" customFormat="1" x14ac:dyDescent="0.2">
      <c r="A19" s="588">
        <v>6</v>
      </c>
      <c r="B19" s="587" t="s">
        <v>424</v>
      </c>
      <c r="C19" s="589">
        <v>119348</v>
      </c>
      <c r="D19" s="591">
        <v>0</v>
      </c>
      <c r="E19" s="590">
        <f t="shared" si="0"/>
        <v>-119348</v>
      </c>
    </row>
    <row r="20" spans="1:5" s="421" customFormat="1" x14ac:dyDescent="0.2">
      <c r="A20" s="588">
        <v>7</v>
      </c>
      <c r="B20" s="587" t="s">
        <v>759</v>
      </c>
      <c r="C20" s="589">
        <v>1574728</v>
      </c>
      <c r="D20" s="591">
        <v>758177</v>
      </c>
      <c r="E20" s="590">
        <f t="shared" si="0"/>
        <v>-816551</v>
      </c>
    </row>
    <row r="21" spans="1:5" s="421" customFormat="1" x14ac:dyDescent="0.2">
      <c r="A21" s="588"/>
      <c r="B21" s="592" t="s">
        <v>779</v>
      </c>
      <c r="C21" s="593">
        <f>SUM(C15+C16+C19)</f>
        <v>72260010</v>
      </c>
      <c r="D21" s="593">
        <f>SUM(D15+D16+D19)</f>
        <v>76253778</v>
      </c>
      <c r="E21" s="593">
        <f t="shared" si="0"/>
        <v>3993768</v>
      </c>
    </row>
    <row r="22" spans="1:5" s="421" customFormat="1" x14ac:dyDescent="0.2">
      <c r="A22" s="588"/>
      <c r="B22" s="592" t="s">
        <v>465</v>
      </c>
      <c r="C22" s="593">
        <f>SUM(C14+C21)</f>
        <v>99249502</v>
      </c>
      <c r="D22" s="593">
        <f>SUM(D14+D21)</f>
        <v>105800542</v>
      </c>
      <c r="E22" s="593">
        <f t="shared" si="0"/>
        <v>6551040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45994687</v>
      </c>
      <c r="D25" s="589">
        <v>41667397</v>
      </c>
      <c r="E25" s="590">
        <f t="shared" ref="E25:E33" si="1">D25-C25</f>
        <v>-4327290</v>
      </c>
    </row>
    <row r="26" spans="1:5" s="421" customFormat="1" x14ac:dyDescent="0.2">
      <c r="A26" s="588">
        <v>2</v>
      </c>
      <c r="B26" s="587" t="s">
        <v>636</v>
      </c>
      <c r="C26" s="589">
        <v>34730744</v>
      </c>
      <c r="D26" s="591">
        <v>34924535</v>
      </c>
      <c r="E26" s="590">
        <f t="shared" si="1"/>
        <v>193791</v>
      </c>
    </row>
    <row r="27" spans="1:5" s="421" customFormat="1" x14ac:dyDescent="0.2">
      <c r="A27" s="588">
        <v>3</v>
      </c>
      <c r="B27" s="587" t="s">
        <v>778</v>
      </c>
      <c r="C27" s="589">
        <v>17148910</v>
      </c>
      <c r="D27" s="591">
        <v>18713821</v>
      </c>
      <c r="E27" s="590">
        <f t="shared" si="1"/>
        <v>1564911</v>
      </c>
    </row>
    <row r="28" spans="1:5" s="421" customFormat="1" x14ac:dyDescent="0.2">
      <c r="A28" s="588">
        <v>4</v>
      </c>
      <c r="B28" s="587" t="s">
        <v>115</v>
      </c>
      <c r="C28" s="589">
        <v>16965353</v>
      </c>
      <c r="D28" s="591">
        <v>18535877</v>
      </c>
      <c r="E28" s="590">
        <f t="shared" si="1"/>
        <v>1570524</v>
      </c>
    </row>
    <row r="29" spans="1:5" s="421" customFormat="1" x14ac:dyDescent="0.2">
      <c r="A29" s="588">
        <v>5</v>
      </c>
      <c r="B29" s="587" t="s">
        <v>744</v>
      </c>
      <c r="C29" s="589">
        <v>183557</v>
      </c>
      <c r="D29" s="591">
        <v>177944</v>
      </c>
      <c r="E29" s="590">
        <f t="shared" si="1"/>
        <v>-5613</v>
      </c>
    </row>
    <row r="30" spans="1:5" s="421" customFormat="1" x14ac:dyDescent="0.2">
      <c r="A30" s="588">
        <v>6</v>
      </c>
      <c r="B30" s="587" t="s">
        <v>424</v>
      </c>
      <c r="C30" s="589">
        <v>180436</v>
      </c>
      <c r="D30" s="591">
        <v>139543</v>
      </c>
      <c r="E30" s="590">
        <f t="shared" si="1"/>
        <v>-40893</v>
      </c>
    </row>
    <row r="31" spans="1:5" s="421" customFormat="1" x14ac:dyDescent="0.2">
      <c r="A31" s="588">
        <v>7</v>
      </c>
      <c r="B31" s="587" t="s">
        <v>759</v>
      </c>
      <c r="C31" s="590">
        <v>3025507</v>
      </c>
      <c r="D31" s="594">
        <v>3899766</v>
      </c>
      <c r="E31" s="590">
        <f t="shared" si="1"/>
        <v>874259</v>
      </c>
    </row>
    <row r="32" spans="1:5" s="421" customFormat="1" x14ac:dyDescent="0.2">
      <c r="A32" s="588"/>
      <c r="B32" s="592" t="s">
        <v>781</v>
      </c>
      <c r="C32" s="593">
        <f>SUM(C26+C27+C30)</f>
        <v>52060090</v>
      </c>
      <c r="D32" s="593">
        <f>SUM(D26+D27+D30)</f>
        <v>53777899</v>
      </c>
      <c r="E32" s="593">
        <f t="shared" si="1"/>
        <v>1717809</v>
      </c>
    </row>
    <row r="33" spans="1:5" s="421" customFormat="1" x14ac:dyDescent="0.2">
      <c r="A33" s="588"/>
      <c r="B33" s="592" t="s">
        <v>467</v>
      </c>
      <c r="C33" s="593">
        <f>SUM(C25+C32)</f>
        <v>98054777</v>
      </c>
      <c r="D33" s="593">
        <f>SUM(D25+D32)</f>
        <v>95445296</v>
      </c>
      <c r="E33" s="593">
        <f t="shared" si="1"/>
        <v>-2609481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72984179</v>
      </c>
      <c r="D36" s="590">
        <f t="shared" si="2"/>
        <v>71214161</v>
      </c>
      <c r="E36" s="590">
        <f t="shared" ref="E36:E44" si="3">D36-C36</f>
        <v>-1770018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98307484</v>
      </c>
      <c r="D37" s="590">
        <f t="shared" si="2"/>
        <v>103077223</v>
      </c>
      <c r="E37" s="590">
        <f t="shared" si="3"/>
        <v>4769739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25712832</v>
      </c>
      <c r="D38" s="590">
        <f t="shared" si="2"/>
        <v>26814911</v>
      </c>
      <c r="E38" s="590">
        <f t="shared" si="3"/>
        <v>1102079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25456471</v>
      </c>
      <c r="D39" s="590">
        <f t="shared" si="2"/>
        <v>26498122</v>
      </c>
      <c r="E39" s="590">
        <f t="shared" si="3"/>
        <v>1041651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256361</v>
      </c>
      <c r="D40" s="590">
        <f t="shared" si="2"/>
        <v>316789</v>
      </c>
      <c r="E40" s="590">
        <f t="shared" si="3"/>
        <v>60428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299784</v>
      </c>
      <c r="D41" s="590">
        <f t="shared" si="2"/>
        <v>139543</v>
      </c>
      <c r="E41" s="590">
        <f t="shared" si="3"/>
        <v>-160241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4600235</v>
      </c>
      <c r="D42" s="590">
        <f t="shared" si="2"/>
        <v>4657943</v>
      </c>
      <c r="E42" s="590">
        <f t="shared" si="3"/>
        <v>57708</v>
      </c>
    </row>
    <row r="43" spans="1:5" s="421" customFormat="1" x14ac:dyDescent="0.2">
      <c r="A43" s="588"/>
      <c r="B43" s="592" t="s">
        <v>789</v>
      </c>
      <c r="C43" s="593">
        <f>SUM(C37+C38+C41)</f>
        <v>124320100</v>
      </c>
      <c r="D43" s="593">
        <f>SUM(D37+D38+D41)</f>
        <v>130031677</v>
      </c>
      <c r="E43" s="593">
        <f t="shared" si="3"/>
        <v>5711577</v>
      </c>
    </row>
    <row r="44" spans="1:5" s="421" customFormat="1" x14ac:dyDescent="0.2">
      <c r="A44" s="588"/>
      <c r="B44" s="592" t="s">
        <v>726</v>
      </c>
      <c r="C44" s="593">
        <f>SUM(C36+C43)</f>
        <v>197304279</v>
      </c>
      <c r="D44" s="593">
        <f>SUM(D36+D43)</f>
        <v>201245838</v>
      </c>
      <c r="E44" s="593">
        <f t="shared" si="3"/>
        <v>3941559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10646730</v>
      </c>
      <c r="D47" s="589">
        <v>11546348</v>
      </c>
      <c r="E47" s="590">
        <f t="shared" ref="E47:E55" si="4">D47-C47</f>
        <v>899618</v>
      </c>
    </row>
    <row r="48" spans="1:5" s="421" customFormat="1" x14ac:dyDescent="0.2">
      <c r="A48" s="588">
        <v>2</v>
      </c>
      <c r="B48" s="587" t="s">
        <v>636</v>
      </c>
      <c r="C48" s="589">
        <v>20112609</v>
      </c>
      <c r="D48" s="591">
        <v>19042627</v>
      </c>
      <c r="E48" s="590">
        <f t="shared" si="4"/>
        <v>-1069982</v>
      </c>
    </row>
    <row r="49" spans="1:5" s="421" customFormat="1" x14ac:dyDescent="0.2">
      <c r="A49" s="588">
        <v>3</v>
      </c>
      <c r="B49" s="587" t="s">
        <v>778</v>
      </c>
      <c r="C49" s="589">
        <v>1687335</v>
      </c>
      <c r="D49" s="591">
        <v>1427374</v>
      </c>
      <c r="E49" s="590">
        <f t="shared" si="4"/>
        <v>-259961</v>
      </c>
    </row>
    <row r="50" spans="1:5" s="421" customFormat="1" x14ac:dyDescent="0.2">
      <c r="A50" s="588">
        <v>4</v>
      </c>
      <c r="B50" s="587" t="s">
        <v>115</v>
      </c>
      <c r="C50" s="589">
        <v>1668745</v>
      </c>
      <c r="D50" s="591">
        <v>1391159</v>
      </c>
      <c r="E50" s="590">
        <f t="shared" si="4"/>
        <v>-277586</v>
      </c>
    </row>
    <row r="51" spans="1:5" s="421" customFormat="1" x14ac:dyDescent="0.2">
      <c r="A51" s="588">
        <v>5</v>
      </c>
      <c r="B51" s="587" t="s">
        <v>744</v>
      </c>
      <c r="C51" s="589">
        <v>18590</v>
      </c>
      <c r="D51" s="591">
        <v>36215</v>
      </c>
      <c r="E51" s="590">
        <f t="shared" si="4"/>
        <v>17625</v>
      </c>
    </row>
    <row r="52" spans="1:5" s="421" customFormat="1" x14ac:dyDescent="0.2">
      <c r="A52" s="588">
        <v>6</v>
      </c>
      <c r="B52" s="587" t="s">
        <v>424</v>
      </c>
      <c r="C52" s="589">
        <v>33114</v>
      </c>
      <c r="D52" s="591">
        <v>0</v>
      </c>
      <c r="E52" s="590">
        <f t="shared" si="4"/>
        <v>-33114</v>
      </c>
    </row>
    <row r="53" spans="1:5" s="421" customFormat="1" x14ac:dyDescent="0.2">
      <c r="A53" s="588">
        <v>7</v>
      </c>
      <c r="B53" s="587" t="s">
        <v>759</v>
      </c>
      <c r="C53" s="589">
        <v>56740</v>
      </c>
      <c r="D53" s="591">
        <v>75818</v>
      </c>
      <c r="E53" s="590">
        <f t="shared" si="4"/>
        <v>19078</v>
      </c>
    </row>
    <row r="54" spans="1:5" s="421" customFormat="1" x14ac:dyDescent="0.2">
      <c r="A54" s="588"/>
      <c r="B54" s="592" t="s">
        <v>791</v>
      </c>
      <c r="C54" s="593">
        <f>SUM(C48+C49+C52)</f>
        <v>21833058</v>
      </c>
      <c r="D54" s="593">
        <f>SUM(D48+D49+D52)</f>
        <v>20470001</v>
      </c>
      <c r="E54" s="593">
        <f t="shared" si="4"/>
        <v>-1363057</v>
      </c>
    </row>
    <row r="55" spans="1:5" s="421" customFormat="1" x14ac:dyDescent="0.2">
      <c r="A55" s="588"/>
      <c r="B55" s="592" t="s">
        <v>466</v>
      </c>
      <c r="C55" s="593">
        <f>SUM(C47+C54)</f>
        <v>32479788</v>
      </c>
      <c r="D55" s="593">
        <f>SUM(D47+D54)</f>
        <v>32016349</v>
      </c>
      <c r="E55" s="593">
        <f t="shared" si="4"/>
        <v>-463439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19197547</v>
      </c>
      <c r="D58" s="589">
        <v>17279715</v>
      </c>
      <c r="E58" s="590">
        <f t="shared" ref="E58:E66" si="5">D58-C58</f>
        <v>-1917832</v>
      </c>
    </row>
    <row r="59" spans="1:5" s="421" customFormat="1" x14ac:dyDescent="0.2">
      <c r="A59" s="588">
        <v>2</v>
      </c>
      <c r="B59" s="587" t="s">
        <v>636</v>
      </c>
      <c r="C59" s="589">
        <v>8449365</v>
      </c>
      <c r="D59" s="591">
        <v>7777901</v>
      </c>
      <c r="E59" s="590">
        <f t="shared" si="5"/>
        <v>-671464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4765955</v>
      </c>
      <c r="D60" s="591">
        <f>D61+D62</f>
        <v>5056780</v>
      </c>
      <c r="E60" s="590">
        <f t="shared" si="5"/>
        <v>290825</v>
      </c>
    </row>
    <row r="61" spans="1:5" s="421" customFormat="1" x14ac:dyDescent="0.2">
      <c r="A61" s="588">
        <v>4</v>
      </c>
      <c r="B61" s="587" t="s">
        <v>115</v>
      </c>
      <c r="C61" s="589">
        <v>4731261</v>
      </c>
      <c r="D61" s="591">
        <v>5019976</v>
      </c>
      <c r="E61" s="590">
        <f t="shared" si="5"/>
        <v>288715</v>
      </c>
    </row>
    <row r="62" spans="1:5" s="421" customFormat="1" x14ac:dyDescent="0.2">
      <c r="A62" s="588">
        <v>5</v>
      </c>
      <c r="B62" s="587" t="s">
        <v>744</v>
      </c>
      <c r="C62" s="589">
        <v>34694</v>
      </c>
      <c r="D62" s="591">
        <v>36804</v>
      </c>
      <c r="E62" s="590">
        <f t="shared" si="5"/>
        <v>2110</v>
      </c>
    </row>
    <row r="63" spans="1:5" s="421" customFormat="1" x14ac:dyDescent="0.2">
      <c r="A63" s="588">
        <v>6</v>
      </c>
      <c r="B63" s="587" t="s">
        <v>424</v>
      </c>
      <c r="C63" s="589">
        <v>51084</v>
      </c>
      <c r="D63" s="591">
        <v>38199</v>
      </c>
      <c r="E63" s="590">
        <f t="shared" si="5"/>
        <v>-12885</v>
      </c>
    </row>
    <row r="64" spans="1:5" s="421" customFormat="1" x14ac:dyDescent="0.2">
      <c r="A64" s="588">
        <v>7</v>
      </c>
      <c r="B64" s="587" t="s">
        <v>759</v>
      </c>
      <c r="C64" s="589">
        <v>134197</v>
      </c>
      <c r="D64" s="591">
        <v>389977</v>
      </c>
      <c r="E64" s="590">
        <f t="shared" si="5"/>
        <v>255780</v>
      </c>
    </row>
    <row r="65" spans="1:5" s="421" customFormat="1" x14ac:dyDescent="0.2">
      <c r="A65" s="588"/>
      <c r="B65" s="592" t="s">
        <v>793</v>
      </c>
      <c r="C65" s="593">
        <f>SUM(C59+C60+C63)</f>
        <v>13266404</v>
      </c>
      <c r="D65" s="593">
        <f>SUM(D59+D60+D63)</f>
        <v>12872880</v>
      </c>
      <c r="E65" s="593">
        <f t="shared" si="5"/>
        <v>-393524</v>
      </c>
    </row>
    <row r="66" spans="1:5" s="421" customFormat="1" x14ac:dyDescent="0.2">
      <c r="A66" s="588"/>
      <c r="B66" s="592" t="s">
        <v>468</v>
      </c>
      <c r="C66" s="593">
        <f>SUM(C58+C65)</f>
        <v>32463951</v>
      </c>
      <c r="D66" s="593">
        <f>SUM(D58+D65)</f>
        <v>30152595</v>
      </c>
      <c r="E66" s="593">
        <f t="shared" si="5"/>
        <v>-2311356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29844277</v>
      </c>
      <c r="D69" s="590">
        <f t="shared" si="6"/>
        <v>28826063</v>
      </c>
      <c r="E69" s="590">
        <f t="shared" ref="E69:E77" si="7">D69-C69</f>
        <v>-1018214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28561974</v>
      </c>
      <c r="D70" s="590">
        <f t="shared" si="6"/>
        <v>26820528</v>
      </c>
      <c r="E70" s="590">
        <f t="shared" si="7"/>
        <v>-1741446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6453290</v>
      </c>
      <c r="D71" s="590">
        <f t="shared" si="6"/>
        <v>6484154</v>
      </c>
      <c r="E71" s="590">
        <f t="shared" si="7"/>
        <v>30864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6400006</v>
      </c>
      <c r="D72" s="590">
        <f t="shared" si="6"/>
        <v>6411135</v>
      </c>
      <c r="E72" s="590">
        <f t="shared" si="7"/>
        <v>11129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53284</v>
      </c>
      <c r="D73" s="590">
        <f t="shared" si="6"/>
        <v>73019</v>
      </c>
      <c r="E73" s="590">
        <f t="shared" si="7"/>
        <v>19735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84198</v>
      </c>
      <c r="D74" s="590">
        <f t="shared" si="6"/>
        <v>38199</v>
      </c>
      <c r="E74" s="590">
        <f t="shared" si="7"/>
        <v>-45999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190937</v>
      </c>
      <c r="D75" s="590">
        <f t="shared" si="6"/>
        <v>465795</v>
      </c>
      <c r="E75" s="590">
        <f t="shared" si="7"/>
        <v>274858</v>
      </c>
    </row>
    <row r="76" spans="1:5" s="421" customFormat="1" x14ac:dyDescent="0.2">
      <c r="A76" s="588"/>
      <c r="B76" s="592" t="s">
        <v>794</v>
      </c>
      <c r="C76" s="593">
        <f>SUM(C70+C71+C74)</f>
        <v>35099462</v>
      </c>
      <c r="D76" s="593">
        <f>SUM(D70+D71+D74)</f>
        <v>33342881</v>
      </c>
      <c r="E76" s="593">
        <f t="shared" si="7"/>
        <v>-1756581</v>
      </c>
    </row>
    <row r="77" spans="1:5" s="421" customFormat="1" x14ac:dyDescent="0.2">
      <c r="A77" s="588"/>
      <c r="B77" s="592" t="s">
        <v>727</v>
      </c>
      <c r="C77" s="593">
        <f>SUM(C69+C76)</f>
        <v>64943739</v>
      </c>
      <c r="D77" s="593">
        <f>SUM(D69+D76)</f>
        <v>62168944</v>
      </c>
      <c r="E77" s="593">
        <f t="shared" si="7"/>
        <v>-2774795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0.13679121475110026</v>
      </c>
      <c r="D83" s="599">
        <f t="shared" si="8"/>
        <v>0.14681925496516354</v>
      </c>
      <c r="E83" s="599">
        <f t="shared" ref="E83:E91" si="9">D83-C83</f>
        <v>1.0028040214063283E-2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0.32222686868337003</v>
      </c>
      <c r="D84" s="599">
        <f t="shared" si="8"/>
        <v>0.33865390050948529</v>
      </c>
      <c r="E84" s="599">
        <f t="shared" si="9"/>
        <v>1.6427031826115268E-2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4.3404644052347188E-2</v>
      </c>
      <c r="D85" s="599">
        <f t="shared" si="8"/>
        <v>4.0254695851150969E-2</v>
      </c>
      <c r="E85" s="599">
        <f t="shared" si="9"/>
        <v>-3.149948201196219E-3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4.303565053447219E-2</v>
      </c>
      <c r="D86" s="599">
        <f t="shared" si="8"/>
        <v>3.956476853946167E-2</v>
      </c>
      <c r="E86" s="599">
        <f t="shared" si="9"/>
        <v>-3.4708819950105205E-3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3.6899351787499752E-4</v>
      </c>
      <c r="D87" s="599">
        <f t="shared" si="8"/>
        <v>6.8992731168929819E-4</v>
      </c>
      <c r="E87" s="599">
        <f t="shared" si="9"/>
        <v>3.2093379381430067E-4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6.0489311536928196E-4</v>
      </c>
      <c r="D88" s="599">
        <f t="shared" si="8"/>
        <v>0</v>
      </c>
      <c r="E88" s="599">
        <f t="shared" si="9"/>
        <v>-6.0489311536928196E-4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7.9812156532094274E-3</v>
      </c>
      <c r="D89" s="599">
        <f t="shared" si="8"/>
        <v>3.7674170434272534E-3</v>
      </c>
      <c r="E89" s="599">
        <f t="shared" si="9"/>
        <v>-4.2137986097821739E-3</v>
      </c>
    </row>
    <row r="90" spans="1:5" s="421" customFormat="1" x14ac:dyDescent="0.2">
      <c r="A90" s="588"/>
      <c r="B90" s="592" t="s">
        <v>797</v>
      </c>
      <c r="C90" s="600">
        <f>SUM(C84+C85+C88)</f>
        <v>0.36623640585108647</v>
      </c>
      <c r="D90" s="600">
        <f>SUM(D84+D85+D88)</f>
        <v>0.37890859636063629</v>
      </c>
      <c r="E90" s="601">
        <f t="shared" si="9"/>
        <v>1.2672190509549819E-2</v>
      </c>
    </row>
    <row r="91" spans="1:5" s="421" customFormat="1" x14ac:dyDescent="0.2">
      <c r="A91" s="588"/>
      <c r="B91" s="592" t="s">
        <v>798</v>
      </c>
      <c r="C91" s="600">
        <f>SUM(C83+C90)</f>
        <v>0.50302762060218675</v>
      </c>
      <c r="D91" s="600">
        <f>SUM(D83+D90)</f>
        <v>0.5257278513257998</v>
      </c>
      <c r="E91" s="601">
        <f t="shared" si="9"/>
        <v>2.2700230723613046E-2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0.23311550683601748</v>
      </c>
      <c r="D95" s="599">
        <f t="shared" si="10"/>
        <v>0.20704724835104416</v>
      </c>
      <c r="E95" s="599">
        <f t="shared" ref="E95:E103" si="11">D95-C95</f>
        <v>-2.6068258484973322E-2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0.17602630908982972</v>
      </c>
      <c r="D96" s="599">
        <f t="shared" si="10"/>
        <v>0.17354165108249345</v>
      </c>
      <c r="E96" s="599">
        <f t="shared" si="11"/>
        <v>-2.4846580073362712E-3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8.6916057203199323E-2</v>
      </c>
      <c r="D97" s="599">
        <f t="shared" si="10"/>
        <v>9.2989853534262909E-2</v>
      </c>
      <c r="E97" s="599">
        <f t="shared" si="11"/>
        <v>6.0737963310635856E-3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8.5985732727063668E-2</v>
      </c>
      <c r="D98" s="599">
        <f t="shared" si="10"/>
        <v>9.2105641459278284E-2</v>
      </c>
      <c r="E98" s="599">
        <f t="shared" si="11"/>
        <v>6.1199087322146156E-3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9.3032447613566459E-4</v>
      </c>
      <c r="D99" s="599">
        <f t="shared" si="10"/>
        <v>8.8421207498462647E-4</v>
      </c>
      <c r="E99" s="599">
        <f t="shared" si="11"/>
        <v>-4.6112401151038123E-5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9.1450626876673059E-4</v>
      </c>
      <c r="D100" s="599">
        <f t="shared" si="10"/>
        <v>6.9339570639965239E-4</v>
      </c>
      <c r="E100" s="599">
        <f t="shared" si="11"/>
        <v>-2.211105623670782E-4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1.5334218879257049E-2</v>
      </c>
      <c r="D101" s="599">
        <f t="shared" si="10"/>
        <v>1.9378120008623483E-2</v>
      </c>
      <c r="E101" s="599">
        <f t="shared" si="11"/>
        <v>4.0439011293664333E-3</v>
      </c>
    </row>
    <row r="102" spans="1:5" s="421" customFormat="1" x14ac:dyDescent="0.2">
      <c r="A102" s="588"/>
      <c r="B102" s="592" t="s">
        <v>800</v>
      </c>
      <c r="C102" s="600">
        <f>SUM(C96+C97+C100)</f>
        <v>0.26385687256179574</v>
      </c>
      <c r="D102" s="600">
        <f>SUM(D96+D97+D100)</f>
        <v>0.26722490032315599</v>
      </c>
      <c r="E102" s="601">
        <f t="shared" si="11"/>
        <v>3.3680277613602483E-3</v>
      </c>
    </row>
    <row r="103" spans="1:5" s="421" customFormat="1" x14ac:dyDescent="0.2">
      <c r="A103" s="588"/>
      <c r="B103" s="592" t="s">
        <v>801</v>
      </c>
      <c r="C103" s="600">
        <f>SUM(C95+C102)</f>
        <v>0.49697237939781325</v>
      </c>
      <c r="D103" s="600">
        <f>SUM(D95+D102)</f>
        <v>0.47427214867420014</v>
      </c>
      <c r="E103" s="601">
        <f t="shared" si="11"/>
        <v>-2.2700230723613102E-2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0.16393774309791434</v>
      </c>
      <c r="D109" s="599">
        <f t="shared" si="12"/>
        <v>0.18572533578823536</v>
      </c>
      <c r="E109" s="599">
        <f t="shared" ref="E109:E117" si="13">D109-C109</f>
        <v>2.1787592690321017E-2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0.30969280964867146</v>
      </c>
      <c r="D110" s="599">
        <f t="shared" si="12"/>
        <v>0.30630449505463692</v>
      </c>
      <c r="E110" s="599">
        <f t="shared" si="13"/>
        <v>-3.3883145940345472E-3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2.5981488377193683E-2</v>
      </c>
      <c r="D111" s="599">
        <f t="shared" si="12"/>
        <v>2.295959860601782E-2</v>
      </c>
      <c r="E111" s="599">
        <f t="shared" si="13"/>
        <v>-3.0218897711758626E-3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2.5695240614341593E-2</v>
      </c>
      <c r="D112" s="599">
        <f t="shared" si="12"/>
        <v>2.2377073028616988E-2</v>
      </c>
      <c r="E112" s="599">
        <f t="shared" si="13"/>
        <v>-3.3181675857246046E-3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2.8624776285208955E-4</v>
      </c>
      <c r="D113" s="599">
        <f t="shared" si="12"/>
        <v>5.8252557740083219E-4</v>
      </c>
      <c r="E113" s="599">
        <f t="shared" si="13"/>
        <v>2.9627781454874265E-4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5.0988748892329713E-4</v>
      </c>
      <c r="D114" s="599">
        <f t="shared" si="12"/>
        <v>0</v>
      </c>
      <c r="E114" s="599">
        <f t="shared" si="13"/>
        <v>-5.0988748892329713E-4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8.7367929339578058E-4</v>
      </c>
      <c r="D115" s="599">
        <f t="shared" si="12"/>
        <v>1.2195478179587544E-3</v>
      </c>
      <c r="E115" s="599">
        <f t="shared" si="13"/>
        <v>3.4586852456297383E-4</v>
      </c>
    </row>
    <row r="116" spans="1:5" s="421" customFormat="1" x14ac:dyDescent="0.2">
      <c r="A116" s="588"/>
      <c r="B116" s="592" t="s">
        <v>797</v>
      </c>
      <c r="C116" s="600">
        <f>SUM(C110+C111+C114)</f>
        <v>0.3361841855147884</v>
      </c>
      <c r="D116" s="600">
        <f>SUM(D110+D111+D114)</f>
        <v>0.32926409366065473</v>
      </c>
      <c r="E116" s="601">
        <f t="shared" si="13"/>
        <v>-6.9200918541336698E-3</v>
      </c>
    </row>
    <row r="117" spans="1:5" s="421" customFormat="1" x14ac:dyDescent="0.2">
      <c r="A117" s="588"/>
      <c r="B117" s="592" t="s">
        <v>798</v>
      </c>
      <c r="C117" s="600">
        <f>SUM(C109+C116)</f>
        <v>0.50012192861270277</v>
      </c>
      <c r="D117" s="600">
        <f>SUM(D109+D116)</f>
        <v>0.51498942944889015</v>
      </c>
      <c r="E117" s="601">
        <f t="shared" si="13"/>
        <v>1.4867500836187375E-2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0.29560273700902867</v>
      </c>
      <c r="D121" s="599">
        <f t="shared" si="14"/>
        <v>0.2779477000606605</v>
      </c>
      <c r="E121" s="599">
        <f t="shared" ref="E121:E129" si="15">D121-C121</f>
        <v>-1.7655036948368175E-2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0.13010284178433273</v>
      </c>
      <c r="D122" s="599">
        <f t="shared" si="14"/>
        <v>0.12510910592272567</v>
      </c>
      <c r="E122" s="599">
        <f t="shared" si="15"/>
        <v>-4.9937358616070626E-3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7.3385904066903207E-2</v>
      </c>
      <c r="D123" s="599">
        <f t="shared" si="14"/>
        <v>8.1339325950268673E-2</v>
      </c>
      <c r="E123" s="599">
        <f t="shared" si="15"/>
        <v>7.9534218833654663E-3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7.2851687827828943E-2</v>
      </c>
      <c r="D124" s="599">
        <f t="shared" si="14"/>
        <v>8.0747326189101742E-2</v>
      </c>
      <c r="E124" s="599">
        <f t="shared" si="15"/>
        <v>7.8956383612727998E-3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5.3421623907425476E-4</v>
      </c>
      <c r="D125" s="599">
        <f t="shared" si="14"/>
        <v>5.9199976116692599E-4</v>
      </c>
      <c r="E125" s="599">
        <f t="shared" si="15"/>
        <v>5.7783522092671232E-5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7.8658852703260588E-4</v>
      </c>
      <c r="D126" s="599">
        <f t="shared" si="14"/>
        <v>6.1443861745504318E-4</v>
      </c>
      <c r="E126" s="599">
        <f t="shared" si="15"/>
        <v>-1.721499095775627E-4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2.0663577746886422E-3</v>
      </c>
      <c r="D127" s="599">
        <f t="shared" si="14"/>
        <v>6.2728586800509271E-3</v>
      </c>
      <c r="E127" s="599">
        <f t="shared" si="15"/>
        <v>4.2065009053622853E-3</v>
      </c>
    </row>
    <row r="128" spans="1:5" s="421" customFormat="1" x14ac:dyDescent="0.2">
      <c r="A128" s="588"/>
      <c r="B128" s="592" t="s">
        <v>800</v>
      </c>
      <c r="C128" s="600">
        <f>SUM(C122+C123+C126)</f>
        <v>0.20427533437826856</v>
      </c>
      <c r="D128" s="600">
        <f>SUM(D122+D123+D126)</f>
        <v>0.20706287049044939</v>
      </c>
      <c r="E128" s="601">
        <f t="shared" si="15"/>
        <v>2.7875361121808273E-3</v>
      </c>
    </row>
    <row r="129" spans="1:5" s="421" customFormat="1" x14ac:dyDescent="0.2">
      <c r="A129" s="588"/>
      <c r="B129" s="592" t="s">
        <v>801</v>
      </c>
      <c r="C129" s="600">
        <f>SUM(C121+C128)</f>
        <v>0.49987807138729723</v>
      </c>
      <c r="D129" s="600">
        <f>SUM(D121+D128)</f>
        <v>0.48501057055110985</v>
      </c>
      <c r="E129" s="601">
        <f t="shared" si="15"/>
        <v>-1.4867500836187375E-2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916</v>
      </c>
      <c r="D137" s="606">
        <v>932</v>
      </c>
      <c r="E137" s="607">
        <f t="shared" ref="E137:E145" si="16">D137-C137</f>
        <v>16</v>
      </c>
    </row>
    <row r="138" spans="1:5" s="421" customFormat="1" x14ac:dyDescent="0.2">
      <c r="A138" s="588">
        <v>2</v>
      </c>
      <c r="B138" s="587" t="s">
        <v>636</v>
      </c>
      <c r="C138" s="606">
        <v>1867</v>
      </c>
      <c r="D138" s="606">
        <v>1941</v>
      </c>
      <c r="E138" s="607">
        <f t="shared" si="16"/>
        <v>74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335</v>
      </c>
      <c r="D139" s="606">
        <f>D140+D141</f>
        <v>328</v>
      </c>
      <c r="E139" s="607">
        <f t="shared" si="16"/>
        <v>-7</v>
      </c>
    </row>
    <row r="140" spans="1:5" s="421" customFormat="1" x14ac:dyDescent="0.2">
      <c r="A140" s="588">
        <v>4</v>
      </c>
      <c r="B140" s="587" t="s">
        <v>115</v>
      </c>
      <c r="C140" s="606">
        <v>333</v>
      </c>
      <c r="D140" s="606">
        <v>323</v>
      </c>
      <c r="E140" s="607">
        <f t="shared" si="16"/>
        <v>-10</v>
      </c>
    </row>
    <row r="141" spans="1:5" s="421" customFormat="1" x14ac:dyDescent="0.2">
      <c r="A141" s="588">
        <v>5</v>
      </c>
      <c r="B141" s="587" t="s">
        <v>744</v>
      </c>
      <c r="C141" s="606">
        <v>2</v>
      </c>
      <c r="D141" s="606">
        <v>5</v>
      </c>
      <c r="E141" s="607">
        <f t="shared" si="16"/>
        <v>3</v>
      </c>
    </row>
    <row r="142" spans="1:5" s="421" customFormat="1" x14ac:dyDescent="0.2">
      <c r="A142" s="588">
        <v>6</v>
      </c>
      <c r="B142" s="587" t="s">
        <v>424</v>
      </c>
      <c r="C142" s="606">
        <v>3</v>
      </c>
      <c r="D142" s="606">
        <v>0</v>
      </c>
      <c r="E142" s="607">
        <f t="shared" si="16"/>
        <v>-3</v>
      </c>
    </row>
    <row r="143" spans="1:5" s="421" customFormat="1" x14ac:dyDescent="0.2">
      <c r="A143" s="588">
        <v>7</v>
      </c>
      <c r="B143" s="587" t="s">
        <v>759</v>
      </c>
      <c r="C143" s="606">
        <v>55</v>
      </c>
      <c r="D143" s="606">
        <v>33</v>
      </c>
      <c r="E143" s="607">
        <f t="shared" si="16"/>
        <v>-22</v>
      </c>
    </row>
    <row r="144" spans="1:5" s="421" customFormat="1" x14ac:dyDescent="0.2">
      <c r="A144" s="588"/>
      <c r="B144" s="592" t="s">
        <v>808</v>
      </c>
      <c r="C144" s="608">
        <f>SUM(C138+C139+C142)</f>
        <v>2205</v>
      </c>
      <c r="D144" s="608">
        <f>SUM(D138+D139+D142)</f>
        <v>2269</v>
      </c>
      <c r="E144" s="609">
        <f t="shared" si="16"/>
        <v>64</v>
      </c>
    </row>
    <row r="145" spans="1:5" s="421" customFormat="1" x14ac:dyDescent="0.2">
      <c r="A145" s="588"/>
      <c r="B145" s="592" t="s">
        <v>138</v>
      </c>
      <c r="C145" s="608">
        <f>SUM(C137+C144)</f>
        <v>3121</v>
      </c>
      <c r="D145" s="608">
        <f>SUM(D137+D144)</f>
        <v>3201</v>
      </c>
      <c r="E145" s="609">
        <f t="shared" si="16"/>
        <v>80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3068</v>
      </c>
      <c r="D149" s="610">
        <v>2745</v>
      </c>
      <c r="E149" s="607">
        <f t="shared" ref="E149:E157" si="17">D149-C149</f>
        <v>-323</v>
      </c>
    </row>
    <row r="150" spans="1:5" s="421" customFormat="1" x14ac:dyDescent="0.2">
      <c r="A150" s="588">
        <v>2</v>
      </c>
      <c r="B150" s="587" t="s">
        <v>636</v>
      </c>
      <c r="C150" s="610">
        <v>8231</v>
      </c>
      <c r="D150" s="610">
        <v>8091</v>
      </c>
      <c r="E150" s="607">
        <f t="shared" si="17"/>
        <v>-140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1575</v>
      </c>
      <c r="D151" s="610">
        <f>D152+D153</f>
        <v>1274</v>
      </c>
      <c r="E151" s="607">
        <f t="shared" si="17"/>
        <v>-301</v>
      </c>
    </row>
    <row r="152" spans="1:5" s="421" customFormat="1" x14ac:dyDescent="0.2">
      <c r="A152" s="588">
        <v>4</v>
      </c>
      <c r="B152" s="587" t="s">
        <v>115</v>
      </c>
      <c r="C152" s="610">
        <v>1559</v>
      </c>
      <c r="D152" s="610">
        <v>1252</v>
      </c>
      <c r="E152" s="607">
        <f t="shared" si="17"/>
        <v>-307</v>
      </c>
    </row>
    <row r="153" spans="1:5" s="421" customFormat="1" x14ac:dyDescent="0.2">
      <c r="A153" s="588">
        <v>5</v>
      </c>
      <c r="B153" s="587" t="s">
        <v>744</v>
      </c>
      <c r="C153" s="611">
        <v>16</v>
      </c>
      <c r="D153" s="610">
        <v>22</v>
      </c>
      <c r="E153" s="607">
        <f t="shared" si="17"/>
        <v>6</v>
      </c>
    </row>
    <row r="154" spans="1:5" s="421" customFormat="1" x14ac:dyDescent="0.2">
      <c r="A154" s="588">
        <v>6</v>
      </c>
      <c r="B154" s="587" t="s">
        <v>424</v>
      </c>
      <c r="C154" s="610">
        <v>6</v>
      </c>
      <c r="D154" s="610">
        <v>0</v>
      </c>
      <c r="E154" s="607">
        <f t="shared" si="17"/>
        <v>-6</v>
      </c>
    </row>
    <row r="155" spans="1:5" s="421" customFormat="1" x14ac:dyDescent="0.2">
      <c r="A155" s="588">
        <v>7</v>
      </c>
      <c r="B155" s="587" t="s">
        <v>759</v>
      </c>
      <c r="C155" s="610">
        <v>244</v>
      </c>
      <c r="D155" s="610">
        <v>101</v>
      </c>
      <c r="E155" s="607">
        <f t="shared" si="17"/>
        <v>-143</v>
      </c>
    </row>
    <row r="156" spans="1:5" s="421" customFormat="1" x14ac:dyDescent="0.2">
      <c r="A156" s="588"/>
      <c r="B156" s="592" t="s">
        <v>809</v>
      </c>
      <c r="C156" s="608">
        <f>SUM(C150+C151+C154)</f>
        <v>9812</v>
      </c>
      <c r="D156" s="608">
        <f>SUM(D150+D151+D154)</f>
        <v>9365</v>
      </c>
      <c r="E156" s="609">
        <f t="shared" si="17"/>
        <v>-447</v>
      </c>
    </row>
    <row r="157" spans="1:5" s="421" customFormat="1" x14ac:dyDescent="0.2">
      <c r="A157" s="588"/>
      <c r="B157" s="592" t="s">
        <v>140</v>
      </c>
      <c r="C157" s="608">
        <f>SUM(C149+C156)</f>
        <v>12880</v>
      </c>
      <c r="D157" s="608">
        <f>SUM(D149+D156)</f>
        <v>12110</v>
      </c>
      <c r="E157" s="609">
        <f t="shared" si="17"/>
        <v>-770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3.3493449781659388</v>
      </c>
      <c r="D161" s="612">
        <f t="shared" si="18"/>
        <v>2.9452789699570814</v>
      </c>
      <c r="E161" s="613">
        <f t="shared" ref="E161:E169" si="19">D161-C161</f>
        <v>-0.40406600820885741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4.4086770219603642</v>
      </c>
      <c r="D162" s="612">
        <f t="shared" si="18"/>
        <v>4.1684698608964448</v>
      </c>
      <c r="E162" s="613">
        <f t="shared" si="19"/>
        <v>-0.24020716106391937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4.7014925373134329</v>
      </c>
      <c r="D163" s="612">
        <f t="shared" si="18"/>
        <v>3.8841463414634148</v>
      </c>
      <c r="E163" s="613">
        <f t="shared" si="19"/>
        <v>-0.81734619585001811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4.681681681681682</v>
      </c>
      <c r="D164" s="612">
        <f t="shared" si="18"/>
        <v>3.8761609907120742</v>
      </c>
      <c r="E164" s="613">
        <f t="shared" si="19"/>
        <v>-0.80552069096960777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8</v>
      </c>
      <c r="D165" s="612">
        <f t="shared" si="18"/>
        <v>4.4000000000000004</v>
      </c>
      <c r="E165" s="613">
        <f t="shared" si="19"/>
        <v>-3.5999999999999996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</v>
      </c>
      <c r="D166" s="612">
        <f t="shared" si="18"/>
        <v>0</v>
      </c>
      <c r="E166" s="613">
        <f t="shared" si="19"/>
        <v>-2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4.4363636363636365</v>
      </c>
      <c r="D167" s="612">
        <f t="shared" si="18"/>
        <v>3.0606060606060606</v>
      </c>
      <c r="E167" s="613">
        <f t="shared" si="19"/>
        <v>-1.375757575757576</v>
      </c>
    </row>
    <row r="168" spans="1:5" s="421" customFormat="1" x14ac:dyDescent="0.2">
      <c r="A168" s="588"/>
      <c r="B168" s="592" t="s">
        <v>811</v>
      </c>
      <c r="C168" s="614">
        <f t="shared" si="18"/>
        <v>4.4498866213151924</v>
      </c>
      <c r="D168" s="614">
        <f t="shared" si="18"/>
        <v>4.1273688849713528</v>
      </c>
      <c r="E168" s="615">
        <f t="shared" si="19"/>
        <v>-0.32251773634383962</v>
      </c>
    </row>
    <row r="169" spans="1:5" s="421" customFormat="1" x14ac:dyDescent="0.2">
      <c r="A169" s="588"/>
      <c r="B169" s="592" t="s">
        <v>745</v>
      </c>
      <c r="C169" s="614">
        <f t="shared" si="18"/>
        <v>4.1268824094841401</v>
      </c>
      <c r="D169" s="614">
        <f t="shared" si="18"/>
        <v>3.7831927522649171</v>
      </c>
      <c r="E169" s="615">
        <f t="shared" si="19"/>
        <v>-0.34368965721922295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1.397</v>
      </c>
      <c r="D173" s="617">
        <f t="shared" si="20"/>
        <v>1.4137</v>
      </c>
      <c r="E173" s="618">
        <f t="shared" ref="E173:E181" si="21">D173-C173</f>
        <v>1.6699999999999937E-2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1.4706999999999999</v>
      </c>
      <c r="D174" s="617">
        <f t="shared" si="20"/>
        <v>1.4253</v>
      </c>
      <c r="E174" s="618">
        <f t="shared" si="21"/>
        <v>-4.5399999999999885E-2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1.1094501492537314</v>
      </c>
      <c r="D175" s="617">
        <f t="shared" si="20"/>
        <v>0.99157481707317086</v>
      </c>
      <c r="E175" s="618">
        <f t="shared" si="21"/>
        <v>-0.11787533218056057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1.111</v>
      </c>
      <c r="D176" s="617">
        <f t="shared" si="20"/>
        <v>0.99048000000000003</v>
      </c>
      <c r="E176" s="618">
        <f t="shared" si="21"/>
        <v>-0.12051999999999996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0.85140000000000005</v>
      </c>
      <c r="D177" s="617">
        <f t="shared" si="20"/>
        <v>1.0623</v>
      </c>
      <c r="E177" s="618">
        <f t="shared" si="21"/>
        <v>0.21089999999999998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1.6773999999999998</v>
      </c>
      <c r="D178" s="617">
        <f t="shared" si="20"/>
        <v>0</v>
      </c>
      <c r="E178" s="618">
        <f t="shared" si="21"/>
        <v>-1.6773999999999998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1.2742</v>
      </c>
      <c r="D179" s="617">
        <f t="shared" si="20"/>
        <v>1.101</v>
      </c>
      <c r="E179" s="618">
        <f t="shared" si="21"/>
        <v>-0.17320000000000002</v>
      </c>
    </row>
    <row r="180" spans="1:5" s="421" customFormat="1" x14ac:dyDescent="0.2">
      <c r="A180" s="588"/>
      <c r="B180" s="592" t="s">
        <v>813</v>
      </c>
      <c r="C180" s="619">
        <f t="shared" si="20"/>
        <v>1.4160974603174603</v>
      </c>
      <c r="D180" s="619">
        <f t="shared" si="20"/>
        <v>1.3626019568091672</v>
      </c>
      <c r="E180" s="620">
        <f t="shared" si="21"/>
        <v>-5.349550350829313E-2</v>
      </c>
    </row>
    <row r="181" spans="1:5" s="421" customFormat="1" x14ac:dyDescent="0.2">
      <c r="A181" s="588"/>
      <c r="B181" s="592" t="s">
        <v>724</v>
      </c>
      <c r="C181" s="619">
        <f t="shared" si="20"/>
        <v>1.4104924383210509</v>
      </c>
      <c r="D181" s="619">
        <f t="shared" si="20"/>
        <v>1.377479612621056</v>
      </c>
      <c r="E181" s="620">
        <f t="shared" si="21"/>
        <v>-3.3012825699994863E-2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66221864</v>
      </c>
      <c r="D185" s="589">
        <v>64692160</v>
      </c>
      <c r="E185" s="590">
        <f>D185-C185</f>
        <v>-1529704</v>
      </c>
    </row>
    <row r="186" spans="1:5" s="421" customFormat="1" ht="25.5" x14ac:dyDescent="0.2">
      <c r="A186" s="588">
        <v>2</v>
      </c>
      <c r="B186" s="587" t="s">
        <v>816</v>
      </c>
      <c r="C186" s="589">
        <v>33792844</v>
      </c>
      <c r="D186" s="589">
        <v>32162323</v>
      </c>
      <c r="E186" s="590">
        <f>D186-C186</f>
        <v>-1630521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32429020</v>
      </c>
      <c r="D188" s="622">
        <f>+D185-D186</f>
        <v>32529837</v>
      </c>
      <c r="E188" s="590">
        <f t="shared" ref="E188:E197" si="22">D188-C188</f>
        <v>100817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0.48970261543830901</v>
      </c>
      <c r="D189" s="623">
        <f>IF(D185=0,0,+D188/D185)</f>
        <v>0.50284048329813069</v>
      </c>
      <c r="E189" s="599">
        <f t="shared" si="22"/>
        <v>1.3137867859821684E-2</v>
      </c>
    </row>
    <row r="190" spans="1:5" s="421" customFormat="1" x14ac:dyDescent="0.2">
      <c r="A190" s="588">
        <v>5</v>
      </c>
      <c r="B190" s="587" t="s">
        <v>763</v>
      </c>
      <c r="C190" s="589">
        <v>2162080</v>
      </c>
      <c r="D190" s="589">
        <v>1864058</v>
      </c>
      <c r="E190" s="622">
        <f t="shared" si="22"/>
        <v>-298022</v>
      </c>
    </row>
    <row r="191" spans="1:5" s="421" customFormat="1" x14ac:dyDescent="0.2">
      <c r="A191" s="588">
        <v>6</v>
      </c>
      <c r="B191" s="587" t="s">
        <v>749</v>
      </c>
      <c r="C191" s="589">
        <v>2162080</v>
      </c>
      <c r="D191" s="589">
        <v>1864058</v>
      </c>
      <c r="E191" s="622">
        <f t="shared" si="22"/>
        <v>-298022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579795</v>
      </c>
      <c r="D193" s="589">
        <v>245354</v>
      </c>
      <c r="E193" s="622">
        <f t="shared" si="22"/>
        <v>-334441</v>
      </c>
    </row>
    <row r="194" spans="1:5" s="421" customFormat="1" x14ac:dyDescent="0.2">
      <c r="A194" s="588">
        <v>9</v>
      </c>
      <c r="B194" s="587" t="s">
        <v>819</v>
      </c>
      <c r="C194" s="589">
        <v>5608309</v>
      </c>
      <c r="D194" s="589">
        <v>3556700</v>
      </c>
      <c r="E194" s="622">
        <f t="shared" si="22"/>
        <v>-2051609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6188104</v>
      </c>
      <c r="D195" s="589">
        <f>+D193+D194</f>
        <v>3802054</v>
      </c>
      <c r="E195" s="625">
        <f t="shared" si="22"/>
        <v>-2386050</v>
      </c>
    </row>
    <row r="196" spans="1:5" s="421" customFormat="1" x14ac:dyDescent="0.2">
      <c r="A196" s="588">
        <v>11</v>
      </c>
      <c r="B196" s="587" t="s">
        <v>821</v>
      </c>
      <c r="C196" s="589">
        <v>1352459</v>
      </c>
      <c r="D196" s="589">
        <v>669361</v>
      </c>
      <c r="E196" s="622">
        <f t="shared" si="22"/>
        <v>-683098</v>
      </c>
    </row>
    <row r="197" spans="1:5" s="421" customFormat="1" x14ac:dyDescent="0.2">
      <c r="A197" s="588">
        <v>12</v>
      </c>
      <c r="B197" s="587" t="s">
        <v>711</v>
      </c>
      <c r="C197" s="589">
        <v>72076598</v>
      </c>
      <c r="D197" s="589">
        <v>68666088</v>
      </c>
      <c r="E197" s="622">
        <f t="shared" si="22"/>
        <v>-3410510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1279.652</v>
      </c>
      <c r="D203" s="629">
        <v>1317.5683999999999</v>
      </c>
      <c r="E203" s="630">
        <f t="shared" ref="E203:E211" si="23">D203-C203</f>
        <v>37.91639999999984</v>
      </c>
    </row>
    <row r="204" spans="1:5" s="421" customFormat="1" x14ac:dyDescent="0.2">
      <c r="A204" s="588">
        <v>2</v>
      </c>
      <c r="B204" s="587" t="s">
        <v>636</v>
      </c>
      <c r="C204" s="629">
        <v>2745.7968999999998</v>
      </c>
      <c r="D204" s="629">
        <v>2766.5073000000002</v>
      </c>
      <c r="E204" s="630">
        <f t="shared" si="23"/>
        <v>20.710400000000391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371.66580000000005</v>
      </c>
      <c r="D205" s="629">
        <f>D206+D207</f>
        <v>325.23654000000005</v>
      </c>
      <c r="E205" s="630">
        <f t="shared" si="23"/>
        <v>-46.429259999999999</v>
      </c>
    </row>
    <row r="206" spans="1:5" s="421" customFormat="1" x14ac:dyDescent="0.2">
      <c r="A206" s="588">
        <v>4</v>
      </c>
      <c r="B206" s="587" t="s">
        <v>115</v>
      </c>
      <c r="C206" s="629">
        <v>369.96300000000002</v>
      </c>
      <c r="D206" s="629">
        <v>319.92504000000002</v>
      </c>
      <c r="E206" s="630">
        <f t="shared" si="23"/>
        <v>-50.037959999999998</v>
      </c>
    </row>
    <row r="207" spans="1:5" s="421" customFormat="1" x14ac:dyDescent="0.2">
      <c r="A207" s="588">
        <v>5</v>
      </c>
      <c r="B207" s="587" t="s">
        <v>744</v>
      </c>
      <c r="C207" s="629">
        <v>1.7028000000000001</v>
      </c>
      <c r="D207" s="629">
        <v>5.3115000000000006</v>
      </c>
      <c r="E207" s="630">
        <f t="shared" si="23"/>
        <v>3.6087000000000007</v>
      </c>
    </row>
    <row r="208" spans="1:5" s="421" customFormat="1" x14ac:dyDescent="0.2">
      <c r="A208" s="588">
        <v>6</v>
      </c>
      <c r="B208" s="587" t="s">
        <v>424</v>
      </c>
      <c r="C208" s="629">
        <v>5.0321999999999996</v>
      </c>
      <c r="D208" s="629">
        <v>0</v>
      </c>
      <c r="E208" s="630">
        <f t="shared" si="23"/>
        <v>-5.0321999999999996</v>
      </c>
    </row>
    <row r="209" spans="1:5" s="421" customFormat="1" x14ac:dyDescent="0.2">
      <c r="A209" s="588">
        <v>7</v>
      </c>
      <c r="B209" s="587" t="s">
        <v>759</v>
      </c>
      <c r="C209" s="629">
        <v>70.081000000000003</v>
      </c>
      <c r="D209" s="629">
        <v>36.332999999999998</v>
      </c>
      <c r="E209" s="630">
        <f t="shared" si="23"/>
        <v>-33.748000000000005</v>
      </c>
    </row>
    <row r="210" spans="1:5" s="421" customFormat="1" x14ac:dyDescent="0.2">
      <c r="A210" s="588"/>
      <c r="B210" s="592" t="s">
        <v>824</v>
      </c>
      <c r="C210" s="631">
        <f>C204+C205+C208</f>
        <v>3122.4949000000001</v>
      </c>
      <c r="D210" s="631">
        <f>D204+D205+D208</f>
        <v>3091.7438400000001</v>
      </c>
      <c r="E210" s="632">
        <f t="shared" si="23"/>
        <v>-30.751060000000052</v>
      </c>
    </row>
    <row r="211" spans="1:5" s="421" customFormat="1" x14ac:dyDescent="0.2">
      <c r="A211" s="588"/>
      <c r="B211" s="592" t="s">
        <v>725</v>
      </c>
      <c r="C211" s="631">
        <f>C210+C203</f>
        <v>4402.1468999999997</v>
      </c>
      <c r="D211" s="631">
        <f>D210+D203</f>
        <v>4409.3122400000002</v>
      </c>
      <c r="E211" s="632">
        <f t="shared" si="23"/>
        <v>7.1653400000004694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1561.0198699553143</v>
      </c>
      <c r="D215" s="633">
        <f>IF(D14*D137=0,0,D25/D14*D137)</f>
        <v>1314.3237616139622</v>
      </c>
      <c r="E215" s="633">
        <f t="shared" ref="E215:E223" si="24">D215-C215</f>
        <v>-246.6961083413521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1019.9060072598878</v>
      </c>
      <c r="D216" s="633">
        <f>IF(D15*D138=0,0,D26/D15*D138)</f>
        <v>994.6566221276554</v>
      </c>
      <c r="E216" s="633">
        <f t="shared" si="24"/>
        <v>-25.249385132232419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670.38038944788286</v>
      </c>
      <c r="D217" s="633">
        <f>D218+D219</f>
        <v>758.34270461024425</v>
      </c>
      <c r="E217" s="633">
        <f t="shared" si="24"/>
        <v>87.962315162361392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665.33789178291943</v>
      </c>
      <c r="D218" s="633">
        <f t="shared" si="25"/>
        <v>751.93469567942213</v>
      </c>
      <c r="E218" s="633">
        <f t="shared" si="24"/>
        <v>86.596803896502706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5.0424976649634639</v>
      </c>
      <c r="D219" s="633">
        <f t="shared" si="25"/>
        <v>6.40800893082214</v>
      </c>
      <c r="E219" s="633">
        <f t="shared" si="24"/>
        <v>1.3655112658586761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4.5355431176056573</v>
      </c>
      <c r="D220" s="633">
        <f t="shared" si="25"/>
        <v>0</v>
      </c>
      <c r="E220" s="633">
        <f t="shared" si="24"/>
        <v>-4.5355431176056573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105.67087458913539</v>
      </c>
      <c r="D221" s="633">
        <f t="shared" si="25"/>
        <v>169.73909522446604</v>
      </c>
      <c r="E221" s="633">
        <f t="shared" si="24"/>
        <v>64.068220635330647</v>
      </c>
    </row>
    <row r="222" spans="1:5" s="421" customFormat="1" x14ac:dyDescent="0.2">
      <c r="A222" s="588"/>
      <c r="B222" s="592" t="s">
        <v>826</v>
      </c>
      <c r="C222" s="634">
        <f>C216+C218+C219+C220</f>
        <v>1694.8219398253764</v>
      </c>
      <c r="D222" s="634">
        <f>D216+D218+D219+D220</f>
        <v>1752.9993267378998</v>
      </c>
      <c r="E222" s="634">
        <f t="shared" si="24"/>
        <v>58.177386912523389</v>
      </c>
    </row>
    <row r="223" spans="1:5" s="421" customFormat="1" x14ac:dyDescent="0.2">
      <c r="A223" s="588"/>
      <c r="B223" s="592" t="s">
        <v>827</v>
      </c>
      <c r="C223" s="634">
        <f>C215+C222</f>
        <v>3255.8418097806907</v>
      </c>
      <c r="D223" s="634">
        <f>D215+D222</f>
        <v>3067.3230883518618</v>
      </c>
      <c r="E223" s="634">
        <f t="shared" si="24"/>
        <v>-188.51872142882894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8320.0198178879873</v>
      </c>
      <c r="D227" s="636">
        <f t="shared" si="26"/>
        <v>8763.3765351385173</v>
      </c>
      <c r="E227" s="636">
        <f t="shared" ref="E227:E235" si="27">D227-C227</f>
        <v>443.35671725052998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7324.8713333458863</v>
      </c>
      <c r="D228" s="636">
        <f t="shared" si="26"/>
        <v>6883.2737220682548</v>
      </c>
      <c r="E228" s="636">
        <f t="shared" si="27"/>
        <v>-441.59761127763159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4539.9253845793719</v>
      </c>
      <c r="D229" s="636">
        <f t="shared" si="26"/>
        <v>4388.725817830923</v>
      </c>
      <c r="E229" s="636">
        <f t="shared" si="27"/>
        <v>-151.19956674844889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4510.5726788895099</v>
      </c>
      <c r="D230" s="636">
        <f t="shared" si="26"/>
        <v>4348.3904854712209</v>
      </c>
      <c r="E230" s="636">
        <f t="shared" si="27"/>
        <v>-162.18219341828899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10917.312661498707</v>
      </c>
      <c r="D231" s="636">
        <f t="shared" si="26"/>
        <v>6818.2246069848434</v>
      </c>
      <c r="E231" s="636">
        <f t="shared" si="27"/>
        <v>-4099.0880545138634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6580.4220817932519</v>
      </c>
      <c r="D232" s="636">
        <f t="shared" si="26"/>
        <v>0</v>
      </c>
      <c r="E232" s="636">
        <f t="shared" si="27"/>
        <v>-6580.4220817932519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809.63456571681331</v>
      </c>
      <c r="D233" s="636">
        <f t="shared" si="26"/>
        <v>2086.7530894778852</v>
      </c>
      <c r="E233" s="636">
        <f t="shared" si="27"/>
        <v>1277.1185237610719</v>
      </c>
    </row>
    <row r="234" spans="1:5" x14ac:dyDescent="0.2">
      <c r="A234" s="588"/>
      <c r="B234" s="592" t="s">
        <v>829</v>
      </c>
      <c r="C234" s="637">
        <f t="shared" si="26"/>
        <v>6992.1837182184026</v>
      </c>
      <c r="D234" s="637">
        <f t="shared" si="26"/>
        <v>6620.8593141403326</v>
      </c>
      <c r="E234" s="637">
        <f t="shared" si="27"/>
        <v>-371.32440407807007</v>
      </c>
    </row>
    <row r="235" spans="1:5" s="421" customFormat="1" x14ac:dyDescent="0.2">
      <c r="A235" s="588"/>
      <c r="B235" s="592" t="s">
        <v>830</v>
      </c>
      <c r="C235" s="637">
        <f t="shared" si="26"/>
        <v>7378.1699561184569</v>
      </c>
      <c r="D235" s="637">
        <f t="shared" si="26"/>
        <v>7261.0754823750012</v>
      </c>
      <c r="E235" s="637">
        <f t="shared" si="27"/>
        <v>-117.09447374345564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12298.07984478093</v>
      </c>
      <c r="D239" s="636">
        <f t="shared" si="28"/>
        <v>13147.228639297269</v>
      </c>
      <c r="E239" s="638">
        <f t="shared" ref="E239:E247" si="29">D239-C239</f>
        <v>849.14879451633897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8284.4545868499536</v>
      </c>
      <c r="D240" s="636">
        <f t="shared" si="28"/>
        <v>7819.6845292824837</v>
      </c>
      <c r="E240" s="638">
        <f t="shared" si="29"/>
        <v>-464.77005756746985</v>
      </c>
    </row>
    <row r="241" spans="1:5" x14ac:dyDescent="0.2">
      <c r="A241" s="588">
        <v>3</v>
      </c>
      <c r="B241" s="587" t="s">
        <v>778</v>
      </c>
      <c r="C241" s="636">
        <f t="shared" si="28"/>
        <v>7109.3293822708365</v>
      </c>
      <c r="D241" s="636">
        <f t="shared" si="28"/>
        <v>6668.1989148942484</v>
      </c>
      <c r="E241" s="638">
        <f t="shared" si="29"/>
        <v>-441.13046737658806</v>
      </c>
    </row>
    <row r="242" spans="1:5" x14ac:dyDescent="0.2">
      <c r="A242" s="588">
        <v>4</v>
      </c>
      <c r="B242" s="587" t="s">
        <v>115</v>
      </c>
      <c r="C242" s="636">
        <f t="shared" si="28"/>
        <v>7111.0650068667273</v>
      </c>
      <c r="D242" s="636">
        <f t="shared" si="28"/>
        <v>6676.0797564529503</v>
      </c>
      <c r="E242" s="638">
        <f t="shared" si="29"/>
        <v>-434.98525041377707</v>
      </c>
    </row>
    <row r="243" spans="1:5" x14ac:dyDescent="0.2">
      <c r="A243" s="588">
        <v>5</v>
      </c>
      <c r="B243" s="587" t="s">
        <v>744</v>
      </c>
      <c r="C243" s="636">
        <f t="shared" si="28"/>
        <v>6880.3204890034158</v>
      </c>
      <c r="D243" s="636">
        <f t="shared" si="28"/>
        <v>5743.4376882614752</v>
      </c>
      <c r="E243" s="638">
        <f t="shared" si="29"/>
        <v>-1136.8828007419406</v>
      </c>
    </row>
    <row r="244" spans="1:5" x14ac:dyDescent="0.2">
      <c r="A244" s="588">
        <v>6</v>
      </c>
      <c r="B244" s="587" t="s">
        <v>424</v>
      </c>
      <c r="C244" s="636">
        <f t="shared" si="28"/>
        <v>11263.039216120951</v>
      </c>
      <c r="D244" s="636">
        <f t="shared" si="28"/>
        <v>0</v>
      </c>
      <c r="E244" s="638">
        <f t="shared" si="29"/>
        <v>-11263.039216120951</v>
      </c>
    </row>
    <row r="245" spans="1:5" x14ac:dyDescent="0.2">
      <c r="A245" s="588">
        <v>7</v>
      </c>
      <c r="B245" s="587" t="s">
        <v>759</v>
      </c>
      <c r="C245" s="636">
        <f t="shared" si="28"/>
        <v>1269.952581747606</v>
      </c>
      <c r="D245" s="636">
        <f t="shared" si="28"/>
        <v>2297.5084171639269</v>
      </c>
      <c r="E245" s="638">
        <f t="shared" si="29"/>
        <v>1027.5558354163209</v>
      </c>
    </row>
    <row r="246" spans="1:5" ht="25.5" x14ac:dyDescent="0.2">
      <c r="A246" s="588"/>
      <c r="B246" s="592" t="s">
        <v>832</v>
      </c>
      <c r="C246" s="637">
        <f t="shared" si="28"/>
        <v>7827.6093129682313</v>
      </c>
      <c r="D246" s="637">
        <f t="shared" si="28"/>
        <v>7343.3456611502124</v>
      </c>
      <c r="E246" s="639">
        <f t="shared" si="29"/>
        <v>-484.26365181801884</v>
      </c>
    </row>
    <row r="247" spans="1:5" x14ac:dyDescent="0.2">
      <c r="A247" s="588"/>
      <c r="B247" s="592" t="s">
        <v>833</v>
      </c>
      <c r="C247" s="637">
        <f t="shared" si="28"/>
        <v>9970.9853539188771</v>
      </c>
      <c r="D247" s="637">
        <f t="shared" si="28"/>
        <v>9830.2637614225478</v>
      </c>
      <c r="E247" s="639">
        <f t="shared" si="29"/>
        <v>-140.72159249632932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780700.54938608501</v>
      </c>
      <c r="D251" s="622">
        <f>((IF((IF(D15=0,0,D26/D15)*D138)=0,0,D59/(IF(D15=0,0,D26/D15)*D138)))-(IF((IF(D17=0,0,D28/D17)*D140)=0,0,D61/(IF(D17=0,0,D28/D17)*D140))))*(IF(D17=0,0,D28/D17)*D140)</f>
        <v>859916.10683510988</v>
      </c>
      <c r="E251" s="622">
        <f>D251-C251</f>
        <v>79215.557449024869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963.13381610812394</v>
      </c>
      <c r="D252" s="622">
        <f>IF(D231=0,0,(D228-D231)*D207)+IF(D243=0,0,(D240-D243)*D219)</f>
        <v>13650.116674619418</v>
      </c>
      <c r="E252" s="622">
        <f>D252-C252</f>
        <v>12686.982858511294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1197822.869598622</v>
      </c>
      <c r="D253" s="622">
        <f>IF(D233=0,0,(D228-D233)*D209+IF(D221=0,0,(D240-D245)*D221))</f>
        <v>1111601.1610850694</v>
      </c>
      <c r="E253" s="622">
        <f>D253-C253</f>
        <v>-86221.708513552556</v>
      </c>
    </row>
    <row r="254" spans="1:5" ht="15" customHeight="1" x14ac:dyDescent="0.2">
      <c r="A254" s="588"/>
      <c r="B254" s="592" t="s">
        <v>760</v>
      </c>
      <c r="C254" s="640">
        <f>+C251+C252+C253</f>
        <v>1979486.5528008151</v>
      </c>
      <c r="D254" s="640">
        <f>+D251+D252+D253</f>
        <v>1985167.3845947986</v>
      </c>
      <c r="E254" s="640">
        <f>D254-C254</f>
        <v>5680.8317939834669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197304279</v>
      </c>
      <c r="D258" s="625">
        <f>+D44</f>
        <v>201245838</v>
      </c>
      <c r="E258" s="622">
        <f t="shared" ref="E258:E271" si="30">D258-C258</f>
        <v>3941559</v>
      </c>
    </row>
    <row r="259" spans="1:5" x14ac:dyDescent="0.2">
      <c r="A259" s="588">
        <v>2</v>
      </c>
      <c r="B259" s="587" t="s">
        <v>743</v>
      </c>
      <c r="C259" s="622">
        <f>+(C43-C76)</f>
        <v>89220638</v>
      </c>
      <c r="D259" s="625">
        <f>+(D43-D76)</f>
        <v>96688796</v>
      </c>
      <c r="E259" s="622">
        <f t="shared" si="30"/>
        <v>7468158</v>
      </c>
    </row>
    <row r="260" spans="1:5" x14ac:dyDescent="0.2">
      <c r="A260" s="588">
        <v>3</v>
      </c>
      <c r="B260" s="587" t="s">
        <v>747</v>
      </c>
      <c r="C260" s="622">
        <f>C195</f>
        <v>6188104</v>
      </c>
      <c r="D260" s="622">
        <f>D195</f>
        <v>3802054</v>
      </c>
      <c r="E260" s="622">
        <f t="shared" si="30"/>
        <v>-2386050</v>
      </c>
    </row>
    <row r="261" spans="1:5" x14ac:dyDescent="0.2">
      <c r="A261" s="588">
        <v>4</v>
      </c>
      <c r="B261" s="587" t="s">
        <v>748</v>
      </c>
      <c r="C261" s="622">
        <f>C188</f>
        <v>32429020</v>
      </c>
      <c r="D261" s="622">
        <f>D188</f>
        <v>32529837</v>
      </c>
      <c r="E261" s="622">
        <f t="shared" si="30"/>
        <v>100817</v>
      </c>
    </row>
    <row r="262" spans="1:5" x14ac:dyDescent="0.2">
      <c r="A262" s="588">
        <v>5</v>
      </c>
      <c r="B262" s="587" t="s">
        <v>749</v>
      </c>
      <c r="C262" s="622">
        <f>C191</f>
        <v>2162080</v>
      </c>
      <c r="D262" s="622">
        <f>D191</f>
        <v>1864058</v>
      </c>
      <c r="E262" s="622">
        <f t="shared" si="30"/>
        <v>-298022</v>
      </c>
    </row>
    <row r="263" spans="1:5" x14ac:dyDescent="0.2">
      <c r="A263" s="588">
        <v>6</v>
      </c>
      <c r="B263" s="587" t="s">
        <v>750</v>
      </c>
      <c r="C263" s="622">
        <f>+C259+C260+C261+C262</f>
        <v>129999842</v>
      </c>
      <c r="D263" s="622">
        <f>+D259+D260+D261+D262</f>
        <v>134884745</v>
      </c>
      <c r="E263" s="622">
        <f t="shared" si="30"/>
        <v>4884903</v>
      </c>
    </row>
    <row r="264" spans="1:5" x14ac:dyDescent="0.2">
      <c r="A264" s="588">
        <v>7</v>
      </c>
      <c r="B264" s="587" t="s">
        <v>655</v>
      </c>
      <c r="C264" s="622">
        <f>+C258-C263</f>
        <v>67304437</v>
      </c>
      <c r="D264" s="622">
        <f>+D258-D263</f>
        <v>66361093</v>
      </c>
      <c r="E264" s="622">
        <f t="shared" si="30"/>
        <v>-943344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67304437</v>
      </c>
      <c r="D266" s="622">
        <f>+D264+D265</f>
        <v>66361093</v>
      </c>
      <c r="E266" s="641">
        <f t="shared" si="30"/>
        <v>-943344</v>
      </c>
    </row>
    <row r="267" spans="1:5" x14ac:dyDescent="0.2">
      <c r="A267" s="588">
        <v>10</v>
      </c>
      <c r="B267" s="587" t="s">
        <v>838</v>
      </c>
      <c r="C267" s="642">
        <f>IF(C258=0,0,C266/C258)</f>
        <v>0.34112000682965421</v>
      </c>
      <c r="D267" s="642">
        <f>IF(D258=0,0,D266/D258)</f>
        <v>0.32975138099501966</v>
      </c>
      <c r="E267" s="643">
        <f t="shared" si="30"/>
        <v>-1.1368625834634549E-2</v>
      </c>
    </row>
    <row r="268" spans="1:5" x14ac:dyDescent="0.2">
      <c r="A268" s="588">
        <v>11</v>
      </c>
      <c r="B268" s="587" t="s">
        <v>717</v>
      </c>
      <c r="C268" s="622">
        <f>+C260*C267</f>
        <v>2110886.0787426108</v>
      </c>
      <c r="D268" s="644">
        <f>+D260*D267</f>
        <v>1253732.5571176384</v>
      </c>
      <c r="E268" s="622">
        <f t="shared" si="30"/>
        <v>-857153.52162497235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2317871.4274497516</v>
      </c>
      <c r="D269" s="644">
        <f>((D17+D18+D28+D29)*D267)-(D50+D51+D61+D62)</f>
        <v>2358099.9335085433</v>
      </c>
      <c r="E269" s="622">
        <f t="shared" si="30"/>
        <v>40228.506058791652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4428757.5061923619</v>
      </c>
      <c r="D271" s="622">
        <f>+D268+D269+D270</f>
        <v>3611832.4906261815</v>
      </c>
      <c r="E271" s="625">
        <f t="shared" si="30"/>
        <v>-816925.01556618046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0.39447685788231951</v>
      </c>
      <c r="D276" s="623">
        <f t="shared" si="31"/>
        <v>0.39078215130428495</v>
      </c>
      <c r="E276" s="650">
        <f t="shared" ref="E276:E284" si="32">D276-C276</f>
        <v>-3.6947065780345567E-3</v>
      </c>
    </row>
    <row r="277" spans="1:5" x14ac:dyDescent="0.2">
      <c r="A277" s="588">
        <v>2</v>
      </c>
      <c r="B277" s="587" t="s">
        <v>636</v>
      </c>
      <c r="C277" s="623">
        <f t="shared" si="31"/>
        <v>0.31635168773988726</v>
      </c>
      <c r="D277" s="623">
        <f t="shared" si="31"/>
        <v>0.27941123906954335</v>
      </c>
      <c r="E277" s="650">
        <f t="shared" si="32"/>
        <v>-3.6940448670343906E-2</v>
      </c>
    </row>
    <row r="278" spans="1:5" x14ac:dyDescent="0.2">
      <c r="A278" s="588">
        <v>3</v>
      </c>
      <c r="B278" s="587" t="s">
        <v>778</v>
      </c>
      <c r="C278" s="623">
        <f t="shared" si="31"/>
        <v>0.1970283008182466</v>
      </c>
      <c r="D278" s="623">
        <f t="shared" si="31"/>
        <v>0.17619530211366619</v>
      </c>
      <c r="E278" s="650">
        <f t="shared" si="32"/>
        <v>-2.0832998704580413E-2</v>
      </c>
    </row>
    <row r="279" spans="1:5" x14ac:dyDescent="0.2">
      <c r="A279" s="588">
        <v>4</v>
      </c>
      <c r="B279" s="587" t="s">
        <v>115</v>
      </c>
      <c r="C279" s="623">
        <f t="shared" si="31"/>
        <v>0.1965283016912496</v>
      </c>
      <c r="D279" s="623">
        <f t="shared" si="31"/>
        <v>0.17471944156453362</v>
      </c>
      <c r="E279" s="650">
        <f t="shared" si="32"/>
        <v>-2.1808860126715984E-2</v>
      </c>
    </row>
    <row r="280" spans="1:5" x14ac:dyDescent="0.2">
      <c r="A280" s="588">
        <v>5</v>
      </c>
      <c r="B280" s="587" t="s">
        <v>744</v>
      </c>
      <c r="C280" s="623">
        <f t="shared" si="31"/>
        <v>0.25534311301576834</v>
      </c>
      <c r="D280" s="623">
        <f t="shared" si="31"/>
        <v>0.26083042241348264</v>
      </c>
      <c r="E280" s="650">
        <f t="shared" si="32"/>
        <v>5.4873093977143017E-3</v>
      </c>
    </row>
    <row r="281" spans="1:5" x14ac:dyDescent="0.2">
      <c r="A281" s="588">
        <v>6</v>
      </c>
      <c r="B281" s="587" t="s">
        <v>424</v>
      </c>
      <c r="C281" s="623">
        <f t="shared" si="31"/>
        <v>0.27745751918758588</v>
      </c>
      <c r="D281" s="623">
        <f t="shared" si="31"/>
        <v>0</v>
      </c>
      <c r="E281" s="650">
        <f t="shared" si="32"/>
        <v>-0.27745751918758588</v>
      </c>
    </row>
    <row r="282" spans="1:5" x14ac:dyDescent="0.2">
      <c r="A282" s="588">
        <v>7</v>
      </c>
      <c r="B282" s="587" t="s">
        <v>759</v>
      </c>
      <c r="C282" s="623">
        <f t="shared" si="31"/>
        <v>3.6031619428879148E-2</v>
      </c>
      <c r="D282" s="623">
        <f t="shared" si="31"/>
        <v>0.10000039568596779</v>
      </c>
      <c r="E282" s="650">
        <f t="shared" si="32"/>
        <v>6.3968776257088633E-2</v>
      </c>
    </row>
    <row r="283" spans="1:5" ht="29.25" customHeight="1" x14ac:dyDescent="0.2">
      <c r="A283" s="588"/>
      <c r="B283" s="592" t="s">
        <v>845</v>
      </c>
      <c r="C283" s="651">
        <f t="shared" si="31"/>
        <v>0.30214579267287672</v>
      </c>
      <c r="D283" s="651">
        <f t="shared" si="31"/>
        <v>0.26844572868245298</v>
      </c>
      <c r="E283" s="652">
        <f t="shared" si="32"/>
        <v>-3.3700063990423745E-2</v>
      </c>
    </row>
    <row r="284" spans="1:5" x14ac:dyDescent="0.2">
      <c r="A284" s="588"/>
      <c r="B284" s="592" t="s">
        <v>846</v>
      </c>
      <c r="C284" s="651">
        <f t="shared" si="31"/>
        <v>0.3272539140800928</v>
      </c>
      <c r="D284" s="651">
        <f t="shared" si="31"/>
        <v>0.30261044409394422</v>
      </c>
      <c r="E284" s="652">
        <f t="shared" si="32"/>
        <v>-2.4643469986148581E-2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0.41738618636539476</v>
      </c>
      <c r="D287" s="623">
        <f t="shared" si="33"/>
        <v>0.41470589103514194</v>
      </c>
      <c r="E287" s="650">
        <f t="shared" ref="E287:E295" si="34">D287-C287</f>
        <v>-2.6802953302528243E-3</v>
      </c>
    </row>
    <row r="288" spans="1:5" x14ac:dyDescent="0.2">
      <c r="A288" s="588">
        <v>2</v>
      </c>
      <c r="B288" s="587" t="s">
        <v>636</v>
      </c>
      <c r="C288" s="623">
        <f t="shared" si="33"/>
        <v>0.24328200397895305</v>
      </c>
      <c r="D288" s="623">
        <f t="shared" si="33"/>
        <v>0.22270592865445452</v>
      </c>
      <c r="E288" s="650">
        <f t="shared" si="34"/>
        <v>-2.0576075324498538E-2</v>
      </c>
    </row>
    <row r="289" spans="1:5" x14ac:dyDescent="0.2">
      <c r="A289" s="588">
        <v>3</v>
      </c>
      <c r="B289" s="587" t="s">
        <v>778</v>
      </c>
      <c r="C289" s="623">
        <f t="shared" si="33"/>
        <v>0.27791591418929834</v>
      </c>
      <c r="D289" s="623">
        <f t="shared" si="33"/>
        <v>0.27021632834897802</v>
      </c>
      <c r="E289" s="650">
        <f t="shared" si="34"/>
        <v>-7.6995858403203221E-3</v>
      </c>
    </row>
    <row r="290" spans="1:5" x14ac:dyDescent="0.2">
      <c r="A290" s="588">
        <v>4</v>
      </c>
      <c r="B290" s="587" t="s">
        <v>115</v>
      </c>
      <c r="C290" s="623">
        <f t="shared" si="33"/>
        <v>0.27887784003079691</v>
      </c>
      <c r="D290" s="623">
        <f t="shared" si="33"/>
        <v>0.2708248441657225</v>
      </c>
      <c r="E290" s="650">
        <f t="shared" si="34"/>
        <v>-8.0529958650744082E-3</v>
      </c>
    </row>
    <row r="291" spans="1:5" x14ac:dyDescent="0.2">
      <c r="A291" s="588">
        <v>5</v>
      </c>
      <c r="B291" s="587" t="s">
        <v>744</v>
      </c>
      <c r="C291" s="623">
        <f t="shared" si="33"/>
        <v>0.18900940852160364</v>
      </c>
      <c r="D291" s="623">
        <f t="shared" si="33"/>
        <v>0.20682911477768287</v>
      </c>
      <c r="E291" s="650">
        <f t="shared" si="34"/>
        <v>1.7819706256079232E-2</v>
      </c>
    </row>
    <row r="292" spans="1:5" x14ac:dyDescent="0.2">
      <c r="A292" s="588">
        <v>6</v>
      </c>
      <c r="B292" s="587" t="s">
        <v>424</v>
      </c>
      <c r="C292" s="623">
        <f t="shared" si="33"/>
        <v>0.28311423440998468</v>
      </c>
      <c r="D292" s="623">
        <f t="shared" si="33"/>
        <v>0.27374357724859005</v>
      </c>
      <c r="E292" s="650">
        <f t="shared" si="34"/>
        <v>-9.3706571613946243E-3</v>
      </c>
    </row>
    <row r="293" spans="1:5" x14ac:dyDescent="0.2">
      <c r="A293" s="588">
        <v>7</v>
      </c>
      <c r="B293" s="587" t="s">
        <v>759</v>
      </c>
      <c r="C293" s="623">
        <f t="shared" si="33"/>
        <v>4.4355210548182505E-2</v>
      </c>
      <c r="D293" s="623">
        <f t="shared" si="33"/>
        <v>0.10000010257025678</v>
      </c>
      <c r="E293" s="650">
        <f t="shared" si="34"/>
        <v>5.5644892022074274E-2</v>
      </c>
    </row>
    <row r="294" spans="1:5" ht="29.25" customHeight="1" x14ac:dyDescent="0.2">
      <c r="A294" s="588"/>
      <c r="B294" s="592" t="s">
        <v>848</v>
      </c>
      <c r="C294" s="651">
        <f t="shared" si="33"/>
        <v>0.25482867970454909</v>
      </c>
      <c r="D294" s="651">
        <f t="shared" si="33"/>
        <v>0.23937119596286199</v>
      </c>
      <c r="E294" s="652">
        <f t="shared" si="34"/>
        <v>-1.5457483741687095E-2</v>
      </c>
    </row>
    <row r="295" spans="1:5" x14ac:dyDescent="0.2">
      <c r="A295" s="588"/>
      <c r="B295" s="592" t="s">
        <v>849</v>
      </c>
      <c r="C295" s="651">
        <f t="shared" si="33"/>
        <v>0.33107974943433915</v>
      </c>
      <c r="D295" s="651">
        <f t="shared" si="33"/>
        <v>0.31591494042828472</v>
      </c>
      <c r="E295" s="652">
        <f t="shared" si="34"/>
        <v>-1.5164809006054436E-2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64943739</v>
      </c>
      <c r="D301" s="590">
        <f>+D48+D47+D50+D51+D52+D59+D58+D61+D62+D63</f>
        <v>62168944</v>
      </c>
      <c r="E301" s="590">
        <f>D301-C301</f>
        <v>-2774795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64943739</v>
      </c>
      <c r="D303" s="593">
        <f>+D301+D302</f>
        <v>62168944</v>
      </c>
      <c r="E303" s="593">
        <f>D303-C303</f>
        <v>-2774795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-1442946</v>
      </c>
      <c r="D305" s="654">
        <v>-1796306</v>
      </c>
      <c r="E305" s="655">
        <f>D305-C305</f>
        <v>-353360</v>
      </c>
    </row>
    <row r="306" spans="1:5" x14ac:dyDescent="0.2">
      <c r="A306" s="588">
        <v>4</v>
      </c>
      <c r="B306" s="592" t="s">
        <v>856</v>
      </c>
      <c r="C306" s="593">
        <f>+C303+C305+C194+C190-C191</f>
        <v>69109102</v>
      </c>
      <c r="D306" s="593">
        <f>+D303+D305</f>
        <v>60372638</v>
      </c>
      <c r="E306" s="656">
        <f>D306-C306</f>
        <v>-8736464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63500794</v>
      </c>
      <c r="D308" s="589">
        <v>60372640</v>
      </c>
      <c r="E308" s="590">
        <f>D308-C308</f>
        <v>-3128154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5608308</v>
      </c>
      <c r="D310" s="658">
        <f>D306-D308</f>
        <v>-2</v>
      </c>
      <c r="E310" s="656">
        <f>D310-C310</f>
        <v>-5608310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197304279</v>
      </c>
      <c r="D314" s="590">
        <f>+D14+D15+D16+D19+D25+D26+D27+D30</f>
        <v>201245838</v>
      </c>
      <c r="E314" s="590">
        <f>D314-C314</f>
        <v>3941559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197304279</v>
      </c>
      <c r="D316" s="657">
        <f>D314+D315</f>
        <v>201245838</v>
      </c>
      <c r="E316" s="593">
        <f>D316-C316</f>
        <v>3941559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197304279</v>
      </c>
      <c r="D318" s="589">
        <v>201245838</v>
      </c>
      <c r="E318" s="590">
        <f>D318-C318</f>
        <v>3941559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6188104</v>
      </c>
      <c r="D324" s="589">
        <f>+D193+D194</f>
        <v>3802054</v>
      </c>
      <c r="E324" s="590">
        <f>D324-C324</f>
        <v>-2386050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6188104</v>
      </c>
      <c r="D326" s="657">
        <f>D324+D325</f>
        <v>3802054</v>
      </c>
      <c r="E326" s="593">
        <f>D326-C326</f>
        <v>-2386050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6188104</v>
      </c>
      <c r="D328" s="589">
        <v>3802054</v>
      </c>
      <c r="E328" s="590">
        <f>D328-C328</f>
        <v>-2386050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29546764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68152688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8101090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7962245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138845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758177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76253778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105800542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41667397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34924535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18713821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18535877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177944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139543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3899766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53777899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95445296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71214161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130031677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201245838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11546348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19042627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1427374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1391159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36215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75818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20470001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32016349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17279715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7777901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5056780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5019976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36804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38199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389977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12872880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30152595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28826063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33342881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62168944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932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1941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328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323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5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33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2269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3201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1.4137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1.4253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0.99157481707317086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0.99048000000000003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1.0623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1.3626019568091672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1.377479612621056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64692160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32162323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32529837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0.50284048329813069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1864058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1864058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245354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3556700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3802054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669361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68666088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62168944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62168944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-1796306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60372638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60372640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201245838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201245838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201245838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3802054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3802054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3802054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1024</v>
      </c>
      <c r="D12" s="185">
        <v>364</v>
      </c>
      <c r="E12" s="185">
        <f>+D12-C12</f>
        <v>-660</v>
      </c>
      <c r="F12" s="77">
        <f>IF(C12=0,0,+E12/C12)</f>
        <v>-0.64453125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271</v>
      </c>
      <c r="D13" s="185">
        <v>78</v>
      </c>
      <c r="E13" s="185">
        <f>+D13-C13</f>
        <v>-193</v>
      </c>
      <c r="F13" s="77">
        <f>IF(C13=0,0,+E13/C13)</f>
        <v>-0.71217712177121772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579795</v>
      </c>
      <c r="D15" s="76">
        <v>245354</v>
      </c>
      <c r="E15" s="76">
        <f>+D15-C15</f>
        <v>-334441</v>
      </c>
      <c r="F15" s="77">
        <f>IF(C15=0,0,+E15/C15)</f>
        <v>-0.57682629205150093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2139.4649446494464</v>
      </c>
      <c r="D16" s="79">
        <f>IF(D13=0,0,+D15/+D13)</f>
        <v>3145.5641025641025</v>
      </c>
      <c r="E16" s="79">
        <f>+D16-C16</f>
        <v>1006.0991579146562</v>
      </c>
      <c r="F16" s="80">
        <f>IF(C16=0,0,+E16/C16)</f>
        <v>0.47025736992363137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0.40800500000000001</v>
      </c>
      <c r="D18" s="704">
        <v>0.36281999999999998</v>
      </c>
      <c r="E18" s="704">
        <f>+D18-C18</f>
        <v>-4.5185000000000031E-2</v>
      </c>
      <c r="F18" s="77">
        <f>IF(C18=0,0,+E18/C18)</f>
        <v>-0.11074619183588444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236559.258975</v>
      </c>
      <c r="D19" s="79">
        <f>+D15*D18</f>
        <v>89019.338279999996</v>
      </c>
      <c r="E19" s="79">
        <f>+D19-C19</f>
        <v>-147539.92069500001</v>
      </c>
      <c r="F19" s="80">
        <f>IF(C19=0,0,+E19/C19)</f>
        <v>-0.62369116869186791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872.91239474169743</v>
      </c>
      <c r="D20" s="79">
        <f>IF(D13=0,0,+D19/D13)</f>
        <v>1141.2735676923076</v>
      </c>
      <c r="E20" s="79">
        <f>+D20-C20</f>
        <v>268.36117295061013</v>
      </c>
      <c r="F20" s="80">
        <f>IF(C20=0,0,+E20/C20)</f>
        <v>0.30743196518594584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216130</v>
      </c>
      <c r="D22" s="76">
        <v>144239</v>
      </c>
      <c r="E22" s="76">
        <f>+D22-C22</f>
        <v>-71891</v>
      </c>
      <c r="F22" s="77">
        <f>IF(C22=0,0,+E22/C22)</f>
        <v>-0.33262851061860915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76980</v>
      </c>
      <c r="D23" s="185">
        <v>26927</v>
      </c>
      <c r="E23" s="185">
        <f>+D23-C23</f>
        <v>-50053</v>
      </c>
      <c r="F23" s="77">
        <f>IF(C23=0,0,+E23/C23)</f>
        <v>-0.65020784619381655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286685</v>
      </c>
      <c r="D24" s="185">
        <v>74188</v>
      </c>
      <c r="E24" s="185">
        <f>+D24-C24</f>
        <v>-212497</v>
      </c>
      <c r="F24" s="77">
        <f>IF(C24=0,0,+E24/C24)</f>
        <v>-0.74122120096970545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579795</v>
      </c>
      <c r="D25" s="79">
        <f>+D22+D23+D24</f>
        <v>245354</v>
      </c>
      <c r="E25" s="79">
        <f>+E22+E23+E24</f>
        <v>-334441</v>
      </c>
      <c r="F25" s="80">
        <f>IF(C25=0,0,+E25/C25)</f>
        <v>-0.57682629205150093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161</v>
      </c>
      <c r="D27" s="185">
        <v>68</v>
      </c>
      <c r="E27" s="185">
        <f>+D27-C27</f>
        <v>-93</v>
      </c>
      <c r="F27" s="77">
        <f>IF(C27=0,0,+E27/C27)</f>
        <v>-0.57763975155279501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27</v>
      </c>
      <c r="D28" s="185">
        <v>17</v>
      </c>
      <c r="E28" s="185">
        <f>+D28-C28</f>
        <v>-10</v>
      </c>
      <c r="F28" s="77">
        <f>IF(C28=0,0,+E28/C28)</f>
        <v>-0.37037037037037035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198</v>
      </c>
      <c r="D29" s="185">
        <v>70</v>
      </c>
      <c r="E29" s="185">
        <f>+D29-C29</f>
        <v>-128</v>
      </c>
      <c r="F29" s="77">
        <f>IF(C29=0,0,+E29/C29)</f>
        <v>-0.64646464646464652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52</v>
      </c>
      <c r="D30" s="185">
        <v>23</v>
      </c>
      <c r="E30" s="185">
        <f>+D30-C30</f>
        <v>-29</v>
      </c>
      <c r="F30" s="77">
        <f>IF(C30=0,0,+E30/C30)</f>
        <v>-0.55769230769230771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2284924</v>
      </c>
      <c r="D33" s="76">
        <v>1112950</v>
      </c>
      <c r="E33" s="76">
        <f>+D33-C33</f>
        <v>-1171974</v>
      </c>
      <c r="F33" s="77">
        <f>IF(C33=0,0,+E33/C33)</f>
        <v>-0.51291596569513909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691475</v>
      </c>
      <c r="D34" s="185">
        <v>513188</v>
      </c>
      <c r="E34" s="185">
        <f>+D34-C34</f>
        <v>-178287</v>
      </c>
      <c r="F34" s="77">
        <f>IF(C34=0,0,+E34/C34)</f>
        <v>-0.25783578582016703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2631910</v>
      </c>
      <c r="D35" s="185">
        <v>1930562</v>
      </c>
      <c r="E35" s="185">
        <f>+D35-C35</f>
        <v>-701348</v>
      </c>
      <c r="F35" s="77">
        <f>IF(C35=0,0,+E35/C35)</f>
        <v>-0.26647871697740422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5608309</v>
      </c>
      <c r="D36" s="79">
        <f>+D33+D34+D35</f>
        <v>3556700</v>
      </c>
      <c r="E36" s="79">
        <f>+E33+E34+E35</f>
        <v>-2051609</v>
      </c>
      <c r="F36" s="80">
        <f>IF(C36=0,0,+E36/C36)</f>
        <v>-0.36581597055369097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579795</v>
      </c>
      <c r="D39" s="76">
        <f>+D25</f>
        <v>245354</v>
      </c>
      <c r="E39" s="76">
        <f>+D39-C39</f>
        <v>-334441</v>
      </c>
      <c r="F39" s="77">
        <f>IF(C39=0,0,+E39/C39)</f>
        <v>-0.57682629205150093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5608309</v>
      </c>
      <c r="D40" s="185">
        <f>+D36</f>
        <v>3556700</v>
      </c>
      <c r="E40" s="185">
        <f>+D40-C40</f>
        <v>-2051609</v>
      </c>
      <c r="F40" s="77">
        <f>IF(C40=0,0,+E40/C40)</f>
        <v>-0.36581597055369097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6188104</v>
      </c>
      <c r="D41" s="79">
        <f>+D39+D40</f>
        <v>3802054</v>
      </c>
      <c r="E41" s="79">
        <f>+E39+E40</f>
        <v>-2386050</v>
      </c>
      <c r="F41" s="80">
        <f>IF(C41=0,0,+E41/C41)</f>
        <v>-0.38558660294009278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2501054</v>
      </c>
      <c r="D43" s="76">
        <f t="shared" si="0"/>
        <v>1257189</v>
      </c>
      <c r="E43" s="76">
        <f>+D43-C43</f>
        <v>-1243865</v>
      </c>
      <c r="F43" s="77">
        <f>IF(C43=0,0,+E43/C43)</f>
        <v>-0.4973363230062206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768455</v>
      </c>
      <c r="D44" s="185">
        <f t="shared" si="0"/>
        <v>540115</v>
      </c>
      <c r="E44" s="185">
        <f>+D44-C44</f>
        <v>-228340</v>
      </c>
      <c r="F44" s="77">
        <f>IF(C44=0,0,+E44/C44)</f>
        <v>-0.29714166737154418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2918595</v>
      </c>
      <c r="D45" s="185">
        <f t="shared" si="0"/>
        <v>2004750</v>
      </c>
      <c r="E45" s="185">
        <f>+D45-C45</f>
        <v>-913845</v>
      </c>
      <c r="F45" s="77">
        <f>IF(C45=0,0,+E45/C45)</f>
        <v>-0.31311127443170428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6188104</v>
      </c>
      <c r="D46" s="79">
        <f>+D43+D44+D45</f>
        <v>3802054</v>
      </c>
      <c r="E46" s="79">
        <f>+E43+E44+E45</f>
        <v>-2386050</v>
      </c>
      <c r="F46" s="80">
        <f>IF(C46=0,0,+E46/C46)</f>
        <v>-0.38558660294009278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66221864</v>
      </c>
      <c r="D15" s="76">
        <v>64692160</v>
      </c>
      <c r="E15" s="76">
        <f>+D15-C15</f>
        <v>-1529704</v>
      </c>
      <c r="F15" s="77">
        <f>IF(C15=0,0,E15/C15)</f>
        <v>-2.3099682002306669E-2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32429020</v>
      </c>
      <c r="D17" s="76">
        <v>32529837</v>
      </c>
      <c r="E17" s="76">
        <f>+D17-C17</f>
        <v>100817</v>
      </c>
      <c r="F17" s="77">
        <f>IF(C17=0,0,E17/C17)</f>
        <v>3.10885126963442E-3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33792844</v>
      </c>
      <c r="D19" s="79">
        <f>+D15-D17</f>
        <v>32162323</v>
      </c>
      <c r="E19" s="79">
        <f>+D19-C19</f>
        <v>-1630521</v>
      </c>
      <c r="F19" s="80">
        <f>IF(C19=0,0,E19/C19)</f>
        <v>-4.8250481670024575E-2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0.48970261543830901</v>
      </c>
      <c r="D21" s="720">
        <f>IF(D15=0,0,D17/D15)</f>
        <v>0.50284048329813069</v>
      </c>
      <c r="E21" s="720">
        <f>+D21-C21</f>
        <v>1.3137867859821684E-2</v>
      </c>
      <c r="F21" s="80">
        <f>IF(C21=0,0,E21/C21)</f>
        <v>2.6828257488603808E-2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98180414</v>
      </c>
      <c r="D10" s="744">
        <v>99249502</v>
      </c>
      <c r="E10" s="744">
        <v>105800542</v>
      </c>
    </row>
    <row r="11" spans="1:6" ht="26.1" customHeight="1" x14ac:dyDescent="0.25">
      <c r="A11" s="742">
        <v>2</v>
      </c>
      <c r="B11" s="743" t="s">
        <v>933</v>
      </c>
      <c r="C11" s="744">
        <v>96733467</v>
      </c>
      <c r="D11" s="744">
        <v>98054777</v>
      </c>
      <c r="E11" s="744">
        <v>95445296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194913881</v>
      </c>
      <c r="D12" s="744">
        <f>+D11+D10</f>
        <v>197304279</v>
      </c>
      <c r="E12" s="744">
        <f>+E11+E10</f>
        <v>201245838</v>
      </c>
    </row>
    <row r="13" spans="1:6" ht="26.1" customHeight="1" x14ac:dyDescent="0.25">
      <c r="A13" s="742">
        <v>4</v>
      </c>
      <c r="B13" s="743" t="s">
        <v>507</v>
      </c>
      <c r="C13" s="744">
        <v>69903315</v>
      </c>
      <c r="D13" s="744">
        <v>63500794</v>
      </c>
      <c r="E13" s="744">
        <v>60372640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80117246</v>
      </c>
      <c r="D16" s="744">
        <v>72076598</v>
      </c>
      <c r="E16" s="744">
        <v>68666088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13603</v>
      </c>
      <c r="D19" s="747">
        <v>12880</v>
      </c>
      <c r="E19" s="747">
        <v>12110</v>
      </c>
    </row>
    <row r="20" spans="1:5" ht="26.1" customHeight="1" x14ac:dyDescent="0.25">
      <c r="A20" s="742">
        <v>2</v>
      </c>
      <c r="B20" s="743" t="s">
        <v>381</v>
      </c>
      <c r="C20" s="748">
        <v>3348</v>
      </c>
      <c r="D20" s="748">
        <v>3121</v>
      </c>
      <c r="E20" s="748">
        <v>3201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4.0630227001194745</v>
      </c>
      <c r="D21" s="749">
        <f>IF(D20=0,0,+D19/D20)</f>
        <v>4.1268824094841401</v>
      </c>
      <c r="E21" s="749">
        <f>IF(E20=0,0,+E19/E20)</f>
        <v>3.7831927522649171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27005.5239657372</v>
      </c>
      <c r="D22" s="748">
        <f>IF(D10=0,0,D19*(D12/D10))</f>
        <v>25604.955816503742</v>
      </c>
      <c r="E22" s="748">
        <f>IF(E10=0,0,E19*(E12/E10))</f>
        <v>23034.731695230825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6646.6584016237703</v>
      </c>
      <c r="D23" s="748">
        <f>IF(D10=0,0,D20*(D12/D10))</f>
        <v>6204.430675722685</v>
      </c>
      <c r="E23" s="748">
        <f>IF(E10=0,0,E20*(E12/E10))</f>
        <v>6088.7015818690234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1.4130910991636796</v>
      </c>
      <c r="D26" s="750">
        <v>1.4104924383210509</v>
      </c>
      <c r="E26" s="750">
        <v>1.377479612621056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19222.278221923534</v>
      </c>
      <c r="D27" s="748">
        <f>D19*D26</f>
        <v>18167.142605575136</v>
      </c>
      <c r="E27" s="748">
        <f>E19*E26</f>
        <v>16681.278108840987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4731.0289999999995</v>
      </c>
      <c r="D28" s="748">
        <f>D20*D26</f>
        <v>4402.1468999999997</v>
      </c>
      <c r="E28" s="748">
        <f>E20*E26</f>
        <v>4409.3122400000002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38161.265544234673</v>
      </c>
      <c r="D29" s="748">
        <f>D22*D26</f>
        <v>36115.596562723134</v>
      </c>
      <c r="E29" s="748">
        <f>E22*E26</f>
        <v>31729.873292376516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9392.3338265160401</v>
      </c>
      <c r="D30" s="748">
        <f>D23*D26</f>
        <v>8751.3025521940144</v>
      </c>
      <c r="E30" s="748">
        <f>E23*E26</f>
        <v>8387.0622963581536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14328.742262736161</v>
      </c>
      <c r="D33" s="744">
        <f>IF(D19=0,0,D12/D19)</f>
        <v>15318.655201863354</v>
      </c>
      <c r="E33" s="744">
        <f>IF(E19=0,0,E12/E19)</f>
        <v>16618.1534269199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58218.005077658301</v>
      </c>
      <c r="D34" s="744">
        <f>IF(D20=0,0,D12/D20)</f>
        <v>63218.288689522589</v>
      </c>
      <c r="E34" s="744">
        <f>IF(E20=0,0,E12/E20)</f>
        <v>62869.677600749768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7217.5559802984635</v>
      </c>
      <c r="D35" s="744">
        <f>IF(D22=0,0,D12/D22)</f>
        <v>7705.7066770186348</v>
      </c>
      <c r="E35" s="744">
        <f>IF(E22=0,0,E12/E22)</f>
        <v>8736.6260941370765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29325.093787335722</v>
      </c>
      <c r="D36" s="744">
        <f>IF(D23=0,0,D12/D23)</f>
        <v>31800.545338032684</v>
      </c>
      <c r="E36" s="744">
        <f>IF(E23=0,0,E12/E23)</f>
        <v>33052.340518587938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5107.636715403617</v>
      </c>
      <c r="D37" s="744">
        <f>IF(D29=0,0,D12/D29)</f>
        <v>5463.1322137330671</v>
      </c>
      <c r="E37" s="744">
        <f>IF(E29=0,0,E12/E29)</f>
        <v>6342.4721600874382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20752.443918648565</v>
      </c>
      <c r="D38" s="744">
        <f>IF(D30=0,0,D12/D30)</f>
        <v>22545.704233541142</v>
      </c>
      <c r="E38" s="744">
        <f>IF(E30=0,0,E12/E30)</f>
        <v>23994.794707484809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3635.5678239964805</v>
      </c>
      <c r="D39" s="744">
        <f>IF(D22=0,0,D10/D22)</f>
        <v>3876.1832947990665</v>
      </c>
      <c r="E39" s="744">
        <f>IF(E22=0,0,E10/E22)</f>
        <v>4593.0876643076008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14771.394596721662</v>
      </c>
      <c r="D40" s="744">
        <f>IF(D23=0,0,D10/D23)</f>
        <v>15996.552655242544</v>
      </c>
      <c r="E40" s="744">
        <f>IF(E23=0,0,E10/E23)</f>
        <v>17376.535962125909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5138.8160699845621</v>
      </c>
      <c r="D43" s="744">
        <f>IF(D19=0,0,D13/D19)</f>
        <v>4930.1858695652172</v>
      </c>
      <c r="E43" s="744">
        <f>IF(E19=0,0,E13/E19)</f>
        <v>4985.3542526837327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20879.12634408602</v>
      </c>
      <c r="D44" s="744">
        <f>IF(D20=0,0,D13/D20)</f>
        <v>20346.297340595964</v>
      </c>
      <c r="E44" s="744">
        <f>IF(E20=0,0,E13/E20)</f>
        <v>18860.556076226178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2588.4820856906404</v>
      </c>
      <c r="D45" s="744">
        <f>IF(D22=0,0,D13/D22)</f>
        <v>2480.0196670939144</v>
      </c>
      <c r="E45" s="744">
        <f>IF(E22=0,0,E13/E22)</f>
        <v>2620.9395793613571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10517.061473013673</v>
      </c>
      <c r="D46" s="744">
        <f>IF(D23=0,0,D13/D23)</f>
        <v>10234.749539304587</v>
      </c>
      <c r="E46" s="744">
        <f>IF(E23=0,0,E13/E23)</f>
        <v>9915.5196207641475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1831.7871276824269</v>
      </c>
      <c r="D47" s="744">
        <f>IF(D29=0,0,D13/D29)</f>
        <v>1758.2651276358151</v>
      </c>
      <c r="E47" s="744">
        <f>IF(E29=0,0,E13/E29)</f>
        <v>1902.7066210978301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7442.5926815603507</v>
      </c>
      <c r="D48" s="744">
        <f>IF(D30=0,0,D13/D30)</f>
        <v>7256.1534264496313</v>
      </c>
      <c r="E48" s="744">
        <f>IF(E30=0,0,E13/E30)</f>
        <v>7198.3058986237793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5889.674777622583</v>
      </c>
      <c r="D51" s="744">
        <f>IF(D19=0,0,D16/D19)</f>
        <v>5596.0091614906833</v>
      </c>
      <c r="E51" s="744">
        <f>IF(E19=0,0,E16/E19)</f>
        <v>5670.1971924029731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23929.882317801672</v>
      </c>
      <c r="D52" s="744">
        <f>IF(D20=0,0,D16/D20)</f>
        <v>23094.071771867992</v>
      </c>
      <c r="E52" s="744">
        <f>IF(E20=0,0,E16/E20)</f>
        <v>21451.44892221181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2966.698446645486</v>
      </c>
      <c r="D53" s="744">
        <f>IF(D22=0,0,D16/D22)</f>
        <v>2814.9471733726969</v>
      </c>
      <c r="E53" s="744">
        <f>IF(E22=0,0,E16/E22)</f>
        <v>2980.9805865555977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12053.763133129793</v>
      </c>
      <c r="D54" s="744">
        <f>IF(D23=0,0,D16/D23)</f>
        <v>11616.955973418882</v>
      </c>
      <c r="E54" s="744">
        <f>IF(E23=0,0,E16/E23)</f>
        <v>11277.624149699559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2099.4389168548933</v>
      </c>
      <c r="D55" s="744">
        <f>IF(D29=0,0,D16/D29)</f>
        <v>1995.7194359180035</v>
      </c>
      <c r="E55" s="744">
        <f>IF(E29=0,0,E16/E29)</f>
        <v>2164.083271536349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8530.0679766956728</v>
      </c>
      <c r="D56" s="744">
        <f>IF(D30=0,0,D16/D30)</f>
        <v>8236.0994343556176</v>
      </c>
      <c r="E56" s="744">
        <f>IF(E30=0,0,E16/E30)</f>
        <v>8187.1441481740658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16446079</v>
      </c>
      <c r="D59" s="752">
        <v>14893505</v>
      </c>
      <c r="E59" s="752">
        <v>14504923</v>
      </c>
    </row>
    <row r="60" spans="1:6" ht="26.1" customHeight="1" x14ac:dyDescent="0.25">
      <c r="A60" s="742">
        <v>2</v>
      </c>
      <c r="B60" s="743" t="s">
        <v>969</v>
      </c>
      <c r="C60" s="752">
        <v>5577143</v>
      </c>
      <c r="D60" s="752">
        <v>4202695</v>
      </c>
      <c r="E60" s="752">
        <v>4784452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22023222</v>
      </c>
      <c r="D61" s="755">
        <f>D59+D60</f>
        <v>19096200</v>
      </c>
      <c r="E61" s="755">
        <f>E59+E60</f>
        <v>19289375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5633239</v>
      </c>
      <c r="D64" s="744">
        <v>4236141</v>
      </c>
      <c r="E64" s="752">
        <v>3081841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695961</v>
      </c>
      <c r="D65" s="752">
        <v>560359</v>
      </c>
      <c r="E65" s="752">
        <v>495240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6329200</v>
      </c>
      <c r="D66" s="757">
        <f>D64+D65</f>
        <v>4796500</v>
      </c>
      <c r="E66" s="757">
        <f>E64+E65</f>
        <v>3577081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15739752</v>
      </c>
      <c r="D69" s="752">
        <v>16557712</v>
      </c>
      <c r="E69" s="752">
        <v>14668666</v>
      </c>
    </row>
    <row r="70" spans="1:6" ht="26.1" customHeight="1" x14ac:dyDescent="0.25">
      <c r="A70" s="742">
        <v>2</v>
      </c>
      <c r="B70" s="743" t="s">
        <v>977</v>
      </c>
      <c r="C70" s="752">
        <v>5907420</v>
      </c>
      <c r="D70" s="752">
        <v>4576268</v>
      </c>
      <c r="E70" s="752">
        <v>4842212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21647172</v>
      </c>
      <c r="D71" s="755">
        <f>D69+D70</f>
        <v>21133980</v>
      </c>
      <c r="E71" s="755">
        <f>E69+E70</f>
        <v>19510878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37819070</v>
      </c>
      <c r="D75" s="744">
        <f t="shared" si="0"/>
        <v>35687358</v>
      </c>
      <c r="E75" s="744">
        <f t="shared" si="0"/>
        <v>32255430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12180524</v>
      </c>
      <c r="D76" s="744">
        <f t="shared" si="0"/>
        <v>9339322</v>
      </c>
      <c r="E76" s="744">
        <f t="shared" si="0"/>
        <v>10121904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49999594</v>
      </c>
      <c r="D77" s="757">
        <f>D75+D76</f>
        <v>45026680</v>
      </c>
      <c r="E77" s="757">
        <f>E75+E76</f>
        <v>42377334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170.7</v>
      </c>
      <c r="D80" s="749">
        <v>195</v>
      </c>
      <c r="E80" s="749">
        <v>159.6</v>
      </c>
    </row>
    <row r="81" spans="1:5" ht="26.1" customHeight="1" x14ac:dyDescent="0.25">
      <c r="A81" s="742">
        <v>2</v>
      </c>
      <c r="B81" s="743" t="s">
        <v>617</v>
      </c>
      <c r="C81" s="749">
        <v>20.6</v>
      </c>
      <c r="D81" s="749">
        <v>13</v>
      </c>
      <c r="E81" s="749">
        <v>11</v>
      </c>
    </row>
    <row r="82" spans="1:5" ht="26.1" customHeight="1" x14ac:dyDescent="0.25">
      <c r="A82" s="742">
        <v>3</v>
      </c>
      <c r="B82" s="743" t="s">
        <v>983</v>
      </c>
      <c r="C82" s="749">
        <v>307.3</v>
      </c>
      <c r="D82" s="749">
        <v>260</v>
      </c>
      <c r="E82" s="749">
        <v>273.60000000000002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498.6</v>
      </c>
      <c r="D83" s="759">
        <f>D80+D81+D82</f>
        <v>468</v>
      </c>
      <c r="E83" s="759">
        <f>E80+E81+E82</f>
        <v>444.20000000000005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96344.926772114821</v>
      </c>
      <c r="D86" s="752">
        <f>IF(D80=0,0,D59/D80)</f>
        <v>76376.948717948719</v>
      </c>
      <c r="E86" s="752">
        <f>IF(E80=0,0,E59/E80)</f>
        <v>90882.976190476198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32672.190978324546</v>
      </c>
      <c r="D87" s="752">
        <f>IF(D80=0,0,D60/D80)</f>
        <v>21552.282051282051</v>
      </c>
      <c r="E87" s="752">
        <f>IF(E80=0,0,E60/E80)</f>
        <v>29977.769423558897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129017.11775043937</v>
      </c>
      <c r="D88" s="755">
        <f>+D86+D87</f>
        <v>97929.230769230766</v>
      </c>
      <c r="E88" s="755">
        <f>+E86+E87</f>
        <v>120860.7456140351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273458.20388349512</v>
      </c>
      <c r="D91" s="744">
        <f>IF(D81=0,0,D64/D81)</f>
        <v>325857</v>
      </c>
      <c r="E91" s="744">
        <f>IF(E81=0,0,E64/E81)</f>
        <v>280167.36363636365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33784.514563106794</v>
      </c>
      <c r="D92" s="744">
        <f>IF(D81=0,0,D65/D81)</f>
        <v>43104.538461538461</v>
      </c>
      <c r="E92" s="744">
        <f>IF(E81=0,0,E65/E81)</f>
        <v>45021.818181818184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307242.71844660194</v>
      </c>
      <c r="D93" s="757">
        <f>+D91+D92</f>
        <v>368961.53846153844</v>
      </c>
      <c r="E93" s="757">
        <f>+E91+E92</f>
        <v>325189.18181818182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51219.498861047832</v>
      </c>
      <c r="D96" s="752">
        <f>IF(D82=0,0,D69/D82)</f>
        <v>63683.507692307692</v>
      </c>
      <c r="E96" s="752">
        <f>IF(E82=0,0,E69/E82)</f>
        <v>53613.545321637423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19223.625122030589</v>
      </c>
      <c r="D97" s="752">
        <f>IF(D82=0,0,D70/D82)</f>
        <v>17601.030769230769</v>
      </c>
      <c r="E97" s="752">
        <f>IF(E82=0,0,E70/E82)</f>
        <v>17698.143274853799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70443.123983078418</v>
      </c>
      <c r="D98" s="757">
        <f>+D96+D97</f>
        <v>81284.538461538468</v>
      </c>
      <c r="E98" s="757">
        <f>+E96+E97</f>
        <v>71311.688596491222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75850.521460088246</v>
      </c>
      <c r="D101" s="744">
        <f>IF(D83=0,0,D75/D83)</f>
        <v>76255.038461538468</v>
      </c>
      <c r="E101" s="744">
        <f>IF(E83=0,0,E75/E83)</f>
        <v>72614.655560558298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24429.450461291617</v>
      </c>
      <c r="D102" s="761">
        <f>IF(D83=0,0,D76/D83)</f>
        <v>19955.816239316238</v>
      </c>
      <c r="E102" s="761">
        <f>IF(E83=0,0,E76/E83)</f>
        <v>22786.816749212063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100279.97192137987</v>
      </c>
      <c r="D103" s="757">
        <f>+D101+D102</f>
        <v>96210.854700854703</v>
      </c>
      <c r="E103" s="757">
        <f>+E101+E102</f>
        <v>95401.472309770354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3675.6299345732559</v>
      </c>
      <c r="D108" s="744">
        <f>IF(D19=0,0,D77/D19)</f>
        <v>3495.8602484472049</v>
      </c>
      <c r="E108" s="744">
        <f>IF(E19=0,0,E77/E19)</f>
        <v>3499.366969446738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14934.167861409796</v>
      </c>
      <c r="D109" s="744">
        <f>IF(D20=0,0,D77/D20)</f>
        <v>14427.004165331624</v>
      </c>
      <c r="E109" s="744">
        <f>IF(E20=0,0,E77/E20)</f>
        <v>13238.779756326148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1851.4580225673878</v>
      </c>
      <c r="D110" s="744">
        <f>IF(D22=0,0,D77/D22)</f>
        <v>1758.514262734167</v>
      </c>
      <c r="E110" s="744">
        <f>IF(E22=0,0,E77/E22)</f>
        <v>1839.7146778477095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7522.5159740096105</v>
      </c>
      <c r="D111" s="744">
        <f>IF(D23=0,0,D77/D23)</f>
        <v>7257.181577704604</v>
      </c>
      <c r="E111" s="744">
        <f>IF(E23=0,0,E77/E23)</f>
        <v>6959.9952354688412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1310.2184449842973</v>
      </c>
      <c r="D112" s="744">
        <f>IF(D29=0,0,D77/D29)</f>
        <v>1246.7378164943418</v>
      </c>
      <c r="E112" s="744">
        <f>IF(E29=0,0,E77/E29)</f>
        <v>1335.5658123659027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5323.4472840864382</v>
      </c>
      <c r="D113" s="744">
        <f>IF(D30=0,0,D77/D30)</f>
        <v>5145.1403641291645</v>
      </c>
      <c r="E113" s="744">
        <f>IF(E30=0,0,E77/E30)</f>
        <v>5052.7029015154885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FILING&amp;R&amp;"Arial,Bold"&amp;12MILFORD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197304278</v>
      </c>
      <c r="D12" s="76">
        <v>201245838</v>
      </c>
      <c r="E12" s="76">
        <f t="shared" ref="E12:E21" si="0">D12-C12</f>
        <v>3941560</v>
      </c>
      <c r="F12" s="77">
        <f t="shared" ref="F12:F21" si="1">IF(C12=0,0,E12/C12)</f>
        <v>1.9977063041684277E-2</v>
      </c>
    </row>
    <row r="13" spans="1:8" ht="23.1" customHeight="1" x14ac:dyDescent="0.2">
      <c r="A13" s="74">
        <v>2</v>
      </c>
      <c r="B13" s="75" t="s">
        <v>72</v>
      </c>
      <c r="C13" s="76">
        <v>126172435</v>
      </c>
      <c r="D13" s="76">
        <v>135274838</v>
      </c>
      <c r="E13" s="76">
        <f t="shared" si="0"/>
        <v>9102403</v>
      </c>
      <c r="F13" s="77">
        <f t="shared" si="1"/>
        <v>7.2142564261361841E-2</v>
      </c>
    </row>
    <row r="14" spans="1:8" ht="23.1" customHeight="1" x14ac:dyDescent="0.2">
      <c r="A14" s="74">
        <v>3</v>
      </c>
      <c r="B14" s="75" t="s">
        <v>73</v>
      </c>
      <c r="C14" s="76">
        <v>579794</v>
      </c>
      <c r="D14" s="76">
        <v>245354</v>
      </c>
      <c r="E14" s="76">
        <f t="shared" si="0"/>
        <v>-334440</v>
      </c>
      <c r="F14" s="77">
        <f t="shared" si="1"/>
        <v>-0.57682556218243031</v>
      </c>
    </row>
    <row r="15" spans="1:8" ht="23.1" customHeight="1" x14ac:dyDescent="0.2">
      <c r="A15" s="74">
        <v>4</v>
      </c>
      <c r="B15" s="75" t="s">
        <v>74</v>
      </c>
      <c r="C15" s="76">
        <v>1442946</v>
      </c>
      <c r="D15" s="76">
        <v>1796306</v>
      </c>
      <c r="E15" s="76">
        <f t="shared" si="0"/>
        <v>353360</v>
      </c>
      <c r="F15" s="77">
        <f t="shared" si="1"/>
        <v>0.24488788908247433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69109103</v>
      </c>
      <c r="D16" s="79">
        <f>D12-D13-D14-D15</f>
        <v>63929340</v>
      </c>
      <c r="E16" s="79">
        <f t="shared" si="0"/>
        <v>-5179763</v>
      </c>
      <c r="F16" s="80">
        <f t="shared" si="1"/>
        <v>-7.4950517010761955E-2</v>
      </c>
    </row>
    <row r="17" spans="1:7" ht="23.1" customHeight="1" x14ac:dyDescent="0.2">
      <c r="A17" s="74">
        <v>5</v>
      </c>
      <c r="B17" s="75" t="s">
        <v>76</v>
      </c>
      <c r="C17" s="76">
        <v>5608309</v>
      </c>
      <c r="D17" s="76">
        <v>3556700</v>
      </c>
      <c r="E17" s="76">
        <f t="shared" si="0"/>
        <v>-2051609</v>
      </c>
      <c r="F17" s="77">
        <f t="shared" si="1"/>
        <v>-0.36581597055369097</v>
      </c>
      <c r="G17" s="65"/>
    </row>
    <row r="18" spans="1:7" ht="31.5" customHeight="1" x14ac:dyDescent="0.25">
      <c r="A18" s="71"/>
      <c r="B18" s="81" t="s">
        <v>77</v>
      </c>
      <c r="C18" s="79">
        <f>C16-C17</f>
        <v>63500794</v>
      </c>
      <c r="D18" s="79">
        <f>D16-D17</f>
        <v>60372640</v>
      </c>
      <c r="E18" s="79">
        <f t="shared" si="0"/>
        <v>-3128154</v>
      </c>
      <c r="F18" s="80">
        <f t="shared" si="1"/>
        <v>-4.9261651751945024E-2</v>
      </c>
    </row>
    <row r="19" spans="1:7" ht="23.1" customHeight="1" x14ac:dyDescent="0.2">
      <c r="A19" s="74">
        <v>6</v>
      </c>
      <c r="B19" s="75" t="s">
        <v>78</v>
      </c>
      <c r="C19" s="76">
        <v>1352459</v>
      </c>
      <c r="D19" s="76">
        <v>3567807</v>
      </c>
      <c r="E19" s="76">
        <f t="shared" si="0"/>
        <v>2215348</v>
      </c>
      <c r="F19" s="77">
        <f t="shared" si="1"/>
        <v>1.6380149047032109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64853253</v>
      </c>
      <c r="D21" s="79">
        <f>SUM(D18:D20)</f>
        <v>63940447</v>
      </c>
      <c r="E21" s="79">
        <f t="shared" si="0"/>
        <v>-912806</v>
      </c>
      <c r="F21" s="80">
        <f t="shared" si="1"/>
        <v>-1.4074945477291632E-2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35687358</v>
      </c>
      <c r="D24" s="76">
        <v>32255430</v>
      </c>
      <c r="E24" s="76">
        <f t="shared" ref="E24:E33" si="2">D24-C24</f>
        <v>-3431928</v>
      </c>
      <c r="F24" s="77">
        <f t="shared" ref="F24:F33" si="3">IF(C24=0,0,E24/C24)</f>
        <v>-9.6166491226388914E-2</v>
      </c>
    </row>
    <row r="25" spans="1:7" ht="23.1" customHeight="1" x14ac:dyDescent="0.2">
      <c r="A25" s="74">
        <v>2</v>
      </c>
      <c r="B25" s="75" t="s">
        <v>83</v>
      </c>
      <c r="C25" s="76">
        <v>9339322</v>
      </c>
      <c r="D25" s="76">
        <v>10121904</v>
      </c>
      <c r="E25" s="76">
        <f t="shared" si="2"/>
        <v>782582</v>
      </c>
      <c r="F25" s="77">
        <f t="shared" si="3"/>
        <v>8.3794305411035191E-2</v>
      </c>
    </row>
    <row r="26" spans="1:7" ht="23.1" customHeight="1" x14ac:dyDescent="0.2">
      <c r="A26" s="74">
        <v>3</v>
      </c>
      <c r="B26" s="75" t="s">
        <v>84</v>
      </c>
      <c r="C26" s="76">
        <v>770256</v>
      </c>
      <c r="D26" s="76">
        <v>1108353</v>
      </c>
      <c r="E26" s="76">
        <f t="shared" si="2"/>
        <v>338097</v>
      </c>
      <c r="F26" s="77">
        <f t="shared" si="3"/>
        <v>0.43894107932946969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12428440</v>
      </c>
      <c r="D27" s="76">
        <v>11980208</v>
      </c>
      <c r="E27" s="76">
        <f t="shared" si="2"/>
        <v>-448232</v>
      </c>
      <c r="F27" s="77">
        <f t="shared" si="3"/>
        <v>-3.6065025055437371E-2</v>
      </c>
    </row>
    <row r="28" spans="1:7" ht="23.1" customHeight="1" x14ac:dyDescent="0.2">
      <c r="A28" s="74">
        <v>5</v>
      </c>
      <c r="B28" s="75" t="s">
        <v>86</v>
      </c>
      <c r="C28" s="76">
        <v>2687549</v>
      </c>
      <c r="D28" s="76">
        <v>2462228</v>
      </c>
      <c r="E28" s="76">
        <f t="shared" si="2"/>
        <v>-225321</v>
      </c>
      <c r="F28" s="77">
        <f t="shared" si="3"/>
        <v>-8.3838843496434862E-2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26961</v>
      </c>
      <c r="D30" s="76">
        <v>85184</v>
      </c>
      <c r="E30" s="76">
        <f t="shared" si="2"/>
        <v>58223</v>
      </c>
      <c r="F30" s="77">
        <f t="shared" si="3"/>
        <v>2.1595267237862097</v>
      </c>
    </row>
    <row r="31" spans="1:7" ht="23.1" customHeight="1" x14ac:dyDescent="0.2">
      <c r="A31" s="74">
        <v>8</v>
      </c>
      <c r="B31" s="75" t="s">
        <v>89</v>
      </c>
      <c r="C31" s="76">
        <v>746227</v>
      </c>
      <c r="D31" s="76">
        <v>711640</v>
      </c>
      <c r="E31" s="76">
        <f t="shared" si="2"/>
        <v>-34587</v>
      </c>
      <c r="F31" s="77">
        <f t="shared" si="3"/>
        <v>-4.6349167210513693E-2</v>
      </c>
    </row>
    <row r="32" spans="1:7" ht="23.1" customHeight="1" x14ac:dyDescent="0.2">
      <c r="A32" s="74">
        <v>9</v>
      </c>
      <c r="B32" s="75" t="s">
        <v>90</v>
      </c>
      <c r="C32" s="76">
        <v>10390485</v>
      </c>
      <c r="D32" s="76">
        <v>9941141</v>
      </c>
      <c r="E32" s="76">
        <f t="shared" si="2"/>
        <v>-449344</v>
      </c>
      <c r="F32" s="77">
        <f t="shared" si="3"/>
        <v>-4.3245719521273547E-2</v>
      </c>
    </row>
    <row r="33" spans="1:6" ht="23.1" customHeight="1" x14ac:dyDescent="0.25">
      <c r="A33" s="71"/>
      <c r="B33" s="78" t="s">
        <v>91</v>
      </c>
      <c r="C33" s="79">
        <f>SUM(C24:C32)</f>
        <v>72076598</v>
      </c>
      <c r="D33" s="79">
        <f>SUM(D24:D32)</f>
        <v>68666088</v>
      </c>
      <c r="E33" s="79">
        <f t="shared" si="2"/>
        <v>-3410510</v>
      </c>
      <c r="F33" s="80">
        <f t="shared" si="3"/>
        <v>-4.731785481884148E-2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-7223345</v>
      </c>
      <c r="D35" s="79">
        <f>+D21-D33</f>
        <v>-4725641</v>
      </c>
      <c r="E35" s="79">
        <f>D35-C35</f>
        <v>2497704</v>
      </c>
      <c r="F35" s="80">
        <f>IF(C35=0,0,E35/C35)</f>
        <v>-0.34578218263145399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360284</v>
      </c>
      <c r="D38" s="76">
        <v>296789</v>
      </c>
      <c r="E38" s="76">
        <f>D38-C38</f>
        <v>-63495</v>
      </c>
      <c r="F38" s="77">
        <f>IF(C38=0,0,E38/C38)</f>
        <v>-0.17623596940191627</v>
      </c>
    </row>
    <row r="39" spans="1:6" ht="23.1" customHeight="1" x14ac:dyDescent="0.2">
      <c r="A39" s="85">
        <v>2</v>
      </c>
      <c r="B39" s="75" t="s">
        <v>95</v>
      </c>
      <c r="C39" s="76">
        <v>1905</v>
      </c>
      <c r="D39" s="76">
        <v>22978</v>
      </c>
      <c r="E39" s="76">
        <f>D39-C39</f>
        <v>21073</v>
      </c>
      <c r="F39" s="77">
        <f>IF(C39=0,0,E39/C39)</f>
        <v>11.061942257217847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362189</v>
      </c>
      <c r="D41" s="79">
        <f>SUM(D38:D40)</f>
        <v>319767</v>
      </c>
      <c r="E41" s="79">
        <f>D41-C41</f>
        <v>-42422</v>
      </c>
      <c r="F41" s="80">
        <f>IF(C41=0,0,E41/C41)</f>
        <v>-0.11712669352189051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-6861156</v>
      </c>
      <c r="D43" s="79">
        <f>D35+D41</f>
        <v>-4405874</v>
      </c>
      <c r="E43" s="79">
        <f>D43-C43</f>
        <v>2455282</v>
      </c>
      <c r="F43" s="80">
        <f>IF(C43=0,0,E43/C43)</f>
        <v>-0.35785252514299337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-342578</v>
      </c>
      <c r="D46" s="76">
        <v>-207863</v>
      </c>
      <c r="E46" s="76">
        <f>D46-C46</f>
        <v>134715</v>
      </c>
      <c r="F46" s="77">
        <f>IF(C46=0,0,E46/C46)</f>
        <v>-0.39323891201419825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-342578</v>
      </c>
      <c r="D48" s="79">
        <f>SUM(D46:D47)</f>
        <v>-207863</v>
      </c>
      <c r="E48" s="79">
        <f>D48-C48</f>
        <v>134715</v>
      </c>
      <c r="F48" s="80">
        <f>IF(C48=0,0,E48/C48)</f>
        <v>-0.39323891201419825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-7203734</v>
      </c>
      <c r="D50" s="79">
        <f>D43+D48</f>
        <v>-4613737</v>
      </c>
      <c r="E50" s="79">
        <f>D50-C50</f>
        <v>2589997</v>
      </c>
      <c r="F50" s="80">
        <f>IF(C50=0,0,E50/C50)</f>
        <v>-0.3595353465300079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46013180</v>
      </c>
      <c r="D14" s="113">
        <v>46762527</v>
      </c>
      <c r="E14" s="113">
        <f t="shared" ref="E14:E25" si="0">D14-C14</f>
        <v>749347</v>
      </c>
      <c r="F14" s="114">
        <f t="shared" ref="F14:F25" si="1">IF(C14=0,0,E14/C14)</f>
        <v>1.6285486028133678E-2</v>
      </c>
    </row>
    <row r="15" spans="1:6" x14ac:dyDescent="0.2">
      <c r="A15" s="115">
        <v>2</v>
      </c>
      <c r="B15" s="116" t="s">
        <v>114</v>
      </c>
      <c r="C15" s="113">
        <v>17563560</v>
      </c>
      <c r="D15" s="113">
        <v>21390161</v>
      </c>
      <c r="E15" s="113">
        <f t="shared" si="0"/>
        <v>3826601</v>
      </c>
      <c r="F15" s="114">
        <f t="shared" si="1"/>
        <v>0.21787160461774263</v>
      </c>
    </row>
    <row r="16" spans="1:6" x14ac:dyDescent="0.2">
      <c r="A16" s="115">
        <v>3</v>
      </c>
      <c r="B16" s="116" t="s">
        <v>115</v>
      </c>
      <c r="C16" s="113">
        <v>8491118</v>
      </c>
      <c r="D16" s="113">
        <v>7962245</v>
      </c>
      <c r="E16" s="113">
        <f t="shared" si="0"/>
        <v>-528873</v>
      </c>
      <c r="F16" s="114">
        <f t="shared" si="1"/>
        <v>-6.228543755957696E-2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119348</v>
      </c>
      <c r="D18" s="113">
        <v>0</v>
      </c>
      <c r="E18" s="113">
        <f t="shared" si="0"/>
        <v>-119348</v>
      </c>
      <c r="F18" s="114">
        <f t="shared" si="1"/>
        <v>-1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24892987</v>
      </c>
      <c r="D20" s="113">
        <v>28264387</v>
      </c>
      <c r="E20" s="113">
        <f t="shared" si="0"/>
        <v>3371400</v>
      </c>
      <c r="F20" s="114">
        <f t="shared" si="1"/>
        <v>0.13543573537398304</v>
      </c>
    </row>
    <row r="21" spans="1:6" x14ac:dyDescent="0.2">
      <c r="A21" s="115">
        <v>8</v>
      </c>
      <c r="B21" s="116" t="s">
        <v>120</v>
      </c>
      <c r="C21" s="113">
        <v>521777</v>
      </c>
      <c r="D21" s="113">
        <v>524200</v>
      </c>
      <c r="E21" s="113">
        <f t="shared" si="0"/>
        <v>2423</v>
      </c>
      <c r="F21" s="114">
        <f t="shared" si="1"/>
        <v>4.643746274749558E-3</v>
      </c>
    </row>
    <row r="22" spans="1:6" x14ac:dyDescent="0.2">
      <c r="A22" s="115">
        <v>9</v>
      </c>
      <c r="B22" s="116" t="s">
        <v>121</v>
      </c>
      <c r="C22" s="113">
        <v>1574728</v>
      </c>
      <c r="D22" s="113">
        <v>758177</v>
      </c>
      <c r="E22" s="113">
        <f t="shared" si="0"/>
        <v>-816551</v>
      </c>
      <c r="F22" s="114">
        <f t="shared" si="1"/>
        <v>-0.51853462947251838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72804</v>
      </c>
      <c r="D24" s="113">
        <v>138845</v>
      </c>
      <c r="E24" s="113">
        <f t="shared" si="0"/>
        <v>66041</v>
      </c>
      <c r="F24" s="114">
        <f t="shared" si="1"/>
        <v>0.90710675237624305</v>
      </c>
    </row>
    <row r="25" spans="1:6" ht="15.75" x14ac:dyDescent="0.25">
      <c r="A25" s="117"/>
      <c r="B25" s="118" t="s">
        <v>124</v>
      </c>
      <c r="C25" s="119">
        <f>SUM(C14:C24)</f>
        <v>99249502</v>
      </c>
      <c r="D25" s="119">
        <f>SUM(D14:D24)</f>
        <v>105800542</v>
      </c>
      <c r="E25" s="119">
        <f t="shared" si="0"/>
        <v>6551040</v>
      </c>
      <c r="F25" s="120">
        <f t="shared" si="1"/>
        <v>6.6005771998735072E-2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23774337</v>
      </c>
      <c r="D27" s="113">
        <v>23519730</v>
      </c>
      <c r="E27" s="113">
        <f t="shared" ref="E27:E38" si="2">D27-C27</f>
        <v>-254607</v>
      </c>
      <c r="F27" s="114">
        <f t="shared" ref="F27:F38" si="3">IF(C27=0,0,E27/C27)</f>
        <v>-1.0709320726798817E-2</v>
      </c>
    </row>
    <row r="28" spans="1:6" x14ac:dyDescent="0.2">
      <c r="A28" s="115">
        <v>2</v>
      </c>
      <c r="B28" s="116" t="s">
        <v>114</v>
      </c>
      <c r="C28" s="113">
        <v>10956407</v>
      </c>
      <c r="D28" s="113">
        <v>11404805</v>
      </c>
      <c r="E28" s="113">
        <f t="shared" si="2"/>
        <v>448398</v>
      </c>
      <c r="F28" s="114">
        <f t="shared" si="3"/>
        <v>4.0925642868140988E-2</v>
      </c>
    </row>
    <row r="29" spans="1:6" x14ac:dyDescent="0.2">
      <c r="A29" s="115">
        <v>3</v>
      </c>
      <c r="B29" s="116" t="s">
        <v>115</v>
      </c>
      <c r="C29" s="113">
        <v>16965353</v>
      </c>
      <c r="D29" s="113">
        <v>18535877</v>
      </c>
      <c r="E29" s="113">
        <f t="shared" si="2"/>
        <v>1570524</v>
      </c>
      <c r="F29" s="114">
        <f t="shared" si="3"/>
        <v>9.2572432769303409E-2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180436</v>
      </c>
      <c r="D31" s="113">
        <v>139543</v>
      </c>
      <c r="E31" s="113">
        <f t="shared" si="2"/>
        <v>-40893</v>
      </c>
      <c r="F31" s="114">
        <f t="shared" si="3"/>
        <v>-0.22663437451506352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41749036</v>
      </c>
      <c r="D33" s="113">
        <v>36789159</v>
      </c>
      <c r="E33" s="113">
        <f t="shared" si="2"/>
        <v>-4959877</v>
      </c>
      <c r="F33" s="114">
        <f t="shared" si="3"/>
        <v>-0.11880219222307313</v>
      </c>
    </row>
    <row r="34" spans="1:6" x14ac:dyDescent="0.2">
      <c r="A34" s="115">
        <v>8</v>
      </c>
      <c r="B34" s="116" t="s">
        <v>120</v>
      </c>
      <c r="C34" s="113">
        <v>1220144</v>
      </c>
      <c r="D34" s="113">
        <v>978472</v>
      </c>
      <c r="E34" s="113">
        <f t="shared" si="2"/>
        <v>-241672</v>
      </c>
      <c r="F34" s="114">
        <f t="shared" si="3"/>
        <v>-0.19806842471052596</v>
      </c>
    </row>
    <row r="35" spans="1:6" x14ac:dyDescent="0.2">
      <c r="A35" s="115">
        <v>9</v>
      </c>
      <c r="B35" s="116" t="s">
        <v>121</v>
      </c>
      <c r="C35" s="113">
        <v>3025507</v>
      </c>
      <c r="D35" s="113">
        <v>3899766</v>
      </c>
      <c r="E35" s="113">
        <f t="shared" si="2"/>
        <v>874259</v>
      </c>
      <c r="F35" s="114">
        <f t="shared" si="3"/>
        <v>0.28896280854745998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183557</v>
      </c>
      <c r="D37" s="113">
        <v>177944</v>
      </c>
      <c r="E37" s="113">
        <f t="shared" si="2"/>
        <v>-5613</v>
      </c>
      <c r="F37" s="114">
        <f t="shared" si="3"/>
        <v>-3.0579057186595988E-2</v>
      </c>
    </row>
    <row r="38" spans="1:6" ht="15.75" x14ac:dyDescent="0.25">
      <c r="A38" s="117"/>
      <c r="B38" s="118" t="s">
        <v>126</v>
      </c>
      <c r="C38" s="119">
        <f>SUM(C27:C37)</f>
        <v>98054777</v>
      </c>
      <c r="D38" s="119">
        <f>SUM(D27:D37)</f>
        <v>95445296</v>
      </c>
      <c r="E38" s="119">
        <f t="shared" si="2"/>
        <v>-2609481</v>
      </c>
      <c r="F38" s="120">
        <f t="shared" si="3"/>
        <v>-2.6612482123130013E-2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69787517</v>
      </c>
      <c r="D41" s="119">
        <f t="shared" si="4"/>
        <v>70282257</v>
      </c>
      <c r="E41" s="123">
        <f t="shared" ref="E41:E52" si="5">D41-C41</f>
        <v>494740</v>
      </c>
      <c r="F41" s="124">
        <f t="shared" ref="F41:F52" si="6">IF(C41=0,0,E41/C41)</f>
        <v>7.0892334513061985E-3</v>
      </c>
    </row>
    <row r="42" spans="1:6" ht="15.75" x14ac:dyDescent="0.25">
      <c r="A42" s="121">
        <v>2</v>
      </c>
      <c r="B42" s="122" t="s">
        <v>114</v>
      </c>
      <c r="C42" s="119">
        <f t="shared" si="4"/>
        <v>28519967</v>
      </c>
      <c r="D42" s="119">
        <f t="shared" si="4"/>
        <v>32794966</v>
      </c>
      <c r="E42" s="123">
        <f t="shared" si="5"/>
        <v>4274999</v>
      </c>
      <c r="F42" s="124">
        <f t="shared" si="6"/>
        <v>0.14989494903693262</v>
      </c>
    </row>
    <row r="43" spans="1:6" ht="15.75" x14ac:dyDescent="0.25">
      <c r="A43" s="121">
        <v>3</v>
      </c>
      <c r="B43" s="122" t="s">
        <v>115</v>
      </c>
      <c r="C43" s="119">
        <f t="shared" si="4"/>
        <v>25456471</v>
      </c>
      <c r="D43" s="119">
        <f t="shared" si="4"/>
        <v>26498122</v>
      </c>
      <c r="E43" s="123">
        <f t="shared" si="5"/>
        <v>1041651</v>
      </c>
      <c r="F43" s="124">
        <f t="shared" si="6"/>
        <v>4.0918908202162034E-2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299784</v>
      </c>
      <c r="D45" s="119">
        <f t="shared" si="4"/>
        <v>139543</v>
      </c>
      <c r="E45" s="123">
        <f t="shared" si="5"/>
        <v>-160241</v>
      </c>
      <c r="F45" s="124">
        <f t="shared" si="6"/>
        <v>-0.53452152216262372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66642023</v>
      </c>
      <c r="D47" s="119">
        <f t="shared" si="4"/>
        <v>65053546</v>
      </c>
      <c r="E47" s="123">
        <f t="shared" si="5"/>
        <v>-1588477</v>
      </c>
      <c r="F47" s="124">
        <f t="shared" si="6"/>
        <v>-2.3835966084042797E-2</v>
      </c>
    </row>
    <row r="48" spans="1:6" ht="15.75" x14ac:dyDescent="0.25">
      <c r="A48" s="121">
        <v>8</v>
      </c>
      <c r="B48" s="122" t="s">
        <v>120</v>
      </c>
      <c r="C48" s="119">
        <f t="shared" si="4"/>
        <v>1741921</v>
      </c>
      <c r="D48" s="119">
        <f t="shared" si="4"/>
        <v>1502672</v>
      </c>
      <c r="E48" s="123">
        <f t="shared" si="5"/>
        <v>-239249</v>
      </c>
      <c r="F48" s="124">
        <f t="shared" si="6"/>
        <v>-0.13734779016958865</v>
      </c>
    </row>
    <row r="49" spans="1:6" ht="15.75" x14ac:dyDescent="0.25">
      <c r="A49" s="121">
        <v>9</v>
      </c>
      <c r="B49" s="122" t="s">
        <v>121</v>
      </c>
      <c r="C49" s="119">
        <f t="shared" si="4"/>
        <v>4600235</v>
      </c>
      <c r="D49" s="119">
        <f t="shared" si="4"/>
        <v>4657943</v>
      </c>
      <c r="E49" s="123">
        <f t="shared" si="5"/>
        <v>57708</v>
      </c>
      <c r="F49" s="124">
        <f t="shared" si="6"/>
        <v>1.2544576527068725E-2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256361</v>
      </c>
      <c r="D51" s="119">
        <f t="shared" si="4"/>
        <v>316789</v>
      </c>
      <c r="E51" s="123">
        <f t="shared" si="5"/>
        <v>60428</v>
      </c>
      <c r="F51" s="124">
        <f t="shared" si="6"/>
        <v>0.23571448075175241</v>
      </c>
    </row>
    <row r="52" spans="1:6" ht="18.75" customHeight="1" thickBot="1" x14ac:dyDescent="0.3">
      <c r="A52" s="125"/>
      <c r="B52" s="126" t="s">
        <v>128</v>
      </c>
      <c r="C52" s="127">
        <f>SUM(C41:C51)</f>
        <v>197304279</v>
      </c>
      <c r="D52" s="128">
        <f>SUM(D41:D51)</f>
        <v>201245838</v>
      </c>
      <c r="E52" s="127">
        <f t="shared" si="5"/>
        <v>3941559</v>
      </c>
      <c r="F52" s="129">
        <f t="shared" si="6"/>
        <v>1.9977057872120452E-2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14387850</v>
      </c>
      <c r="D57" s="113">
        <v>13083835</v>
      </c>
      <c r="E57" s="113">
        <f t="shared" ref="E57:E68" si="7">D57-C57</f>
        <v>-1304015</v>
      </c>
      <c r="F57" s="114">
        <f t="shared" ref="F57:F68" si="8">IF(C57=0,0,E57/C57)</f>
        <v>-9.0633068874084732E-2</v>
      </c>
    </row>
    <row r="58" spans="1:6" x14ac:dyDescent="0.2">
      <c r="A58" s="115">
        <v>2</v>
      </c>
      <c r="B58" s="116" t="s">
        <v>114</v>
      </c>
      <c r="C58" s="113">
        <v>5724759</v>
      </c>
      <c r="D58" s="113">
        <v>5958792</v>
      </c>
      <c r="E58" s="113">
        <f t="shared" si="7"/>
        <v>234033</v>
      </c>
      <c r="F58" s="114">
        <f t="shared" si="8"/>
        <v>4.0880847560569797E-2</v>
      </c>
    </row>
    <row r="59" spans="1:6" x14ac:dyDescent="0.2">
      <c r="A59" s="115">
        <v>3</v>
      </c>
      <c r="B59" s="116" t="s">
        <v>115</v>
      </c>
      <c r="C59" s="113">
        <v>1668745</v>
      </c>
      <c r="D59" s="113">
        <v>1391159</v>
      </c>
      <c r="E59" s="113">
        <f t="shared" si="7"/>
        <v>-277586</v>
      </c>
      <c r="F59" s="114">
        <f t="shared" si="8"/>
        <v>-0.16634416882147962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33114</v>
      </c>
      <c r="D61" s="113">
        <v>0</v>
      </c>
      <c r="E61" s="113">
        <f t="shared" si="7"/>
        <v>-33114</v>
      </c>
      <c r="F61" s="114">
        <f t="shared" si="8"/>
        <v>-1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10324547</v>
      </c>
      <c r="D63" s="113">
        <v>11213003</v>
      </c>
      <c r="E63" s="113">
        <f t="shared" si="7"/>
        <v>888456</v>
      </c>
      <c r="F63" s="114">
        <f t="shared" si="8"/>
        <v>8.6052782751630655E-2</v>
      </c>
    </row>
    <row r="64" spans="1:6" x14ac:dyDescent="0.2">
      <c r="A64" s="115">
        <v>8</v>
      </c>
      <c r="B64" s="116" t="s">
        <v>120</v>
      </c>
      <c r="C64" s="113">
        <v>265443</v>
      </c>
      <c r="D64" s="113">
        <v>257527</v>
      </c>
      <c r="E64" s="113">
        <f t="shared" si="7"/>
        <v>-7916</v>
      </c>
      <c r="F64" s="114">
        <f t="shared" si="8"/>
        <v>-2.9821844991203383E-2</v>
      </c>
    </row>
    <row r="65" spans="1:6" x14ac:dyDescent="0.2">
      <c r="A65" s="115">
        <v>9</v>
      </c>
      <c r="B65" s="116" t="s">
        <v>121</v>
      </c>
      <c r="C65" s="113">
        <v>56740</v>
      </c>
      <c r="D65" s="113">
        <v>75818</v>
      </c>
      <c r="E65" s="113">
        <f t="shared" si="7"/>
        <v>19078</v>
      </c>
      <c r="F65" s="114">
        <f t="shared" si="8"/>
        <v>0.33623545999295029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18590</v>
      </c>
      <c r="D67" s="113">
        <v>36215</v>
      </c>
      <c r="E67" s="113">
        <f t="shared" si="7"/>
        <v>17625</v>
      </c>
      <c r="F67" s="114">
        <f t="shared" si="8"/>
        <v>0.94809037116729422</v>
      </c>
    </row>
    <row r="68" spans="1:6" ht="15.75" x14ac:dyDescent="0.25">
      <c r="A68" s="117"/>
      <c r="B68" s="118" t="s">
        <v>131</v>
      </c>
      <c r="C68" s="119">
        <f>SUM(C57:C67)</f>
        <v>32479788</v>
      </c>
      <c r="D68" s="119">
        <f>SUM(D57:D67)</f>
        <v>32016349</v>
      </c>
      <c r="E68" s="119">
        <f t="shared" si="7"/>
        <v>-463439</v>
      </c>
      <c r="F68" s="120">
        <f t="shared" si="8"/>
        <v>-1.4268535250291658E-2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5835248</v>
      </c>
      <c r="D70" s="113">
        <v>5318625</v>
      </c>
      <c r="E70" s="113">
        <f t="shared" ref="E70:E81" si="9">D70-C70</f>
        <v>-516623</v>
      </c>
      <c r="F70" s="114">
        <f t="shared" ref="F70:F81" si="10">IF(C70=0,0,E70/C70)</f>
        <v>-8.8534883178915447E-2</v>
      </c>
    </row>
    <row r="71" spans="1:6" x14ac:dyDescent="0.2">
      <c r="A71" s="115">
        <v>2</v>
      </c>
      <c r="B71" s="116" t="s">
        <v>114</v>
      </c>
      <c r="C71" s="113">
        <v>2614117</v>
      </c>
      <c r="D71" s="113">
        <v>2459276</v>
      </c>
      <c r="E71" s="113">
        <f t="shared" si="9"/>
        <v>-154841</v>
      </c>
      <c r="F71" s="114">
        <f t="shared" si="10"/>
        <v>-5.9232620422115766E-2</v>
      </c>
    </row>
    <row r="72" spans="1:6" x14ac:dyDescent="0.2">
      <c r="A72" s="115">
        <v>3</v>
      </c>
      <c r="B72" s="116" t="s">
        <v>115</v>
      </c>
      <c r="C72" s="113">
        <v>4731261</v>
      </c>
      <c r="D72" s="113">
        <v>5019976</v>
      </c>
      <c r="E72" s="113">
        <f t="shared" si="9"/>
        <v>288715</v>
      </c>
      <c r="F72" s="114">
        <f t="shared" si="10"/>
        <v>6.1022843592860337E-2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51084</v>
      </c>
      <c r="D74" s="113">
        <v>38199</v>
      </c>
      <c r="E74" s="113">
        <f t="shared" si="9"/>
        <v>-12885</v>
      </c>
      <c r="F74" s="114">
        <f t="shared" si="10"/>
        <v>-0.25223161851068826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18173357</v>
      </c>
      <c r="D76" s="113">
        <v>16246705</v>
      </c>
      <c r="E76" s="113">
        <f t="shared" si="9"/>
        <v>-1926652</v>
      </c>
      <c r="F76" s="114">
        <f t="shared" si="10"/>
        <v>-0.10601519576157559</v>
      </c>
    </row>
    <row r="77" spans="1:6" x14ac:dyDescent="0.2">
      <c r="A77" s="115">
        <v>8</v>
      </c>
      <c r="B77" s="116" t="s">
        <v>120</v>
      </c>
      <c r="C77" s="113">
        <v>889993</v>
      </c>
      <c r="D77" s="113">
        <v>643033</v>
      </c>
      <c r="E77" s="113">
        <f t="shared" si="9"/>
        <v>-246960</v>
      </c>
      <c r="F77" s="114">
        <f t="shared" si="10"/>
        <v>-0.27748532853629188</v>
      </c>
    </row>
    <row r="78" spans="1:6" x14ac:dyDescent="0.2">
      <c r="A78" s="115">
        <v>9</v>
      </c>
      <c r="B78" s="116" t="s">
        <v>121</v>
      </c>
      <c r="C78" s="113">
        <v>134197</v>
      </c>
      <c r="D78" s="113">
        <v>389977</v>
      </c>
      <c r="E78" s="113">
        <f t="shared" si="9"/>
        <v>255780</v>
      </c>
      <c r="F78" s="114">
        <f t="shared" si="10"/>
        <v>1.9060038599968703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34694</v>
      </c>
      <c r="D80" s="113">
        <v>36804</v>
      </c>
      <c r="E80" s="113">
        <f t="shared" si="9"/>
        <v>2110</v>
      </c>
      <c r="F80" s="114">
        <f t="shared" si="10"/>
        <v>6.0817432409062087E-2</v>
      </c>
    </row>
    <row r="81" spans="1:6" ht="15.75" x14ac:dyDescent="0.25">
      <c r="A81" s="117"/>
      <c r="B81" s="118" t="s">
        <v>133</v>
      </c>
      <c r="C81" s="119">
        <f>SUM(C70:C80)</f>
        <v>32463951</v>
      </c>
      <c r="D81" s="119">
        <f>SUM(D70:D80)</f>
        <v>30152595</v>
      </c>
      <c r="E81" s="119">
        <f t="shared" si="9"/>
        <v>-2311356</v>
      </c>
      <c r="F81" s="120">
        <f t="shared" si="10"/>
        <v>-7.1197618552344411E-2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20223098</v>
      </c>
      <c r="D84" s="119">
        <f t="shared" si="11"/>
        <v>18402460</v>
      </c>
      <c r="E84" s="119">
        <f t="shared" ref="E84:E95" si="12">D84-C84</f>
        <v>-1820638</v>
      </c>
      <c r="F84" s="120">
        <f t="shared" ref="F84:F95" si="13">IF(C84=0,0,E84/C84)</f>
        <v>-9.0027650560759787E-2</v>
      </c>
    </row>
    <row r="85" spans="1:6" ht="15.75" x14ac:dyDescent="0.25">
      <c r="A85" s="130">
        <v>2</v>
      </c>
      <c r="B85" s="122" t="s">
        <v>114</v>
      </c>
      <c r="C85" s="119">
        <f t="shared" si="11"/>
        <v>8338876</v>
      </c>
      <c r="D85" s="119">
        <f t="shared" si="11"/>
        <v>8418068</v>
      </c>
      <c r="E85" s="119">
        <f t="shared" si="12"/>
        <v>79192</v>
      </c>
      <c r="F85" s="120">
        <f t="shared" si="13"/>
        <v>9.4967235392395804E-3</v>
      </c>
    </row>
    <row r="86" spans="1:6" ht="15.75" x14ac:dyDescent="0.25">
      <c r="A86" s="130">
        <v>3</v>
      </c>
      <c r="B86" s="122" t="s">
        <v>115</v>
      </c>
      <c r="C86" s="119">
        <f t="shared" si="11"/>
        <v>6400006</v>
      </c>
      <c r="D86" s="119">
        <f t="shared" si="11"/>
        <v>6411135</v>
      </c>
      <c r="E86" s="119">
        <f t="shared" si="12"/>
        <v>11129</v>
      </c>
      <c r="F86" s="120">
        <f t="shared" si="13"/>
        <v>1.7389046197769189E-3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84198</v>
      </c>
      <c r="D88" s="119">
        <f t="shared" si="11"/>
        <v>38199</v>
      </c>
      <c r="E88" s="119">
        <f t="shared" si="12"/>
        <v>-45999</v>
      </c>
      <c r="F88" s="120">
        <f t="shared" si="13"/>
        <v>-0.54631939000926388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28497904</v>
      </c>
      <c r="D90" s="119">
        <f t="shared" si="11"/>
        <v>27459708</v>
      </c>
      <c r="E90" s="119">
        <f t="shared" si="12"/>
        <v>-1038196</v>
      </c>
      <c r="F90" s="120">
        <f t="shared" si="13"/>
        <v>-3.6430609072161939E-2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1155436</v>
      </c>
      <c r="D91" s="119">
        <f t="shared" si="11"/>
        <v>900560</v>
      </c>
      <c r="E91" s="119">
        <f t="shared" si="12"/>
        <v>-254876</v>
      </c>
      <c r="F91" s="120">
        <f t="shared" si="13"/>
        <v>-0.22058859166583003</v>
      </c>
    </row>
    <row r="92" spans="1:6" ht="15.75" x14ac:dyDescent="0.25">
      <c r="A92" s="130">
        <v>9</v>
      </c>
      <c r="B92" s="122" t="s">
        <v>121</v>
      </c>
      <c r="C92" s="119">
        <f t="shared" si="11"/>
        <v>190937</v>
      </c>
      <c r="D92" s="119">
        <f t="shared" si="11"/>
        <v>465795</v>
      </c>
      <c r="E92" s="119">
        <f t="shared" si="12"/>
        <v>274858</v>
      </c>
      <c r="F92" s="120">
        <f t="shared" si="13"/>
        <v>1.4395219365549894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53284</v>
      </c>
      <c r="D94" s="119">
        <f t="shared" si="11"/>
        <v>73019</v>
      </c>
      <c r="E94" s="119">
        <f t="shared" si="12"/>
        <v>19735</v>
      </c>
      <c r="F94" s="120">
        <f t="shared" si="13"/>
        <v>0.37037384580737182</v>
      </c>
    </row>
    <row r="95" spans="1:6" ht="18.75" customHeight="1" thickBot="1" x14ac:dyDescent="0.3">
      <c r="A95" s="131"/>
      <c r="B95" s="132" t="s">
        <v>134</v>
      </c>
      <c r="C95" s="128">
        <f>SUM(C84:C94)</f>
        <v>64943739</v>
      </c>
      <c r="D95" s="128">
        <f>SUM(D84:D94)</f>
        <v>62168944</v>
      </c>
      <c r="E95" s="128">
        <f t="shared" si="12"/>
        <v>-2774795</v>
      </c>
      <c r="F95" s="129">
        <f t="shared" si="13"/>
        <v>-4.2726135617168579E-2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1342</v>
      </c>
      <c r="D100" s="133">
        <v>1328</v>
      </c>
      <c r="E100" s="133">
        <f t="shared" ref="E100:E111" si="14">D100-C100</f>
        <v>-14</v>
      </c>
      <c r="F100" s="114">
        <f t="shared" ref="F100:F111" si="15">IF(C100=0,0,E100/C100)</f>
        <v>-1.0432190760059613E-2</v>
      </c>
    </row>
    <row r="101" spans="1:6" x14ac:dyDescent="0.2">
      <c r="A101" s="115">
        <v>2</v>
      </c>
      <c r="B101" s="116" t="s">
        <v>114</v>
      </c>
      <c r="C101" s="133">
        <v>525</v>
      </c>
      <c r="D101" s="133">
        <v>613</v>
      </c>
      <c r="E101" s="133">
        <f t="shared" si="14"/>
        <v>88</v>
      </c>
      <c r="F101" s="114">
        <f t="shared" si="15"/>
        <v>0.16761904761904761</v>
      </c>
    </row>
    <row r="102" spans="1:6" x14ac:dyDescent="0.2">
      <c r="A102" s="115">
        <v>3</v>
      </c>
      <c r="B102" s="116" t="s">
        <v>115</v>
      </c>
      <c r="C102" s="133">
        <v>333</v>
      </c>
      <c r="D102" s="133">
        <v>323</v>
      </c>
      <c r="E102" s="133">
        <f t="shared" si="14"/>
        <v>-10</v>
      </c>
      <c r="F102" s="114">
        <f t="shared" si="15"/>
        <v>-3.003003003003003E-2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</v>
      </c>
      <c r="D104" s="133">
        <v>0</v>
      </c>
      <c r="E104" s="133">
        <f t="shared" si="14"/>
        <v>-3</v>
      </c>
      <c r="F104" s="114">
        <f t="shared" si="15"/>
        <v>-1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850</v>
      </c>
      <c r="D106" s="133">
        <v>887</v>
      </c>
      <c r="E106" s="133">
        <f t="shared" si="14"/>
        <v>37</v>
      </c>
      <c r="F106" s="114">
        <f t="shared" si="15"/>
        <v>4.3529411764705879E-2</v>
      </c>
    </row>
    <row r="107" spans="1:6" x14ac:dyDescent="0.2">
      <c r="A107" s="115">
        <v>8</v>
      </c>
      <c r="B107" s="116" t="s">
        <v>120</v>
      </c>
      <c r="C107" s="133">
        <v>11</v>
      </c>
      <c r="D107" s="133">
        <v>12</v>
      </c>
      <c r="E107" s="133">
        <f t="shared" si="14"/>
        <v>1</v>
      </c>
      <c r="F107" s="114">
        <f t="shared" si="15"/>
        <v>9.0909090909090912E-2</v>
      </c>
    </row>
    <row r="108" spans="1:6" x14ac:dyDescent="0.2">
      <c r="A108" s="115">
        <v>9</v>
      </c>
      <c r="B108" s="116" t="s">
        <v>121</v>
      </c>
      <c r="C108" s="133">
        <v>55</v>
      </c>
      <c r="D108" s="133">
        <v>33</v>
      </c>
      <c r="E108" s="133">
        <f t="shared" si="14"/>
        <v>-22</v>
      </c>
      <c r="F108" s="114">
        <f t="shared" si="15"/>
        <v>-0.4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</v>
      </c>
      <c r="D110" s="133">
        <v>5</v>
      </c>
      <c r="E110" s="133">
        <f t="shared" si="14"/>
        <v>3</v>
      </c>
      <c r="F110" s="114">
        <f t="shared" si="15"/>
        <v>1.5</v>
      </c>
    </row>
    <row r="111" spans="1:6" ht="15.75" x14ac:dyDescent="0.25">
      <c r="A111" s="117"/>
      <c r="B111" s="118" t="s">
        <v>138</v>
      </c>
      <c r="C111" s="134">
        <f>SUM(C100:C110)</f>
        <v>3121</v>
      </c>
      <c r="D111" s="134">
        <f>SUM(D100:D110)</f>
        <v>3201</v>
      </c>
      <c r="E111" s="134">
        <f t="shared" si="14"/>
        <v>80</v>
      </c>
      <c r="F111" s="120">
        <f t="shared" si="15"/>
        <v>2.5632809996795899E-2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6035</v>
      </c>
      <c r="D113" s="133">
        <v>5511</v>
      </c>
      <c r="E113" s="133">
        <f t="shared" ref="E113:E124" si="16">D113-C113</f>
        <v>-524</v>
      </c>
      <c r="F113" s="114">
        <f t="shared" ref="F113:F124" si="17">IF(C113=0,0,E113/C113)</f>
        <v>-8.68268434134217E-2</v>
      </c>
    </row>
    <row r="114" spans="1:6" x14ac:dyDescent="0.2">
      <c r="A114" s="115">
        <v>2</v>
      </c>
      <c r="B114" s="116" t="s">
        <v>114</v>
      </c>
      <c r="C114" s="133">
        <v>2196</v>
      </c>
      <c r="D114" s="133">
        <v>2580</v>
      </c>
      <c r="E114" s="133">
        <f t="shared" si="16"/>
        <v>384</v>
      </c>
      <c r="F114" s="114">
        <f t="shared" si="17"/>
        <v>0.17486338797814208</v>
      </c>
    </row>
    <row r="115" spans="1:6" x14ac:dyDescent="0.2">
      <c r="A115" s="115">
        <v>3</v>
      </c>
      <c r="B115" s="116" t="s">
        <v>115</v>
      </c>
      <c r="C115" s="133">
        <v>1559</v>
      </c>
      <c r="D115" s="133">
        <v>1252</v>
      </c>
      <c r="E115" s="133">
        <f t="shared" si="16"/>
        <v>-307</v>
      </c>
      <c r="F115" s="114">
        <f t="shared" si="17"/>
        <v>-0.19692110327132778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6</v>
      </c>
      <c r="D117" s="133">
        <v>0</v>
      </c>
      <c r="E117" s="133">
        <f t="shared" si="16"/>
        <v>-6</v>
      </c>
      <c r="F117" s="114">
        <f t="shared" si="17"/>
        <v>-1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2792</v>
      </c>
      <c r="D119" s="133">
        <v>2593</v>
      </c>
      <c r="E119" s="133">
        <f t="shared" si="16"/>
        <v>-199</v>
      </c>
      <c r="F119" s="114">
        <f t="shared" si="17"/>
        <v>-7.1275071633237819E-2</v>
      </c>
    </row>
    <row r="120" spans="1:6" x14ac:dyDescent="0.2">
      <c r="A120" s="115">
        <v>8</v>
      </c>
      <c r="B120" s="116" t="s">
        <v>120</v>
      </c>
      <c r="C120" s="133">
        <v>32</v>
      </c>
      <c r="D120" s="133">
        <v>51</v>
      </c>
      <c r="E120" s="133">
        <f t="shared" si="16"/>
        <v>19</v>
      </c>
      <c r="F120" s="114">
        <f t="shared" si="17"/>
        <v>0.59375</v>
      </c>
    </row>
    <row r="121" spans="1:6" x14ac:dyDescent="0.2">
      <c r="A121" s="115">
        <v>9</v>
      </c>
      <c r="B121" s="116" t="s">
        <v>121</v>
      </c>
      <c r="C121" s="133">
        <v>244</v>
      </c>
      <c r="D121" s="133">
        <v>101</v>
      </c>
      <c r="E121" s="133">
        <f t="shared" si="16"/>
        <v>-143</v>
      </c>
      <c r="F121" s="114">
        <f t="shared" si="17"/>
        <v>-0.58606557377049184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16</v>
      </c>
      <c r="D123" s="133">
        <v>22</v>
      </c>
      <c r="E123" s="133">
        <f t="shared" si="16"/>
        <v>6</v>
      </c>
      <c r="F123" s="114">
        <f t="shared" si="17"/>
        <v>0.375</v>
      </c>
    </row>
    <row r="124" spans="1:6" ht="15.75" x14ac:dyDescent="0.25">
      <c r="A124" s="117"/>
      <c r="B124" s="118" t="s">
        <v>140</v>
      </c>
      <c r="C124" s="134">
        <f>SUM(C113:C123)</f>
        <v>12880</v>
      </c>
      <c r="D124" s="134">
        <f>SUM(D113:D123)</f>
        <v>12110</v>
      </c>
      <c r="E124" s="134">
        <f t="shared" si="16"/>
        <v>-770</v>
      </c>
      <c r="F124" s="120">
        <f t="shared" si="17"/>
        <v>-5.9782608695652176E-2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8599</v>
      </c>
      <c r="D126" s="133">
        <v>8271</v>
      </c>
      <c r="E126" s="133">
        <f t="shared" ref="E126:E137" si="18">D126-C126</f>
        <v>-328</v>
      </c>
      <c r="F126" s="114">
        <f t="shared" ref="F126:F137" si="19">IF(C126=0,0,E126/C126)</f>
        <v>-3.8143970229096408E-2</v>
      </c>
    </row>
    <row r="127" spans="1:6" x14ac:dyDescent="0.2">
      <c r="A127" s="115">
        <v>2</v>
      </c>
      <c r="B127" s="116" t="s">
        <v>114</v>
      </c>
      <c r="C127" s="133">
        <v>4330</v>
      </c>
      <c r="D127" s="133">
        <v>4680</v>
      </c>
      <c r="E127" s="133">
        <f t="shared" si="18"/>
        <v>350</v>
      </c>
      <c r="F127" s="114">
        <f t="shared" si="19"/>
        <v>8.0831408775981523E-2</v>
      </c>
    </row>
    <row r="128" spans="1:6" x14ac:dyDescent="0.2">
      <c r="A128" s="115">
        <v>3</v>
      </c>
      <c r="B128" s="116" t="s">
        <v>115</v>
      </c>
      <c r="C128" s="133">
        <v>10132</v>
      </c>
      <c r="D128" s="133">
        <v>10354</v>
      </c>
      <c r="E128" s="133">
        <f t="shared" si="18"/>
        <v>222</v>
      </c>
      <c r="F128" s="114">
        <f t="shared" si="19"/>
        <v>2.1910777733912357E-2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108</v>
      </c>
      <c r="D130" s="133">
        <v>99</v>
      </c>
      <c r="E130" s="133">
        <f t="shared" si="18"/>
        <v>-9</v>
      </c>
      <c r="F130" s="114">
        <f t="shared" si="19"/>
        <v>-8.3333333333333329E-2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25829</v>
      </c>
      <c r="D132" s="133">
        <v>23865</v>
      </c>
      <c r="E132" s="133">
        <f t="shared" si="18"/>
        <v>-1964</v>
      </c>
      <c r="F132" s="114">
        <f t="shared" si="19"/>
        <v>-7.6038561307057953E-2</v>
      </c>
    </row>
    <row r="133" spans="1:6" x14ac:dyDescent="0.2">
      <c r="A133" s="115">
        <v>8</v>
      </c>
      <c r="B133" s="116" t="s">
        <v>120</v>
      </c>
      <c r="C133" s="133">
        <v>941</v>
      </c>
      <c r="D133" s="133">
        <v>821</v>
      </c>
      <c r="E133" s="133">
        <f t="shared" si="18"/>
        <v>-120</v>
      </c>
      <c r="F133" s="114">
        <f t="shared" si="19"/>
        <v>-0.1275239107332625</v>
      </c>
    </row>
    <row r="134" spans="1:6" x14ac:dyDescent="0.2">
      <c r="A134" s="115">
        <v>9</v>
      </c>
      <c r="B134" s="116" t="s">
        <v>121</v>
      </c>
      <c r="C134" s="133">
        <v>2168</v>
      </c>
      <c r="D134" s="133">
        <v>1615</v>
      </c>
      <c r="E134" s="133">
        <f t="shared" si="18"/>
        <v>-553</v>
      </c>
      <c r="F134" s="114">
        <f t="shared" si="19"/>
        <v>-0.25507380073800739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112</v>
      </c>
      <c r="D136" s="133">
        <v>124</v>
      </c>
      <c r="E136" s="133">
        <f t="shared" si="18"/>
        <v>12</v>
      </c>
      <c r="F136" s="114">
        <f t="shared" si="19"/>
        <v>0.10714285714285714</v>
      </c>
    </row>
    <row r="137" spans="1:6" ht="15.75" x14ac:dyDescent="0.25">
      <c r="A137" s="117"/>
      <c r="B137" s="118" t="s">
        <v>142</v>
      </c>
      <c r="C137" s="134">
        <f>SUM(C126:C136)</f>
        <v>52219</v>
      </c>
      <c r="D137" s="134">
        <f>SUM(D126:D136)</f>
        <v>49829</v>
      </c>
      <c r="E137" s="134">
        <f t="shared" si="18"/>
        <v>-2390</v>
      </c>
      <c r="F137" s="120">
        <f t="shared" si="19"/>
        <v>-4.5768781478006088E-2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7736819</v>
      </c>
      <c r="D142" s="113">
        <v>7062198</v>
      </c>
      <c r="E142" s="113">
        <f t="shared" ref="E142:E153" si="20">D142-C142</f>
        <v>-674621</v>
      </c>
      <c r="F142" s="114">
        <f t="shared" ref="F142:F153" si="21">IF(C142=0,0,E142/C142)</f>
        <v>-8.7196171966799269E-2</v>
      </c>
    </row>
    <row r="143" spans="1:6" x14ac:dyDescent="0.2">
      <c r="A143" s="115">
        <v>2</v>
      </c>
      <c r="B143" s="116" t="s">
        <v>114</v>
      </c>
      <c r="C143" s="113">
        <v>3328587</v>
      </c>
      <c r="D143" s="113">
        <v>3208323</v>
      </c>
      <c r="E143" s="113">
        <f t="shared" si="20"/>
        <v>-120264</v>
      </c>
      <c r="F143" s="114">
        <f t="shared" si="21"/>
        <v>-3.6130646427448045E-2</v>
      </c>
    </row>
    <row r="144" spans="1:6" x14ac:dyDescent="0.2">
      <c r="A144" s="115">
        <v>3</v>
      </c>
      <c r="B144" s="116" t="s">
        <v>115</v>
      </c>
      <c r="C144" s="113">
        <v>10903073</v>
      </c>
      <c r="D144" s="113">
        <v>12246235</v>
      </c>
      <c r="E144" s="113">
        <f t="shared" si="20"/>
        <v>1343162</v>
      </c>
      <c r="F144" s="114">
        <f t="shared" si="21"/>
        <v>0.12319114069950737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104766</v>
      </c>
      <c r="D146" s="113">
        <v>70913</v>
      </c>
      <c r="E146" s="113">
        <f t="shared" si="20"/>
        <v>-33853</v>
      </c>
      <c r="F146" s="114">
        <f t="shared" si="21"/>
        <v>-0.32312964129584026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15161151</v>
      </c>
      <c r="D148" s="113">
        <v>13626571</v>
      </c>
      <c r="E148" s="113">
        <f t="shared" si="20"/>
        <v>-1534580</v>
      </c>
      <c r="F148" s="114">
        <f t="shared" si="21"/>
        <v>-0.10121790885137942</v>
      </c>
    </row>
    <row r="149" spans="1:6" x14ac:dyDescent="0.2">
      <c r="A149" s="115">
        <v>8</v>
      </c>
      <c r="B149" s="116" t="s">
        <v>120</v>
      </c>
      <c r="C149" s="113">
        <v>703461</v>
      </c>
      <c r="D149" s="113">
        <v>523664</v>
      </c>
      <c r="E149" s="113">
        <f t="shared" si="20"/>
        <v>-179797</v>
      </c>
      <c r="F149" s="114">
        <f t="shared" si="21"/>
        <v>-0.25558915135309562</v>
      </c>
    </row>
    <row r="150" spans="1:6" x14ac:dyDescent="0.2">
      <c r="A150" s="115">
        <v>9</v>
      </c>
      <c r="B150" s="116" t="s">
        <v>121</v>
      </c>
      <c r="C150" s="113">
        <v>2484621</v>
      </c>
      <c r="D150" s="113">
        <v>1547493</v>
      </c>
      <c r="E150" s="113">
        <f t="shared" si="20"/>
        <v>-937128</v>
      </c>
      <c r="F150" s="114">
        <f t="shared" si="21"/>
        <v>-0.37717140763118401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143018</v>
      </c>
      <c r="D152" s="113">
        <v>132888</v>
      </c>
      <c r="E152" s="113">
        <f t="shared" si="20"/>
        <v>-10130</v>
      </c>
      <c r="F152" s="114">
        <f t="shared" si="21"/>
        <v>-7.0830245143967893E-2</v>
      </c>
    </row>
    <row r="153" spans="1:6" ht="33.75" customHeight="1" x14ac:dyDescent="0.25">
      <c r="A153" s="117"/>
      <c r="B153" s="118" t="s">
        <v>146</v>
      </c>
      <c r="C153" s="119">
        <f>SUM(C142:C152)</f>
        <v>40565496</v>
      </c>
      <c r="D153" s="119">
        <f>SUM(D142:D152)</f>
        <v>38418285</v>
      </c>
      <c r="E153" s="119">
        <f t="shared" si="20"/>
        <v>-2147211</v>
      </c>
      <c r="F153" s="120">
        <f t="shared" si="21"/>
        <v>-5.2931954782458469E-2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2079526</v>
      </c>
      <c r="D155" s="113">
        <v>1391659</v>
      </c>
      <c r="E155" s="113">
        <f t="shared" ref="E155:E166" si="22">D155-C155</f>
        <v>-687867</v>
      </c>
      <c r="F155" s="114">
        <f t="shared" ref="F155:F166" si="23">IF(C155=0,0,E155/C155)</f>
        <v>-0.33078066828690766</v>
      </c>
    </row>
    <row r="156" spans="1:6" x14ac:dyDescent="0.2">
      <c r="A156" s="115">
        <v>2</v>
      </c>
      <c r="B156" s="116" t="s">
        <v>114</v>
      </c>
      <c r="C156" s="113">
        <v>1071143</v>
      </c>
      <c r="D156" s="113">
        <v>610855</v>
      </c>
      <c r="E156" s="113">
        <f t="shared" si="22"/>
        <v>-460288</v>
      </c>
      <c r="F156" s="114">
        <f t="shared" si="23"/>
        <v>-0.42971666714901746</v>
      </c>
    </row>
    <row r="157" spans="1:6" x14ac:dyDescent="0.2">
      <c r="A157" s="115">
        <v>3</v>
      </c>
      <c r="B157" s="116" t="s">
        <v>115</v>
      </c>
      <c r="C157" s="113">
        <v>2809423</v>
      </c>
      <c r="D157" s="113">
        <v>3016872</v>
      </c>
      <c r="E157" s="113">
        <f t="shared" si="22"/>
        <v>207449</v>
      </c>
      <c r="F157" s="114">
        <f t="shared" si="23"/>
        <v>7.3840429155737672E-2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27431</v>
      </c>
      <c r="D159" s="113">
        <v>14936</v>
      </c>
      <c r="E159" s="113">
        <f t="shared" si="22"/>
        <v>-12495</v>
      </c>
      <c r="F159" s="114">
        <f t="shared" si="23"/>
        <v>-0.455506543691444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7574417</v>
      </c>
      <c r="D161" s="113">
        <v>6109324</v>
      </c>
      <c r="E161" s="113">
        <f t="shared" si="22"/>
        <v>-1465093</v>
      </c>
      <c r="F161" s="114">
        <f t="shared" si="23"/>
        <v>-0.19342650398043837</v>
      </c>
    </row>
    <row r="162" spans="1:6" x14ac:dyDescent="0.2">
      <c r="A162" s="115">
        <v>8</v>
      </c>
      <c r="B162" s="116" t="s">
        <v>120</v>
      </c>
      <c r="C162" s="113">
        <v>509377</v>
      </c>
      <c r="D162" s="113">
        <v>308241</v>
      </c>
      <c r="E162" s="113">
        <f t="shared" si="22"/>
        <v>-201136</v>
      </c>
      <c r="F162" s="114">
        <f t="shared" si="23"/>
        <v>-0.39486667046215279</v>
      </c>
    </row>
    <row r="163" spans="1:6" x14ac:dyDescent="0.2">
      <c r="A163" s="115">
        <v>9</v>
      </c>
      <c r="B163" s="116" t="s">
        <v>121</v>
      </c>
      <c r="C163" s="113">
        <v>74310</v>
      </c>
      <c r="D163" s="113">
        <v>54419</v>
      </c>
      <c r="E163" s="113">
        <f t="shared" si="22"/>
        <v>-19891</v>
      </c>
      <c r="F163" s="114">
        <f t="shared" si="23"/>
        <v>-0.2676759520925851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51576</v>
      </c>
      <c r="D165" s="113">
        <v>21361</v>
      </c>
      <c r="E165" s="113">
        <f t="shared" si="22"/>
        <v>-30215</v>
      </c>
      <c r="F165" s="114">
        <f t="shared" si="23"/>
        <v>-0.58583449666511556</v>
      </c>
    </row>
    <row r="166" spans="1:6" ht="33.75" customHeight="1" x14ac:dyDescent="0.25">
      <c r="A166" s="117"/>
      <c r="B166" s="118" t="s">
        <v>148</v>
      </c>
      <c r="C166" s="119">
        <f>SUM(C155:C165)</f>
        <v>14197203</v>
      </c>
      <c r="D166" s="119">
        <f>SUM(D155:D165)</f>
        <v>11527667</v>
      </c>
      <c r="E166" s="119">
        <f t="shared" si="22"/>
        <v>-2669536</v>
      </c>
      <c r="F166" s="120">
        <f t="shared" si="23"/>
        <v>-0.18803253006947918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3197</v>
      </c>
      <c r="D168" s="133">
        <v>3003</v>
      </c>
      <c r="E168" s="133">
        <f t="shared" ref="E168:E179" si="24">D168-C168</f>
        <v>-194</v>
      </c>
      <c r="F168" s="114">
        <f t="shared" ref="F168:F179" si="25">IF(C168=0,0,E168/C168)</f>
        <v>-6.0681889271191745E-2</v>
      </c>
    </row>
    <row r="169" spans="1:6" x14ac:dyDescent="0.2">
      <c r="A169" s="115">
        <v>2</v>
      </c>
      <c r="B169" s="116" t="s">
        <v>114</v>
      </c>
      <c r="C169" s="133">
        <v>1302</v>
      </c>
      <c r="D169" s="133">
        <v>1274</v>
      </c>
      <c r="E169" s="133">
        <f t="shared" si="24"/>
        <v>-28</v>
      </c>
      <c r="F169" s="114">
        <f t="shared" si="25"/>
        <v>-2.1505376344086023E-2</v>
      </c>
    </row>
    <row r="170" spans="1:6" x14ac:dyDescent="0.2">
      <c r="A170" s="115">
        <v>3</v>
      </c>
      <c r="B170" s="116" t="s">
        <v>115</v>
      </c>
      <c r="C170" s="133">
        <v>5331</v>
      </c>
      <c r="D170" s="133">
        <v>5725</v>
      </c>
      <c r="E170" s="133">
        <f t="shared" si="24"/>
        <v>394</v>
      </c>
      <c r="F170" s="114">
        <f t="shared" si="25"/>
        <v>7.3907334458825732E-2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60</v>
      </c>
      <c r="D172" s="133">
        <v>50</v>
      </c>
      <c r="E172" s="133">
        <f t="shared" si="24"/>
        <v>-10</v>
      </c>
      <c r="F172" s="114">
        <f t="shared" si="25"/>
        <v>-0.16666666666666666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7683</v>
      </c>
      <c r="D174" s="133">
        <v>7079</v>
      </c>
      <c r="E174" s="133">
        <f t="shared" si="24"/>
        <v>-604</v>
      </c>
      <c r="F174" s="114">
        <f t="shared" si="25"/>
        <v>-7.8615124300403488E-2</v>
      </c>
    </row>
    <row r="175" spans="1:6" x14ac:dyDescent="0.2">
      <c r="A175" s="115">
        <v>8</v>
      </c>
      <c r="B175" s="116" t="s">
        <v>120</v>
      </c>
      <c r="C175" s="133">
        <v>543</v>
      </c>
      <c r="D175" s="133">
        <v>455</v>
      </c>
      <c r="E175" s="133">
        <f t="shared" si="24"/>
        <v>-88</v>
      </c>
      <c r="F175" s="114">
        <f t="shared" si="25"/>
        <v>-0.16206261510128914</v>
      </c>
    </row>
    <row r="176" spans="1:6" x14ac:dyDescent="0.2">
      <c r="A176" s="115">
        <v>9</v>
      </c>
      <c r="B176" s="116" t="s">
        <v>121</v>
      </c>
      <c r="C176" s="133">
        <v>1526</v>
      </c>
      <c r="D176" s="133">
        <v>980</v>
      </c>
      <c r="E176" s="133">
        <f t="shared" si="24"/>
        <v>-546</v>
      </c>
      <c r="F176" s="114">
        <f t="shared" si="25"/>
        <v>-0.3577981651376147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93</v>
      </c>
      <c r="D178" s="133">
        <v>98</v>
      </c>
      <c r="E178" s="133">
        <f t="shared" si="24"/>
        <v>5</v>
      </c>
      <c r="F178" s="114">
        <f t="shared" si="25"/>
        <v>5.3763440860215055E-2</v>
      </c>
    </row>
    <row r="179" spans="1:6" ht="33.75" customHeight="1" x14ac:dyDescent="0.25">
      <c r="A179" s="117"/>
      <c r="B179" s="118" t="s">
        <v>150</v>
      </c>
      <c r="C179" s="134">
        <f>SUM(C168:C178)</f>
        <v>19735</v>
      </c>
      <c r="D179" s="134">
        <f>SUM(D168:D178)</f>
        <v>18664</v>
      </c>
      <c r="E179" s="134">
        <f t="shared" si="24"/>
        <v>-1071</v>
      </c>
      <c r="F179" s="120">
        <f t="shared" si="25"/>
        <v>-5.4269065112743854E-2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FILING&amp;RMILFORD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14893505</v>
      </c>
      <c r="D15" s="157">
        <v>14504923</v>
      </c>
      <c r="E15" s="157">
        <f>+D15-C15</f>
        <v>-388582</v>
      </c>
      <c r="F15" s="161">
        <f>IF(C15=0,0,E15/C15)</f>
        <v>-2.6090701953636837E-2</v>
      </c>
    </row>
    <row r="16" spans="1:6" ht="15" customHeight="1" x14ac:dyDescent="0.2">
      <c r="A16" s="147">
        <v>2</v>
      </c>
      <c r="B16" s="160" t="s">
        <v>157</v>
      </c>
      <c r="C16" s="157">
        <v>4236141</v>
      </c>
      <c r="D16" s="157">
        <v>3081841</v>
      </c>
      <c r="E16" s="157">
        <f>+D16-C16</f>
        <v>-1154300</v>
      </c>
      <c r="F16" s="161">
        <f>IF(C16=0,0,E16/C16)</f>
        <v>-0.27248856919540687</v>
      </c>
    </row>
    <row r="17" spans="1:6" ht="15" customHeight="1" x14ac:dyDescent="0.2">
      <c r="A17" s="147">
        <v>3</v>
      </c>
      <c r="B17" s="160" t="s">
        <v>158</v>
      </c>
      <c r="C17" s="157">
        <v>16557712</v>
      </c>
      <c r="D17" s="157">
        <v>14668666</v>
      </c>
      <c r="E17" s="157">
        <f>+D17-C17</f>
        <v>-1889046</v>
      </c>
      <c r="F17" s="161">
        <f>IF(C17=0,0,E17/C17)</f>
        <v>-0.11408858905143415</v>
      </c>
    </row>
    <row r="18" spans="1:6" ht="15.75" customHeight="1" x14ac:dyDescent="0.25">
      <c r="A18" s="147"/>
      <c r="B18" s="162" t="s">
        <v>159</v>
      </c>
      <c r="C18" s="158">
        <f>SUM(C15:C17)</f>
        <v>35687358</v>
      </c>
      <c r="D18" s="158">
        <f>SUM(D15:D17)</f>
        <v>32255430</v>
      </c>
      <c r="E18" s="158">
        <f>+D18-C18</f>
        <v>-3431928</v>
      </c>
      <c r="F18" s="159">
        <f>IF(C18=0,0,E18/C18)</f>
        <v>-9.6166491226388914E-2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4202695</v>
      </c>
      <c r="D21" s="157">
        <v>4784452</v>
      </c>
      <c r="E21" s="157">
        <f>+D21-C21</f>
        <v>581757</v>
      </c>
      <c r="F21" s="161">
        <f>IF(C21=0,0,E21/C21)</f>
        <v>0.13842474888137254</v>
      </c>
    </row>
    <row r="22" spans="1:6" ht="15" customHeight="1" x14ac:dyDescent="0.2">
      <c r="A22" s="147">
        <v>2</v>
      </c>
      <c r="B22" s="160" t="s">
        <v>162</v>
      </c>
      <c r="C22" s="157">
        <v>560359</v>
      </c>
      <c r="D22" s="157">
        <v>495240</v>
      </c>
      <c r="E22" s="157">
        <f>+D22-C22</f>
        <v>-65119</v>
      </c>
      <c r="F22" s="161">
        <f>IF(C22=0,0,E22/C22)</f>
        <v>-0.11620943002610826</v>
      </c>
    </row>
    <row r="23" spans="1:6" ht="15" customHeight="1" x14ac:dyDescent="0.2">
      <c r="A23" s="147">
        <v>3</v>
      </c>
      <c r="B23" s="160" t="s">
        <v>163</v>
      </c>
      <c r="C23" s="157">
        <v>4576268</v>
      </c>
      <c r="D23" s="157">
        <v>4842212</v>
      </c>
      <c r="E23" s="157">
        <f>+D23-C23</f>
        <v>265944</v>
      </c>
      <c r="F23" s="161">
        <f>IF(C23=0,0,E23/C23)</f>
        <v>5.8113729353263401E-2</v>
      </c>
    </row>
    <row r="24" spans="1:6" ht="15.75" customHeight="1" x14ac:dyDescent="0.25">
      <c r="A24" s="147"/>
      <c r="B24" s="162" t="s">
        <v>164</v>
      </c>
      <c r="C24" s="158">
        <f>SUM(C21:C23)</f>
        <v>9339322</v>
      </c>
      <c r="D24" s="158">
        <f>SUM(D21:D23)</f>
        <v>10121904</v>
      </c>
      <c r="E24" s="158">
        <f>+D24-C24</f>
        <v>782582</v>
      </c>
      <c r="F24" s="159">
        <f>IF(C24=0,0,E24/C24)</f>
        <v>8.3794305411035191E-2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74114</v>
      </c>
      <c r="D27" s="157">
        <v>25489</v>
      </c>
      <c r="E27" s="157">
        <f>+D27-C27</f>
        <v>-48625</v>
      </c>
      <c r="F27" s="161">
        <f>IF(C27=0,0,E27/C27)</f>
        <v>-0.65608387079364228</v>
      </c>
    </row>
    <row r="28" spans="1:6" ht="15" customHeight="1" x14ac:dyDescent="0.2">
      <c r="A28" s="147">
        <v>2</v>
      </c>
      <c r="B28" s="160" t="s">
        <v>167</v>
      </c>
      <c r="C28" s="157">
        <v>770256</v>
      </c>
      <c r="D28" s="157">
        <v>1108353</v>
      </c>
      <c r="E28" s="157">
        <f>+D28-C28</f>
        <v>338097</v>
      </c>
      <c r="F28" s="161">
        <f>IF(C28=0,0,E28/C28)</f>
        <v>0.43894107932946969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844370</v>
      </c>
      <c r="D30" s="158">
        <f>SUM(D27:D29)</f>
        <v>1133842</v>
      </c>
      <c r="E30" s="158">
        <f>+D30-C30</f>
        <v>289472</v>
      </c>
      <c r="F30" s="159">
        <f>IF(C30=0,0,E30/C30)</f>
        <v>0.34282601229318899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10406832</v>
      </c>
      <c r="D33" s="157">
        <v>9646973</v>
      </c>
      <c r="E33" s="157">
        <f>+D33-C33</f>
        <v>-759859</v>
      </c>
      <c r="F33" s="161">
        <f>IF(C33=0,0,E33/C33)</f>
        <v>-7.3015399883461174E-2</v>
      </c>
    </row>
    <row r="34" spans="1:6" ht="15" customHeight="1" x14ac:dyDescent="0.2">
      <c r="A34" s="147">
        <v>2</v>
      </c>
      <c r="B34" s="160" t="s">
        <v>173</v>
      </c>
      <c r="C34" s="157">
        <v>2021608</v>
      </c>
      <c r="D34" s="157">
        <v>2333235</v>
      </c>
      <c r="E34" s="157">
        <f>+D34-C34</f>
        <v>311627</v>
      </c>
      <c r="F34" s="161">
        <f>IF(C34=0,0,E34/C34)</f>
        <v>0.15414808409939018</v>
      </c>
    </row>
    <row r="35" spans="1:6" ht="15.75" customHeight="1" x14ac:dyDescent="0.25">
      <c r="A35" s="147"/>
      <c r="B35" s="162" t="s">
        <v>174</v>
      </c>
      <c r="C35" s="158">
        <f>SUM(C33:C34)</f>
        <v>12428440</v>
      </c>
      <c r="D35" s="158">
        <f>SUM(D33:D34)</f>
        <v>11980208</v>
      </c>
      <c r="E35" s="158">
        <f>+D35-C35</f>
        <v>-448232</v>
      </c>
      <c r="F35" s="159">
        <f>IF(C35=0,0,E35/C35)</f>
        <v>-3.6065025055437371E-2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1033891</v>
      </c>
      <c r="D38" s="157">
        <v>845041</v>
      </c>
      <c r="E38" s="157">
        <f>+D38-C38</f>
        <v>-188850</v>
      </c>
      <c r="F38" s="161">
        <f>IF(C38=0,0,E38/C38)</f>
        <v>-0.18265948731539397</v>
      </c>
    </row>
    <row r="39" spans="1:6" ht="15" customHeight="1" x14ac:dyDescent="0.2">
      <c r="A39" s="147">
        <v>2</v>
      </c>
      <c r="B39" s="160" t="s">
        <v>178</v>
      </c>
      <c r="C39" s="157">
        <v>1653658</v>
      </c>
      <c r="D39" s="157">
        <v>1617187</v>
      </c>
      <c r="E39" s="157">
        <f>+D39-C39</f>
        <v>-36471</v>
      </c>
      <c r="F39" s="161">
        <f>IF(C39=0,0,E39/C39)</f>
        <v>-2.2054741669680189E-2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2687549</v>
      </c>
      <c r="D41" s="158">
        <f>SUM(D38:D40)</f>
        <v>2462228</v>
      </c>
      <c r="E41" s="158">
        <f>+D41-C41</f>
        <v>-225321</v>
      </c>
      <c r="F41" s="159">
        <f>IF(C41=0,0,E41/C41)</f>
        <v>-8.3838843496434862E-2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26961</v>
      </c>
      <c r="D47" s="157">
        <v>85184</v>
      </c>
      <c r="E47" s="157">
        <f>+D47-C47</f>
        <v>58223</v>
      </c>
      <c r="F47" s="161">
        <f>IF(C47=0,0,E47/C47)</f>
        <v>2.1595267237862097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746227</v>
      </c>
      <c r="D50" s="157">
        <v>711640</v>
      </c>
      <c r="E50" s="157">
        <f>+D50-C50</f>
        <v>-34587</v>
      </c>
      <c r="F50" s="161">
        <f>IF(C50=0,0,E50/C50)</f>
        <v>-4.6349167210513693E-2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81301</v>
      </c>
      <c r="D53" s="157">
        <v>78982</v>
      </c>
      <c r="E53" s="157">
        <f t="shared" ref="E53:E59" si="0">+D53-C53</f>
        <v>-2319</v>
      </c>
      <c r="F53" s="161">
        <f t="shared" ref="F53:F59" si="1">IF(C53=0,0,E53/C53)</f>
        <v>-2.8523634395640891E-2</v>
      </c>
    </row>
    <row r="54" spans="1:6" ht="15" customHeight="1" x14ac:dyDescent="0.2">
      <c r="A54" s="147">
        <v>2</v>
      </c>
      <c r="B54" s="160" t="s">
        <v>189</v>
      </c>
      <c r="C54" s="157">
        <v>326461</v>
      </c>
      <c r="D54" s="157">
        <v>334214</v>
      </c>
      <c r="E54" s="157">
        <f t="shared" si="0"/>
        <v>7753</v>
      </c>
      <c r="F54" s="161">
        <f t="shared" si="1"/>
        <v>2.3748625410079612E-2</v>
      </c>
    </row>
    <row r="55" spans="1:6" ht="15" customHeight="1" x14ac:dyDescent="0.2">
      <c r="A55" s="147">
        <v>3</v>
      </c>
      <c r="B55" s="160" t="s">
        <v>190</v>
      </c>
      <c r="C55" s="157">
        <v>18680</v>
      </c>
      <c r="D55" s="157">
        <v>15288</v>
      </c>
      <c r="E55" s="157">
        <f t="shared" si="0"/>
        <v>-3392</v>
      </c>
      <c r="F55" s="161">
        <f t="shared" si="1"/>
        <v>-0.1815845824411135</v>
      </c>
    </row>
    <row r="56" spans="1:6" ht="15" customHeight="1" x14ac:dyDescent="0.2">
      <c r="A56" s="147">
        <v>4</v>
      </c>
      <c r="B56" s="160" t="s">
        <v>191</v>
      </c>
      <c r="C56" s="157">
        <v>985369</v>
      </c>
      <c r="D56" s="157">
        <v>937429</v>
      </c>
      <c r="E56" s="157">
        <f t="shared" si="0"/>
        <v>-47940</v>
      </c>
      <c r="F56" s="161">
        <f t="shared" si="1"/>
        <v>-4.8651824849371146E-2</v>
      </c>
    </row>
    <row r="57" spans="1:6" ht="15" customHeight="1" x14ac:dyDescent="0.2">
      <c r="A57" s="147">
        <v>5</v>
      </c>
      <c r="B57" s="160" t="s">
        <v>192</v>
      </c>
      <c r="C57" s="157">
        <v>84843</v>
      </c>
      <c r="D57" s="157">
        <v>80173</v>
      </c>
      <c r="E57" s="157">
        <f t="shared" si="0"/>
        <v>-4670</v>
      </c>
      <c r="F57" s="161">
        <f t="shared" si="1"/>
        <v>-5.5042843840976866E-2</v>
      </c>
    </row>
    <row r="58" spans="1:6" ht="15" customHeight="1" x14ac:dyDescent="0.2">
      <c r="A58" s="147">
        <v>6</v>
      </c>
      <c r="B58" s="160" t="s">
        <v>193</v>
      </c>
      <c r="C58" s="157">
        <v>52691</v>
      </c>
      <c r="D58" s="157">
        <v>54066</v>
      </c>
      <c r="E58" s="157">
        <f t="shared" si="0"/>
        <v>1375</v>
      </c>
      <c r="F58" s="161">
        <f t="shared" si="1"/>
        <v>2.6095538137442826E-2</v>
      </c>
    </row>
    <row r="59" spans="1:6" ht="15.75" customHeight="1" x14ac:dyDescent="0.25">
      <c r="A59" s="147"/>
      <c r="B59" s="162" t="s">
        <v>194</v>
      </c>
      <c r="C59" s="158">
        <f>SUM(C53:C58)</f>
        <v>1549345</v>
      </c>
      <c r="D59" s="158">
        <f>SUM(D53:D58)</f>
        <v>1500152</v>
      </c>
      <c r="E59" s="158">
        <f t="shared" si="0"/>
        <v>-49193</v>
      </c>
      <c r="F59" s="159">
        <f t="shared" si="1"/>
        <v>-3.1750836643872085E-2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232189</v>
      </c>
      <c r="D62" s="157">
        <v>153487</v>
      </c>
      <c r="E62" s="157">
        <f t="shared" ref="E62:E90" si="2">+D62-C62</f>
        <v>-78702</v>
      </c>
      <c r="F62" s="161">
        <f t="shared" ref="F62:F90" si="3">IF(C62=0,0,E62/C62)</f>
        <v>-0.3389566258522152</v>
      </c>
    </row>
    <row r="63" spans="1:6" ht="15" customHeight="1" x14ac:dyDescent="0.2">
      <c r="A63" s="147">
        <v>2</v>
      </c>
      <c r="B63" s="160" t="s">
        <v>198</v>
      </c>
      <c r="C63" s="157">
        <v>290258</v>
      </c>
      <c r="D63" s="157">
        <v>159130</v>
      </c>
      <c r="E63" s="157">
        <f t="shared" si="2"/>
        <v>-131128</v>
      </c>
      <c r="F63" s="161">
        <f t="shared" si="3"/>
        <v>-0.45176360341489297</v>
      </c>
    </row>
    <row r="64" spans="1:6" ht="15" customHeight="1" x14ac:dyDescent="0.2">
      <c r="A64" s="147">
        <v>3</v>
      </c>
      <c r="B64" s="160" t="s">
        <v>199</v>
      </c>
      <c r="C64" s="157">
        <v>33279</v>
      </c>
      <c r="D64" s="157">
        <v>63085</v>
      </c>
      <c r="E64" s="157">
        <f t="shared" si="2"/>
        <v>29806</v>
      </c>
      <c r="F64" s="161">
        <f t="shared" si="3"/>
        <v>0.89563989302563174</v>
      </c>
    </row>
    <row r="65" spans="1:6" ht="15" customHeight="1" x14ac:dyDescent="0.2">
      <c r="A65" s="147">
        <v>4</v>
      </c>
      <c r="B65" s="160" t="s">
        <v>200</v>
      </c>
      <c r="C65" s="157">
        <v>230726</v>
      </c>
      <c r="D65" s="157">
        <v>239839</v>
      </c>
      <c r="E65" s="157">
        <f t="shared" si="2"/>
        <v>9113</v>
      </c>
      <c r="F65" s="161">
        <f t="shared" si="3"/>
        <v>3.9497065783656804E-2</v>
      </c>
    </row>
    <row r="66" spans="1:6" ht="15" customHeight="1" x14ac:dyDescent="0.2">
      <c r="A66" s="147">
        <v>5</v>
      </c>
      <c r="B66" s="160" t="s">
        <v>201</v>
      </c>
      <c r="C66" s="157">
        <v>212590</v>
      </c>
      <c r="D66" s="157">
        <v>153191</v>
      </c>
      <c r="E66" s="157">
        <f t="shared" si="2"/>
        <v>-59399</v>
      </c>
      <c r="F66" s="161">
        <f t="shared" si="3"/>
        <v>-0.27940636906721861</v>
      </c>
    </row>
    <row r="67" spans="1:6" ht="15" customHeight="1" x14ac:dyDescent="0.2">
      <c r="A67" s="147">
        <v>6</v>
      </c>
      <c r="B67" s="160" t="s">
        <v>202</v>
      </c>
      <c r="C67" s="157">
        <v>142426</v>
      </c>
      <c r="D67" s="157">
        <v>147618</v>
      </c>
      <c r="E67" s="157">
        <f t="shared" si="2"/>
        <v>5192</v>
      </c>
      <c r="F67" s="161">
        <f t="shared" si="3"/>
        <v>3.6454018227009111E-2</v>
      </c>
    </row>
    <row r="68" spans="1:6" ht="15" customHeight="1" x14ac:dyDescent="0.2">
      <c r="A68" s="147">
        <v>7</v>
      </c>
      <c r="B68" s="160" t="s">
        <v>203</v>
      </c>
      <c r="C68" s="157">
        <v>119286</v>
      </c>
      <c r="D68" s="157">
        <v>95129</v>
      </c>
      <c r="E68" s="157">
        <f t="shared" si="2"/>
        <v>-24157</v>
      </c>
      <c r="F68" s="161">
        <f t="shared" si="3"/>
        <v>-0.20251328739332361</v>
      </c>
    </row>
    <row r="69" spans="1:6" ht="15" customHeight="1" x14ac:dyDescent="0.2">
      <c r="A69" s="147">
        <v>8</v>
      </c>
      <c r="B69" s="160" t="s">
        <v>204</v>
      </c>
      <c r="C69" s="157">
        <v>224540</v>
      </c>
      <c r="D69" s="157">
        <v>231026</v>
      </c>
      <c r="E69" s="157">
        <f t="shared" si="2"/>
        <v>6486</v>
      </c>
      <c r="F69" s="161">
        <f t="shared" si="3"/>
        <v>2.8885721920370536E-2</v>
      </c>
    </row>
    <row r="70" spans="1:6" ht="15" customHeight="1" x14ac:dyDescent="0.2">
      <c r="A70" s="147">
        <v>9</v>
      </c>
      <c r="B70" s="160" t="s">
        <v>205</v>
      </c>
      <c r="C70" s="157">
        <v>28825</v>
      </c>
      <c r="D70" s="157">
        <v>20709</v>
      </c>
      <c r="E70" s="157">
        <f t="shared" si="2"/>
        <v>-8116</v>
      </c>
      <c r="F70" s="161">
        <f t="shared" si="3"/>
        <v>-0.28156114483954903</v>
      </c>
    </row>
    <row r="71" spans="1:6" ht="15" customHeight="1" x14ac:dyDescent="0.2">
      <c r="A71" s="147">
        <v>10</v>
      </c>
      <c r="B71" s="160" t="s">
        <v>206</v>
      </c>
      <c r="C71" s="157">
        <v>29486</v>
      </c>
      <c r="D71" s="157">
        <v>5905</v>
      </c>
      <c r="E71" s="157">
        <f t="shared" si="2"/>
        <v>-23581</v>
      </c>
      <c r="F71" s="161">
        <f t="shared" si="3"/>
        <v>-0.79973546767957671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647825</v>
      </c>
      <c r="D73" s="157">
        <v>182895</v>
      </c>
      <c r="E73" s="157">
        <f t="shared" si="2"/>
        <v>-464930</v>
      </c>
      <c r="F73" s="161">
        <f t="shared" si="3"/>
        <v>-0.71767838536641837</v>
      </c>
    </row>
    <row r="74" spans="1:6" ht="15" customHeight="1" x14ac:dyDescent="0.2">
      <c r="A74" s="147">
        <v>13</v>
      </c>
      <c r="B74" s="160" t="s">
        <v>209</v>
      </c>
      <c r="C74" s="157">
        <v>210516</v>
      </c>
      <c r="D74" s="157">
        <v>206249</v>
      </c>
      <c r="E74" s="157">
        <f t="shared" si="2"/>
        <v>-4267</v>
      </c>
      <c r="F74" s="161">
        <f t="shared" si="3"/>
        <v>-2.0269243192916453E-2</v>
      </c>
    </row>
    <row r="75" spans="1:6" ht="15" customHeight="1" x14ac:dyDescent="0.2">
      <c r="A75" s="147">
        <v>14</v>
      </c>
      <c r="B75" s="160" t="s">
        <v>210</v>
      </c>
      <c r="C75" s="157">
        <v>29569</v>
      </c>
      <c r="D75" s="157">
        <v>32871</v>
      </c>
      <c r="E75" s="157">
        <f t="shared" si="2"/>
        <v>3302</v>
      </c>
      <c r="F75" s="161">
        <f t="shared" si="3"/>
        <v>0.11167100679765971</v>
      </c>
    </row>
    <row r="76" spans="1:6" ht="15" customHeight="1" x14ac:dyDescent="0.2">
      <c r="A76" s="147">
        <v>15</v>
      </c>
      <c r="B76" s="160" t="s">
        <v>211</v>
      </c>
      <c r="C76" s="157">
        <v>103779</v>
      </c>
      <c r="D76" s="157">
        <v>87513</v>
      </c>
      <c r="E76" s="157">
        <f t="shared" si="2"/>
        <v>-16266</v>
      </c>
      <c r="F76" s="161">
        <f t="shared" si="3"/>
        <v>-0.15673691209204174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681140</v>
      </c>
      <c r="D80" s="157">
        <v>618945</v>
      </c>
      <c r="E80" s="157">
        <f t="shared" si="2"/>
        <v>-62195</v>
      </c>
      <c r="F80" s="161">
        <f t="shared" si="3"/>
        <v>-9.1310156502334316E-2</v>
      </c>
    </row>
    <row r="81" spans="1:6" ht="15" customHeight="1" x14ac:dyDescent="0.2">
      <c r="A81" s="147">
        <v>20</v>
      </c>
      <c r="B81" s="160" t="s">
        <v>216</v>
      </c>
      <c r="C81" s="157">
        <v>643733</v>
      </c>
      <c r="D81" s="157">
        <v>739263</v>
      </c>
      <c r="E81" s="157">
        <f t="shared" si="2"/>
        <v>95530</v>
      </c>
      <c r="F81" s="161">
        <f t="shared" si="3"/>
        <v>0.14840003541841104</v>
      </c>
    </row>
    <row r="82" spans="1:6" ht="15" customHeight="1" x14ac:dyDescent="0.2">
      <c r="A82" s="147">
        <v>21</v>
      </c>
      <c r="B82" s="160" t="s">
        <v>217</v>
      </c>
      <c r="C82" s="157">
        <v>511346</v>
      </c>
      <c r="D82" s="157">
        <v>511364</v>
      </c>
      <c r="E82" s="157">
        <f t="shared" si="2"/>
        <v>18</v>
      </c>
      <c r="F82" s="161">
        <f t="shared" si="3"/>
        <v>3.5201214050760153E-5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257339</v>
      </c>
      <c r="D84" s="157">
        <v>246463</v>
      </c>
      <c r="E84" s="157">
        <f t="shared" si="2"/>
        <v>-10876</v>
      </c>
      <c r="F84" s="161">
        <f t="shared" si="3"/>
        <v>-4.2263318035742736E-2</v>
      </c>
    </row>
    <row r="85" spans="1:6" ht="15" customHeight="1" x14ac:dyDescent="0.2">
      <c r="A85" s="147">
        <v>24</v>
      </c>
      <c r="B85" s="160" t="s">
        <v>220</v>
      </c>
      <c r="C85" s="157">
        <v>770256</v>
      </c>
      <c r="D85" s="157">
        <v>1108353</v>
      </c>
      <c r="E85" s="157">
        <f t="shared" si="2"/>
        <v>338097</v>
      </c>
      <c r="F85" s="161">
        <f t="shared" si="3"/>
        <v>0.43894107932946969</v>
      </c>
    </row>
    <row r="86" spans="1:6" ht="15" customHeight="1" x14ac:dyDescent="0.2">
      <c r="A86" s="147">
        <v>25</v>
      </c>
      <c r="B86" s="160" t="s">
        <v>221</v>
      </c>
      <c r="C86" s="157">
        <v>36462</v>
      </c>
      <c r="D86" s="157">
        <v>67499</v>
      </c>
      <c r="E86" s="157">
        <f t="shared" si="2"/>
        <v>31037</v>
      </c>
      <c r="F86" s="161">
        <f t="shared" si="3"/>
        <v>0.85121496352366843</v>
      </c>
    </row>
    <row r="87" spans="1:6" ht="15" customHeight="1" x14ac:dyDescent="0.2">
      <c r="A87" s="147">
        <v>26</v>
      </c>
      <c r="B87" s="160" t="s">
        <v>222</v>
      </c>
      <c r="C87" s="157">
        <v>414749</v>
      </c>
      <c r="D87" s="157">
        <v>498323</v>
      </c>
      <c r="E87" s="157">
        <f t="shared" si="2"/>
        <v>83574</v>
      </c>
      <c r="F87" s="161">
        <f t="shared" si="3"/>
        <v>0.20150500664257176</v>
      </c>
    </row>
    <row r="88" spans="1:6" ht="15" customHeight="1" x14ac:dyDescent="0.2">
      <c r="A88" s="147">
        <v>27</v>
      </c>
      <c r="B88" s="160" t="s">
        <v>223</v>
      </c>
      <c r="C88" s="157">
        <v>506915</v>
      </c>
      <c r="D88" s="157">
        <v>831315</v>
      </c>
      <c r="E88" s="157">
        <f t="shared" si="2"/>
        <v>324400</v>
      </c>
      <c r="F88" s="161">
        <f t="shared" si="3"/>
        <v>0.63994949843662152</v>
      </c>
    </row>
    <row r="89" spans="1:6" ht="15" customHeight="1" x14ac:dyDescent="0.2">
      <c r="A89" s="147">
        <v>28</v>
      </c>
      <c r="B89" s="160" t="s">
        <v>224</v>
      </c>
      <c r="C89" s="157">
        <v>338532</v>
      </c>
      <c r="D89" s="157">
        <v>209163</v>
      </c>
      <c r="E89" s="157">
        <f t="shared" si="2"/>
        <v>-129369</v>
      </c>
      <c r="F89" s="161">
        <f t="shared" si="3"/>
        <v>-0.38214703484456419</v>
      </c>
    </row>
    <row r="90" spans="1:6" ht="15.75" customHeight="1" x14ac:dyDescent="0.25">
      <c r="A90" s="147"/>
      <c r="B90" s="162" t="s">
        <v>225</v>
      </c>
      <c r="C90" s="158">
        <f>SUM(C62:C89)</f>
        <v>6695766</v>
      </c>
      <c r="D90" s="158">
        <f>SUM(D62:D89)</f>
        <v>6609335</v>
      </c>
      <c r="E90" s="158">
        <f t="shared" si="2"/>
        <v>-86431</v>
      </c>
      <c r="F90" s="159">
        <f t="shared" si="3"/>
        <v>-1.2908306532814917E-2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2071260</v>
      </c>
      <c r="D93" s="157">
        <v>1806165</v>
      </c>
      <c r="E93" s="157">
        <f>+D93-C93</f>
        <v>-265095</v>
      </c>
      <c r="F93" s="161">
        <f>IF(C93=0,0,E93/C93)</f>
        <v>-0.12798731207091335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72076598</v>
      </c>
      <c r="D95" s="158">
        <f>+D93+D90+D59+D50+D47+D44+D41+D35+D30+D24+D18</f>
        <v>68666088</v>
      </c>
      <c r="E95" s="158">
        <f>+D95-C95</f>
        <v>-3410510</v>
      </c>
      <c r="F95" s="159">
        <f>IF(C95=0,0,E95/C95)</f>
        <v>-4.731785481884148E-2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2689660</v>
      </c>
      <c r="D103" s="157">
        <v>2057605</v>
      </c>
      <c r="E103" s="157">
        <f t="shared" ref="E103:E121" si="4">D103-C103</f>
        <v>-632055</v>
      </c>
      <c r="F103" s="161">
        <f t="shared" ref="F103:F121" si="5">IF(C103=0,0,E103/C103)</f>
        <v>-0.23499438590751248</v>
      </c>
    </row>
    <row r="104" spans="1:6" ht="15" customHeight="1" x14ac:dyDescent="0.2">
      <c r="A104" s="147">
        <v>2</v>
      </c>
      <c r="B104" s="169" t="s">
        <v>234</v>
      </c>
      <c r="C104" s="157">
        <v>746062</v>
      </c>
      <c r="D104" s="157">
        <v>711640</v>
      </c>
      <c r="E104" s="157">
        <f t="shared" si="4"/>
        <v>-34422</v>
      </c>
      <c r="F104" s="161">
        <f t="shared" si="5"/>
        <v>-4.6138256606019341E-2</v>
      </c>
    </row>
    <row r="105" spans="1:6" ht="15" customHeight="1" x14ac:dyDescent="0.2">
      <c r="A105" s="147">
        <v>3</v>
      </c>
      <c r="B105" s="169" t="s">
        <v>235</v>
      </c>
      <c r="C105" s="157">
        <v>1211626</v>
      </c>
      <c r="D105" s="157">
        <v>1131989</v>
      </c>
      <c r="E105" s="157">
        <f t="shared" si="4"/>
        <v>-79637</v>
      </c>
      <c r="F105" s="161">
        <f t="shared" si="5"/>
        <v>-6.5727377920249325E-2</v>
      </c>
    </row>
    <row r="106" spans="1:6" ht="15" customHeight="1" x14ac:dyDescent="0.2">
      <c r="A106" s="147">
        <v>4</v>
      </c>
      <c r="B106" s="169" t="s">
        <v>236</v>
      </c>
      <c r="C106" s="157">
        <v>631657</v>
      </c>
      <c r="D106" s="157">
        <v>638191</v>
      </c>
      <c r="E106" s="157">
        <f t="shared" si="4"/>
        <v>6534</v>
      </c>
      <c r="F106" s="161">
        <f t="shared" si="5"/>
        <v>1.0344221626610644E-2</v>
      </c>
    </row>
    <row r="107" spans="1:6" ht="15" customHeight="1" x14ac:dyDescent="0.2">
      <c r="A107" s="147">
        <v>5</v>
      </c>
      <c r="B107" s="169" t="s">
        <v>237</v>
      </c>
      <c r="C107" s="157">
        <v>2426865</v>
      </c>
      <c r="D107" s="157">
        <v>2318178</v>
      </c>
      <c r="E107" s="157">
        <f t="shared" si="4"/>
        <v>-108687</v>
      </c>
      <c r="F107" s="161">
        <f t="shared" si="5"/>
        <v>-4.4784938593617693E-2</v>
      </c>
    </row>
    <row r="108" spans="1:6" ht="15" customHeight="1" x14ac:dyDescent="0.2">
      <c r="A108" s="147">
        <v>6</v>
      </c>
      <c r="B108" s="169" t="s">
        <v>238</v>
      </c>
      <c r="C108" s="157">
        <v>444823</v>
      </c>
      <c r="D108" s="157">
        <v>436592</v>
      </c>
      <c r="E108" s="157">
        <f t="shared" si="4"/>
        <v>-8231</v>
      </c>
      <c r="F108" s="161">
        <f t="shared" si="5"/>
        <v>-1.8503989227175752E-2</v>
      </c>
    </row>
    <row r="109" spans="1:6" ht="15" customHeight="1" x14ac:dyDescent="0.2">
      <c r="A109" s="147">
        <v>7</v>
      </c>
      <c r="B109" s="169" t="s">
        <v>239</v>
      </c>
      <c r="C109" s="157">
        <v>379037</v>
      </c>
      <c r="D109" s="157">
        <v>367590</v>
      </c>
      <c r="E109" s="157">
        <f t="shared" si="4"/>
        <v>-11447</v>
      </c>
      <c r="F109" s="161">
        <f t="shared" si="5"/>
        <v>-3.0200217920677928E-2</v>
      </c>
    </row>
    <row r="110" spans="1:6" ht="15" customHeight="1" x14ac:dyDescent="0.2">
      <c r="A110" s="147">
        <v>8</v>
      </c>
      <c r="B110" s="169" t="s">
        <v>240</v>
      </c>
      <c r="C110" s="157">
        <v>152558</v>
      </c>
      <c r="D110" s="157">
        <v>107125</v>
      </c>
      <c r="E110" s="157">
        <f t="shared" si="4"/>
        <v>-45433</v>
      </c>
      <c r="F110" s="161">
        <f t="shared" si="5"/>
        <v>-0.29780804677565254</v>
      </c>
    </row>
    <row r="111" spans="1:6" ht="15" customHeight="1" x14ac:dyDescent="0.2">
      <c r="A111" s="147">
        <v>9</v>
      </c>
      <c r="B111" s="169" t="s">
        <v>241</v>
      </c>
      <c r="C111" s="157">
        <v>226432</v>
      </c>
      <c r="D111" s="157">
        <v>438190</v>
      </c>
      <c r="E111" s="157">
        <f t="shared" si="4"/>
        <v>211758</v>
      </c>
      <c r="F111" s="161">
        <f t="shared" si="5"/>
        <v>0.93519467213114749</v>
      </c>
    </row>
    <row r="112" spans="1:6" ht="15" customHeight="1" x14ac:dyDescent="0.2">
      <c r="A112" s="147">
        <v>10</v>
      </c>
      <c r="B112" s="169" t="s">
        <v>242</v>
      </c>
      <c r="C112" s="157">
        <v>1532506</v>
      </c>
      <c r="D112" s="157">
        <v>1462722</v>
      </c>
      <c r="E112" s="157">
        <f t="shared" si="4"/>
        <v>-69784</v>
      </c>
      <c r="F112" s="161">
        <f t="shared" si="5"/>
        <v>-4.5535873921537663E-2</v>
      </c>
    </row>
    <row r="113" spans="1:6" ht="15" customHeight="1" x14ac:dyDescent="0.2">
      <c r="A113" s="147">
        <v>11</v>
      </c>
      <c r="B113" s="169" t="s">
        <v>243</v>
      </c>
      <c r="C113" s="157">
        <v>1163361</v>
      </c>
      <c r="D113" s="157">
        <v>1152059</v>
      </c>
      <c r="E113" s="157">
        <f t="shared" si="4"/>
        <v>-11302</v>
      </c>
      <c r="F113" s="161">
        <f t="shared" si="5"/>
        <v>-9.7149552030711024E-3</v>
      </c>
    </row>
    <row r="114" spans="1:6" ht="15" customHeight="1" x14ac:dyDescent="0.2">
      <c r="A114" s="147">
        <v>12</v>
      </c>
      <c r="B114" s="169" t="s">
        <v>244</v>
      </c>
      <c r="C114" s="157">
        <v>46730</v>
      </c>
      <c r="D114" s="157">
        <v>95663</v>
      </c>
      <c r="E114" s="157">
        <f t="shared" si="4"/>
        <v>48933</v>
      </c>
      <c r="F114" s="161">
        <f t="shared" si="5"/>
        <v>1.0471431628504173</v>
      </c>
    </row>
    <row r="115" spans="1:6" ht="15" customHeight="1" x14ac:dyDescent="0.2">
      <c r="A115" s="147">
        <v>13</v>
      </c>
      <c r="B115" s="169" t="s">
        <v>245</v>
      </c>
      <c r="C115" s="157">
        <v>2904106</v>
      </c>
      <c r="D115" s="157">
        <v>2115570</v>
      </c>
      <c r="E115" s="157">
        <f t="shared" si="4"/>
        <v>-788536</v>
      </c>
      <c r="F115" s="161">
        <f t="shared" si="5"/>
        <v>-0.2715245242425724</v>
      </c>
    </row>
    <row r="116" spans="1:6" ht="15" customHeight="1" x14ac:dyDescent="0.2">
      <c r="A116" s="147">
        <v>14</v>
      </c>
      <c r="B116" s="169" t="s">
        <v>246</v>
      </c>
      <c r="C116" s="157">
        <v>233793</v>
      </c>
      <c r="D116" s="157">
        <v>236404</v>
      </c>
      <c r="E116" s="157">
        <f t="shared" si="4"/>
        <v>2611</v>
      </c>
      <c r="F116" s="161">
        <f t="shared" si="5"/>
        <v>1.1167999041887481E-2</v>
      </c>
    </row>
    <row r="117" spans="1:6" ht="15" customHeight="1" x14ac:dyDescent="0.2">
      <c r="A117" s="147">
        <v>15</v>
      </c>
      <c r="B117" s="169" t="s">
        <v>203</v>
      </c>
      <c r="C117" s="157">
        <v>737514</v>
      </c>
      <c r="D117" s="157">
        <v>742552</v>
      </c>
      <c r="E117" s="157">
        <f t="shared" si="4"/>
        <v>5038</v>
      </c>
      <c r="F117" s="161">
        <f t="shared" si="5"/>
        <v>6.8310567663800283E-3</v>
      </c>
    </row>
    <row r="118" spans="1:6" ht="15" customHeight="1" x14ac:dyDescent="0.2">
      <c r="A118" s="147">
        <v>16</v>
      </c>
      <c r="B118" s="169" t="s">
        <v>247</v>
      </c>
      <c r="C118" s="157">
        <v>382451</v>
      </c>
      <c r="D118" s="157">
        <v>364608</v>
      </c>
      <c r="E118" s="157">
        <f t="shared" si="4"/>
        <v>-17843</v>
      </c>
      <c r="F118" s="161">
        <f t="shared" si="5"/>
        <v>-4.6654342647816323E-2</v>
      </c>
    </row>
    <row r="119" spans="1:6" ht="15" customHeight="1" x14ac:dyDescent="0.2">
      <c r="A119" s="147">
        <v>17</v>
      </c>
      <c r="B119" s="169" t="s">
        <v>248</v>
      </c>
      <c r="C119" s="157">
        <v>2873691</v>
      </c>
      <c r="D119" s="157">
        <v>3122945</v>
      </c>
      <c r="E119" s="157">
        <f t="shared" si="4"/>
        <v>249254</v>
      </c>
      <c r="F119" s="161">
        <f t="shared" si="5"/>
        <v>8.6736534999761625E-2</v>
      </c>
    </row>
    <row r="120" spans="1:6" ht="15" customHeight="1" x14ac:dyDescent="0.2">
      <c r="A120" s="147">
        <v>18</v>
      </c>
      <c r="B120" s="169" t="s">
        <v>249</v>
      </c>
      <c r="C120" s="157">
        <v>4614832</v>
      </c>
      <c r="D120" s="157">
        <v>5281875</v>
      </c>
      <c r="E120" s="157">
        <f t="shared" si="4"/>
        <v>667043</v>
      </c>
      <c r="F120" s="161">
        <f t="shared" si="5"/>
        <v>0.144543289983254</v>
      </c>
    </row>
    <row r="121" spans="1:6" ht="15.75" customHeight="1" x14ac:dyDescent="0.25">
      <c r="A121" s="147"/>
      <c r="B121" s="165" t="s">
        <v>250</v>
      </c>
      <c r="C121" s="158">
        <f>SUM(C103:C120)</f>
        <v>23397704</v>
      </c>
      <c r="D121" s="158">
        <f>SUM(D103:D120)</f>
        <v>22781498</v>
      </c>
      <c r="E121" s="158">
        <f t="shared" si="4"/>
        <v>-616206</v>
      </c>
      <c r="F121" s="159">
        <f t="shared" si="5"/>
        <v>-2.63361738399631E-2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564504</v>
      </c>
      <c r="D124" s="157">
        <v>576006</v>
      </c>
      <c r="E124" s="157">
        <f t="shared" ref="E124:E130" si="6">D124-C124</f>
        <v>11502</v>
      </c>
      <c r="F124" s="161">
        <f t="shared" ref="F124:F130" si="7">IF(C124=0,0,E124/C124)</f>
        <v>2.0375409208792144E-2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1138875</v>
      </c>
      <c r="D126" s="157">
        <v>982774</v>
      </c>
      <c r="E126" s="157">
        <f t="shared" si="6"/>
        <v>-156101</v>
      </c>
      <c r="F126" s="161">
        <f t="shared" si="7"/>
        <v>-0.13706596421907585</v>
      </c>
    </row>
    <row r="127" spans="1:6" ht="15" customHeight="1" x14ac:dyDescent="0.2">
      <c r="A127" s="147">
        <v>4</v>
      </c>
      <c r="B127" s="169" t="s">
        <v>255</v>
      </c>
      <c r="C127" s="157">
        <v>824655</v>
      </c>
      <c r="D127" s="157">
        <v>734165</v>
      </c>
      <c r="E127" s="157">
        <f t="shared" si="6"/>
        <v>-90490</v>
      </c>
      <c r="F127" s="161">
        <f t="shared" si="7"/>
        <v>-0.10973073588349067</v>
      </c>
    </row>
    <row r="128" spans="1:6" ht="15" customHeight="1" x14ac:dyDescent="0.2">
      <c r="A128" s="147">
        <v>5</v>
      </c>
      <c r="B128" s="169" t="s">
        <v>256</v>
      </c>
      <c r="C128" s="157">
        <v>267911</v>
      </c>
      <c r="D128" s="157">
        <v>267756</v>
      </c>
      <c r="E128" s="157">
        <f t="shared" si="6"/>
        <v>-155</v>
      </c>
      <c r="F128" s="161">
        <f t="shared" si="7"/>
        <v>-5.7855033947840887E-4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2795945</v>
      </c>
      <c r="D130" s="158">
        <f>SUM(D124:D129)</f>
        <v>2560701</v>
      </c>
      <c r="E130" s="158">
        <f t="shared" si="6"/>
        <v>-235244</v>
      </c>
      <c r="F130" s="159">
        <f t="shared" si="7"/>
        <v>-8.4137563507150528E-2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2280979</v>
      </c>
      <c r="D133" s="157">
        <v>1994380</v>
      </c>
      <c r="E133" s="157">
        <f t="shared" ref="E133:E167" si="8">D133-C133</f>
        <v>-286599</v>
      </c>
      <c r="F133" s="161">
        <f t="shared" ref="F133:F167" si="9">IF(C133=0,0,E133/C133)</f>
        <v>-0.12564736457459713</v>
      </c>
    </row>
    <row r="134" spans="1:6" ht="15" customHeight="1" x14ac:dyDescent="0.2">
      <c r="A134" s="147">
        <v>2</v>
      </c>
      <c r="B134" s="169" t="s">
        <v>261</v>
      </c>
      <c r="C134" s="157">
        <v>471539</v>
      </c>
      <c r="D134" s="157">
        <v>446713</v>
      </c>
      <c r="E134" s="157">
        <f t="shared" si="8"/>
        <v>-24826</v>
      </c>
      <c r="F134" s="161">
        <f t="shared" si="9"/>
        <v>-5.2648879520039701E-2</v>
      </c>
    </row>
    <row r="135" spans="1:6" ht="15" customHeight="1" x14ac:dyDescent="0.2">
      <c r="A135" s="147">
        <v>3</v>
      </c>
      <c r="B135" s="169" t="s">
        <v>262</v>
      </c>
      <c r="C135" s="157">
        <v>109122</v>
      </c>
      <c r="D135" s="157">
        <v>105432</v>
      </c>
      <c r="E135" s="157">
        <f t="shared" si="8"/>
        <v>-3690</v>
      </c>
      <c r="F135" s="161">
        <f t="shared" si="9"/>
        <v>-3.3815362621652828E-2</v>
      </c>
    </row>
    <row r="136" spans="1:6" ht="15" customHeight="1" x14ac:dyDescent="0.2">
      <c r="A136" s="147">
        <v>4</v>
      </c>
      <c r="B136" s="169" t="s">
        <v>263</v>
      </c>
      <c r="C136" s="157">
        <v>190066</v>
      </c>
      <c r="D136" s="157">
        <v>117196</v>
      </c>
      <c r="E136" s="157">
        <f t="shared" si="8"/>
        <v>-72870</v>
      </c>
      <c r="F136" s="161">
        <f t="shared" si="9"/>
        <v>-0.3833931371207896</v>
      </c>
    </row>
    <row r="137" spans="1:6" ht="15" customHeight="1" x14ac:dyDescent="0.2">
      <c r="A137" s="147">
        <v>5</v>
      </c>
      <c r="B137" s="169" t="s">
        <v>264</v>
      </c>
      <c r="C137" s="157">
        <v>2745865</v>
      </c>
      <c r="D137" s="157">
        <v>2877345</v>
      </c>
      <c r="E137" s="157">
        <f t="shared" si="8"/>
        <v>131480</v>
      </c>
      <c r="F137" s="161">
        <f t="shared" si="9"/>
        <v>4.7882907571930887E-2</v>
      </c>
    </row>
    <row r="138" spans="1:6" ht="15" customHeight="1" x14ac:dyDescent="0.2">
      <c r="A138" s="147">
        <v>6</v>
      </c>
      <c r="B138" s="169" t="s">
        <v>265</v>
      </c>
      <c r="C138" s="157">
        <v>504576</v>
      </c>
      <c r="D138" s="157">
        <v>436449</v>
      </c>
      <c r="E138" s="157">
        <f t="shared" si="8"/>
        <v>-68127</v>
      </c>
      <c r="F138" s="161">
        <f t="shared" si="9"/>
        <v>-0.13501831240487061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626172</v>
      </c>
      <c r="D141" s="157">
        <v>529004</v>
      </c>
      <c r="E141" s="157">
        <f t="shared" si="8"/>
        <v>-97168</v>
      </c>
      <c r="F141" s="161">
        <f t="shared" si="9"/>
        <v>-0.15517781056961985</v>
      </c>
    </row>
    <row r="142" spans="1:6" ht="15" customHeight="1" x14ac:dyDescent="0.2">
      <c r="A142" s="147">
        <v>10</v>
      </c>
      <c r="B142" s="169" t="s">
        <v>269</v>
      </c>
      <c r="C142" s="157">
        <v>3987670</v>
      </c>
      <c r="D142" s="157">
        <v>3942960</v>
      </c>
      <c r="E142" s="157">
        <f t="shared" si="8"/>
        <v>-44710</v>
      </c>
      <c r="F142" s="161">
        <f t="shared" si="9"/>
        <v>-1.1212061178582982E-2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100219</v>
      </c>
      <c r="D145" s="157">
        <v>82770</v>
      </c>
      <c r="E145" s="157">
        <f t="shared" si="8"/>
        <v>-17449</v>
      </c>
      <c r="F145" s="161">
        <f t="shared" si="9"/>
        <v>-0.17410870194274539</v>
      </c>
    </row>
    <row r="146" spans="1:6" ht="15" customHeight="1" x14ac:dyDescent="0.2">
      <c r="A146" s="147">
        <v>14</v>
      </c>
      <c r="B146" s="169" t="s">
        <v>273</v>
      </c>
      <c r="C146" s="157">
        <v>6517</v>
      </c>
      <c r="D146" s="157">
        <v>8512</v>
      </c>
      <c r="E146" s="157">
        <f t="shared" si="8"/>
        <v>1995</v>
      </c>
      <c r="F146" s="161">
        <f t="shared" si="9"/>
        <v>0.30612244897959184</v>
      </c>
    </row>
    <row r="147" spans="1:6" ht="15" customHeight="1" x14ac:dyDescent="0.2">
      <c r="A147" s="147">
        <v>15</v>
      </c>
      <c r="B147" s="169" t="s">
        <v>274</v>
      </c>
      <c r="C147" s="157">
        <v>60512</v>
      </c>
      <c r="D147" s="157">
        <v>64330</v>
      </c>
      <c r="E147" s="157">
        <f t="shared" si="8"/>
        <v>3818</v>
      </c>
      <c r="F147" s="161">
        <f t="shared" si="9"/>
        <v>6.3094923320994187E-2</v>
      </c>
    </row>
    <row r="148" spans="1:6" ht="15" customHeight="1" x14ac:dyDescent="0.2">
      <c r="A148" s="147">
        <v>16</v>
      </c>
      <c r="B148" s="169" t="s">
        <v>275</v>
      </c>
      <c r="C148" s="157">
        <v>42851</v>
      </c>
      <c r="D148" s="157">
        <v>39853</v>
      </c>
      <c r="E148" s="157">
        <f t="shared" si="8"/>
        <v>-2998</v>
      </c>
      <c r="F148" s="161">
        <f t="shared" si="9"/>
        <v>-6.9963361415136163E-2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898779</v>
      </c>
      <c r="D150" s="157">
        <v>838569</v>
      </c>
      <c r="E150" s="157">
        <f t="shared" si="8"/>
        <v>-60210</v>
      </c>
      <c r="F150" s="161">
        <f t="shared" si="9"/>
        <v>-6.6990884299699932E-2</v>
      </c>
    </row>
    <row r="151" spans="1:6" ht="15" customHeight="1" x14ac:dyDescent="0.2">
      <c r="A151" s="147">
        <v>19</v>
      </c>
      <c r="B151" s="169" t="s">
        <v>278</v>
      </c>
      <c r="C151" s="157">
        <v>102314</v>
      </c>
      <c r="D151" s="157">
        <v>111177</v>
      </c>
      <c r="E151" s="157">
        <f t="shared" si="8"/>
        <v>8863</v>
      </c>
      <c r="F151" s="161">
        <f t="shared" si="9"/>
        <v>8.6625486248216269E-2</v>
      </c>
    </row>
    <row r="152" spans="1:6" ht="15" customHeight="1" x14ac:dyDescent="0.2">
      <c r="A152" s="147">
        <v>20</v>
      </c>
      <c r="B152" s="169" t="s">
        <v>279</v>
      </c>
      <c r="C152" s="157">
        <v>305523</v>
      </c>
      <c r="D152" s="157">
        <v>322972</v>
      </c>
      <c r="E152" s="157">
        <f t="shared" si="8"/>
        <v>17449</v>
      </c>
      <c r="F152" s="161">
        <f t="shared" si="9"/>
        <v>5.7111903195504105E-2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6266290</v>
      </c>
      <c r="D156" s="157">
        <v>5342183</v>
      </c>
      <c r="E156" s="157">
        <f t="shared" si="8"/>
        <v>-924107</v>
      </c>
      <c r="F156" s="161">
        <f t="shared" si="9"/>
        <v>-0.14747274703213545</v>
      </c>
    </row>
    <row r="157" spans="1:6" ht="15" customHeight="1" x14ac:dyDescent="0.2">
      <c r="A157" s="147">
        <v>25</v>
      </c>
      <c r="B157" s="169" t="s">
        <v>284</v>
      </c>
      <c r="C157" s="157">
        <v>405833</v>
      </c>
      <c r="D157" s="157">
        <v>393790</v>
      </c>
      <c r="E157" s="157">
        <f t="shared" si="8"/>
        <v>-12043</v>
      </c>
      <c r="F157" s="161">
        <f t="shared" si="9"/>
        <v>-2.9674767700014537E-2</v>
      </c>
    </row>
    <row r="158" spans="1:6" ht="15" customHeight="1" x14ac:dyDescent="0.2">
      <c r="A158" s="147">
        <v>26</v>
      </c>
      <c r="B158" s="169" t="s">
        <v>285</v>
      </c>
      <c r="C158" s="157">
        <v>72397</v>
      </c>
      <c r="D158" s="157">
        <v>60932</v>
      </c>
      <c r="E158" s="157">
        <f t="shared" si="8"/>
        <v>-11465</v>
      </c>
      <c r="F158" s="161">
        <f t="shared" si="9"/>
        <v>-0.15836291559042501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604769</v>
      </c>
      <c r="D160" s="157">
        <v>586026</v>
      </c>
      <c r="E160" s="157">
        <f t="shared" si="8"/>
        <v>-18743</v>
      </c>
      <c r="F160" s="161">
        <f t="shared" si="9"/>
        <v>-3.0991998597811727E-2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612444</v>
      </c>
      <c r="D164" s="157">
        <v>587094</v>
      </c>
      <c r="E164" s="157">
        <f t="shared" si="8"/>
        <v>-25350</v>
      </c>
      <c r="F164" s="161">
        <f t="shared" si="9"/>
        <v>-4.1391539471363911E-2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12998543</v>
      </c>
      <c r="D166" s="157">
        <v>13520066</v>
      </c>
      <c r="E166" s="157">
        <f t="shared" si="8"/>
        <v>521523</v>
      </c>
      <c r="F166" s="161">
        <f t="shared" si="9"/>
        <v>4.0121650557297078E-2</v>
      </c>
    </row>
    <row r="167" spans="1:6" ht="15.75" customHeight="1" x14ac:dyDescent="0.25">
      <c r="A167" s="147"/>
      <c r="B167" s="165" t="s">
        <v>294</v>
      </c>
      <c r="C167" s="158">
        <f>SUM(C133:C166)</f>
        <v>33392980</v>
      </c>
      <c r="D167" s="158">
        <f>SUM(D133:D166)</f>
        <v>32407753</v>
      </c>
      <c r="E167" s="158">
        <f t="shared" si="8"/>
        <v>-985227</v>
      </c>
      <c r="F167" s="159">
        <f t="shared" si="9"/>
        <v>-2.9504015514638108E-2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7820852</v>
      </c>
      <c r="D170" s="157">
        <v>7058489</v>
      </c>
      <c r="E170" s="157">
        <f t="shared" ref="E170:E183" si="10">D170-C170</f>
        <v>-762363</v>
      </c>
      <c r="F170" s="161">
        <f t="shared" ref="F170:F183" si="11">IF(C170=0,0,E170/C170)</f>
        <v>-9.7478254287384547E-2</v>
      </c>
    </row>
    <row r="171" spans="1:6" ht="15" customHeight="1" x14ac:dyDescent="0.2">
      <c r="A171" s="147">
        <v>2</v>
      </c>
      <c r="B171" s="169" t="s">
        <v>297</v>
      </c>
      <c r="C171" s="157">
        <v>2250929</v>
      </c>
      <c r="D171" s="157">
        <v>2184526</v>
      </c>
      <c r="E171" s="157">
        <f t="shared" si="10"/>
        <v>-66403</v>
      </c>
      <c r="F171" s="161">
        <f t="shared" si="11"/>
        <v>-2.9500264113172827E-2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866045</v>
      </c>
      <c r="D175" s="157">
        <v>595115</v>
      </c>
      <c r="E175" s="157">
        <f t="shared" si="10"/>
        <v>-270930</v>
      </c>
      <c r="F175" s="161">
        <f t="shared" si="11"/>
        <v>-0.31283593808635812</v>
      </c>
    </row>
    <row r="176" spans="1:6" ht="15" customHeight="1" x14ac:dyDescent="0.2">
      <c r="A176" s="147">
        <v>7</v>
      </c>
      <c r="B176" s="169" t="s">
        <v>302</v>
      </c>
      <c r="C176" s="157">
        <v>895508</v>
      </c>
      <c r="D176" s="157">
        <v>562540</v>
      </c>
      <c r="E176" s="157">
        <f t="shared" si="10"/>
        <v>-332968</v>
      </c>
      <c r="F176" s="161">
        <f t="shared" si="11"/>
        <v>-0.37182024057853197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656635</v>
      </c>
      <c r="D179" s="157">
        <v>515466</v>
      </c>
      <c r="E179" s="157">
        <f t="shared" si="10"/>
        <v>-141169</v>
      </c>
      <c r="F179" s="161">
        <f t="shared" si="11"/>
        <v>-0.2149885400565002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12489969</v>
      </c>
      <c r="D183" s="158">
        <f>SUM(D170:D182)</f>
        <v>10916136</v>
      </c>
      <c r="E183" s="158">
        <f t="shared" si="10"/>
        <v>-1573833</v>
      </c>
      <c r="F183" s="159">
        <f t="shared" si="11"/>
        <v>-0.12600775870620656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72076598</v>
      </c>
      <c r="D188" s="158">
        <f>+D186+D183+D167+D130+D121</f>
        <v>68666088</v>
      </c>
      <c r="E188" s="158">
        <f>D188-C188</f>
        <v>-3410510</v>
      </c>
      <c r="F188" s="159">
        <f>IF(C188=0,0,E188/C188)</f>
        <v>-4.731785481884148E-2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69903315</v>
      </c>
      <c r="D11" s="183">
        <v>63500794</v>
      </c>
      <c r="E11" s="76">
        <v>60372640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1449445</v>
      </c>
      <c r="D12" s="185">
        <v>1352459</v>
      </c>
      <c r="E12" s="185">
        <v>3567807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71352760</v>
      </c>
      <c r="D13" s="76">
        <f>+D11+D12</f>
        <v>64853253</v>
      </c>
      <c r="E13" s="76">
        <f>+E11+E12</f>
        <v>63940447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80117246</v>
      </c>
      <c r="D14" s="185">
        <v>72076598</v>
      </c>
      <c r="E14" s="185">
        <v>68666088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-8764486</v>
      </c>
      <c r="D15" s="76">
        <f>+D13-D14</f>
        <v>-7223345</v>
      </c>
      <c r="E15" s="76">
        <f>+E13-E14</f>
        <v>-4725641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-111532</v>
      </c>
      <c r="D16" s="185">
        <v>19611</v>
      </c>
      <c r="E16" s="185">
        <v>111904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-8876018</v>
      </c>
      <c r="D17" s="76">
        <f>D15+D16</f>
        <v>-7203734</v>
      </c>
      <c r="E17" s="76">
        <f>E15+E16</f>
        <v>-4613737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-0.12302547620318953</v>
      </c>
      <c r="D20" s="189">
        <f>IF(+D27=0,0,+D24/+D27)</f>
        <v>-0.11134617087354121</v>
      </c>
      <c r="E20" s="189">
        <f>IF(+E27=0,0,+E24/+E27)</f>
        <v>-7.3777791544294757E-2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-1.5655541479436597E-3</v>
      </c>
      <c r="D21" s="189">
        <f>IF(D27=0,0,+D26/D27)</f>
        <v>3.0229897049095908E-4</v>
      </c>
      <c r="E21" s="189">
        <f>IF(E27=0,0,+E26/E27)</f>
        <v>1.7470709232827379E-3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-0.1245910303511332</v>
      </c>
      <c r="D22" s="189">
        <f>IF(D27=0,0,+D28/D27)</f>
        <v>-0.11104387190305025</v>
      </c>
      <c r="E22" s="189">
        <f>IF(E27=0,0,+E28/E27)</f>
        <v>-7.2030720621012026E-2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-8764486</v>
      </c>
      <c r="D24" s="76">
        <f>+D15</f>
        <v>-7223345</v>
      </c>
      <c r="E24" s="76">
        <f>+E15</f>
        <v>-4725641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71352760</v>
      </c>
      <c r="D25" s="76">
        <f>+D13</f>
        <v>64853253</v>
      </c>
      <c r="E25" s="76">
        <f>+E13</f>
        <v>63940447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-111532</v>
      </c>
      <c r="D26" s="76">
        <f>+D16</f>
        <v>19611</v>
      </c>
      <c r="E26" s="76">
        <f>+E16</f>
        <v>111904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71241228</v>
      </c>
      <c r="D27" s="76">
        <f>+D25+D26</f>
        <v>64872864</v>
      </c>
      <c r="E27" s="76">
        <f>+E25+E26</f>
        <v>64052351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-8876018</v>
      </c>
      <c r="D28" s="76">
        <f>+D17</f>
        <v>-7203734</v>
      </c>
      <c r="E28" s="76">
        <f>+E17</f>
        <v>-4613737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7157824</v>
      </c>
      <c r="D31" s="76">
        <v>-2536448</v>
      </c>
      <c r="E31" s="76">
        <v>-22867574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8606097</v>
      </c>
      <c r="D32" s="76">
        <v>-1022209</v>
      </c>
      <c r="E32" s="76">
        <v>-21367134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1335634</v>
      </c>
      <c r="D33" s="76">
        <f>+D32-C32</f>
        <v>-9628306</v>
      </c>
      <c r="E33" s="76">
        <f>+E32-D32</f>
        <v>-20344925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1.1837</v>
      </c>
      <c r="D34" s="193">
        <f>IF(C32=0,0,+D33/C32)</f>
        <v>-1.1187773040438656</v>
      </c>
      <c r="E34" s="193">
        <f>IF(D32=0,0,+E33/D32)</f>
        <v>19.902901461442816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0.40800513839330671</v>
      </c>
      <c r="D38" s="195">
        <f>IF((D40+D41)=0,0,+D39/(D40+D41))</f>
        <v>0.36281980025263477</v>
      </c>
      <c r="E38" s="195">
        <f>IF((E40+E41)=0,0,+E39/(E40+E41))</f>
        <v>0.34007389409055827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80117246</v>
      </c>
      <c r="D39" s="76">
        <v>72076598</v>
      </c>
      <c r="E39" s="196">
        <v>68666088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194913881</v>
      </c>
      <c r="D40" s="76">
        <v>197304279</v>
      </c>
      <c r="E40" s="196">
        <v>201245838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1449445</v>
      </c>
      <c r="D41" s="76">
        <v>1352459</v>
      </c>
      <c r="E41" s="196">
        <v>669361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1.165540145941276</v>
      </c>
      <c r="D43" s="197">
        <f>IF(D38=0,0,IF((D46-D47)=0,0,((+D44-D45)/(D46-D47)/D38)))</f>
        <v>1.1951667225536593</v>
      </c>
      <c r="E43" s="197">
        <f>IF(E38=0,0,IF((E46-E47)=0,0,((+E44-E45)/(E46-E47)/E38)))</f>
        <v>1.252992295420809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34099176</v>
      </c>
      <c r="D44" s="76">
        <v>29844277</v>
      </c>
      <c r="E44" s="196">
        <v>28826063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77593</v>
      </c>
      <c r="D45" s="76">
        <v>190937</v>
      </c>
      <c r="E45" s="196">
        <v>465795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78413568</v>
      </c>
      <c r="D46" s="76">
        <v>72984179</v>
      </c>
      <c r="E46" s="196">
        <v>71214161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6871474</v>
      </c>
      <c r="D47" s="76">
        <v>4600235</v>
      </c>
      <c r="E47" s="76">
        <v>4657943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0.71851728084969346</v>
      </c>
      <c r="D49" s="198">
        <f>IF(D38=0,0,IF(D51=0,0,(D50/D51)/D38))</f>
        <v>0.80077528063329706</v>
      </c>
      <c r="E49" s="198">
        <f>IF(E38=0,0,IF(E51=0,0,(E50/E51)/E38))</f>
        <v>0.76512310900835878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28130272</v>
      </c>
      <c r="D50" s="199">
        <v>28561974</v>
      </c>
      <c r="E50" s="199">
        <v>26820528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95955767</v>
      </c>
      <c r="D51" s="199">
        <v>98307484</v>
      </c>
      <c r="E51" s="199">
        <v>103077223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0.6389794622334467</v>
      </c>
      <c r="D53" s="198">
        <f>IF(D38=0,0,IF(D55=0,0,(D54/D55)/D38))</f>
        <v>0.69293293451779847</v>
      </c>
      <c r="E53" s="198">
        <f>IF(E38=0,0,IF(E55=0,0,(E54/E55)/E38))</f>
        <v>0.71145351969428205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5190292</v>
      </c>
      <c r="D54" s="199">
        <v>6400006</v>
      </c>
      <c r="E54" s="199">
        <v>6411135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19908533</v>
      </c>
      <c r="D55" s="199">
        <v>25456471</v>
      </c>
      <c r="E55" s="199">
        <v>26498122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2896869.9390138257</v>
      </c>
      <c r="D57" s="88">
        <f>+D60*D38</f>
        <v>2245166.6572225303</v>
      </c>
      <c r="E57" s="88">
        <f>+E60*E38</f>
        <v>1292979.3093225835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643601</v>
      </c>
      <c r="D58" s="199">
        <v>579795</v>
      </c>
      <c r="E58" s="199">
        <v>245354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6456481</v>
      </c>
      <c r="D59" s="199">
        <v>5608309</v>
      </c>
      <c r="E59" s="199">
        <v>3556700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7100082</v>
      </c>
      <c r="D60" s="76">
        <v>6188104</v>
      </c>
      <c r="E60" s="201">
        <v>3802054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3.6157882149541506E-2</v>
      </c>
      <c r="D62" s="202">
        <f>IF(D63=0,0,+D57/D63)</f>
        <v>3.1149731251501774E-2</v>
      </c>
      <c r="E62" s="202">
        <f>IF(E63=0,0,+E57/E63)</f>
        <v>1.8829954450333381E-2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80117246</v>
      </c>
      <c r="D63" s="199">
        <v>72076598</v>
      </c>
      <c r="E63" s="199">
        <v>68666088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0.89368995808256524</v>
      </c>
      <c r="D67" s="203">
        <f>IF(D69=0,0,D68/D69)</f>
        <v>0.97556863217539969</v>
      </c>
      <c r="E67" s="203">
        <f>IF(E69=0,0,E68/E69)</f>
        <v>0.94961995000822896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14823966</v>
      </c>
      <c r="D68" s="204">
        <v>18171554</v>
      </c>
      <c r="E68" s="204">
        <v>15307734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16587370</v>
      </c>
      <c r="D69" s="204">
        <v>18626628</v>
      </c>
      <c r="E69" s="204">
        <v>16119853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8.5348441335720615</v>
      </c>
      <c r="D71" s="203">
        <f>IF((D77/365)=0,0,+D74/(D77/365))</f>
        <v>36.839635603018571</v>
      </c>
      <c r="E71" s="203">
        <f>IF((E77/365)=0,0,+E74/(E77/365))</f>
        <v>25.956012912238048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1665016</v>
      </c>
      <c r="D72" s="183">
        <v>6892694</v>
      </c>
      <c r="E72" s="183">
        <v>1171348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110612</v>
      </c>
      <c r="D73" s="206">
        <v>110778</v>
      </c>
      <c r="E73" s="206">
        <v>3536565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1775628</v>
      </c>
      <c r="D74" s="204">
        <f>+D72+D73</f>
        <v>7003472</v>
      </c>
      <c r="E74" s="204">
        <f>+E72+E73</f>
        <v>4707913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80117246</v>
      </c>
      <c r="D75" s="204">
        <f>+D14</f>
        <v>72076598</v>
      </c>
      <c r="E75" s="204">
        <f>+E14</f>
        <v>68666088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4180977</v>
      </c>
      <c r="D76" s="204">
        <v>2687549</v>
      </c>
      <c r="E76" s="204">
        <v>2462228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75936269</v>
      </c>
      <c r="D77" s="204">
        <f>+D75-D76</f>
        <v>69389049</v>
      </c>
      <c r="E77" s="204">
        <f>+E75-E76</f>
        <v>66203860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41.387830963381354</v>
      </c>
      <c r="D79" s="203">
        <f>IF((D84/365)=0,0,+D83/(D84/365))</f>
        <v>38.078203478841544</v>
      </c>
      <c r="E79" s="203">
        <f>IF((E84/365)=0,0,+E83/(E84/365))</f>
        <v>45.703722166199789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9618035</v>
      </c>
      <c r="D80" s="212">
        <v>8850797</v>
      </c>
      <c r="E80" s="212">
        <v>8480597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1691606</v>
      </c>
      <c r="D82" s="212">
        <v>2226150</v>
      </c>
      <c r="E82" s="212">
        <v>920996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7926429</v>
      </c>
      <c r="D83" s="212">
        <f>+D80+D81-D82</f>
        <v>6624647</v>
      </c>
      <c r="E83" s="212">
        <f>+E80+E81-E82</f>
        <v>7559601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69903315</v>
      </c>
      <c r="D84" s="204">
        <f>+D11</f>
        <v>63500794</v>
      </c>
      <c r="E84" s="204">
        <f>+E11</f>
        <v>60372640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79.729885728254573</v>
      </c>
      <c r="D86" s="203">
        <f>IF((D90/365)=0,0,+D87/(D90/365))</f>
        <v>97.979714637680075</v>
      </c>
      <c r="E86" s="203">
        <f>IF((E90/365)=0,0,+E87/(E90/365))</f>
        <v>88.87316154979483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16587370</v>
      </c>
      <c r="D87" s="76">
        <f>+D69</f>
        <v>18626628</v>
      </c>
      <c r="E87" s="76">
        <f>+E69</f>
        <v>16119853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80117246</v>
      </c>
      <c r="D88" s="76">
        <f t="shared" si="0"/>
        <v>72076598</v>
      </c>
      <c r="E88" s="76">
        <f t="shared" si="0"/>
        <v>68666088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4180977</v>
      </c>
      <c r="D89" s="201">
        <f t="shared" si="0"/>
        <v>2687549</v>
      </c>
      <c r="E89" s="201">
        <f t="shared" si="0"/>
        <v>2462228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75936269</v>
      </c>
      <c r="D90" s="76">
        <f>+D88-D89</f>
        <v>69389049</v>
      </c>
      <c r="E90" s="76">
        <f>+E88-E89</f>
        <v>66203860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17.789980913918029</v>
      </c>
      <c r="D94" s="214">
        <f>IF(D96=0,0,(D95/D96)*100)</f>
        <v>-2.1775970945290579</v>
      </c>
      <c r="E94" s="214">
        <f>IF(E96=0,0,(E95/E96)*100)</f>
        <v>-50.268343566246408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8606097</v>
      </c>
      <c r="D95" s="76">
        <f>+D32</f>
        <v>-1022209</v>
      </c>
      <c r="E95" s="76">
        <f>+E32</f>
        <v>-21367134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48376089</v>
      </c>
      <c r="D96" s="76">
        <v>46942063</v>
      </c>
      <c r="E96" s="76">
        <v>42506143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-28.304915125182596</v>
      </c>
      <c r="D98" s="214">
        <f>IF(D104=0,0,(D101/D104)*100)</f>
        <v>-18.338625166222513</v>
      </c>
      <c r="E98" s="214">
        <f>IF(E104=0,0,(E101/E104)*100)</f>
        <v>-8.9200750933266466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-8876018</v>
      </c>
      <c r="D99" s="76">
        <f>+D28</f>
        <v>-7203734</v>
      </c>
      <c r="E99" s="76">
        <f>+E28</f>
        <v>-4613737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4180977</v>
      </c>
      <c r="D100" s="201">
        <f>+D76</f>
        <v>2687549</v>
      </c>
      <c r="E100" s="201">
        <f>+E76</f>
        <v>2462228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-4695041</v>
      </c>
      <c r="D101" s="76">
        <f>+D99+D100</f>
        <v>-4516185</v>
      </c>
      <c r="E101" s="76">
        <f>+E99+E100</f>
        <v>-2151509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16587370</v>
      </c>
      <c r="D102" s="204">
        <f>+D69</f>
        <v>18626628</v>
      </c>
      <c r="E102" s="204">
        <f>+E69</f>
        <v>16119853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6000000</v>
      </c>
      <c r="E103" s="216">
        <v>8000000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16587370</v>
      </c>
      <c r="D104" s="204">
        <f>+D102+D103</f>
        <v>24626628</v>
      </c>
      <c r="E104" s="204">
        <f>+E102+E103</f>
        <v>24119853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120.53539411357367</v>
      </c>
      <c r="E106" s="214">
        <f>IF(E109=0,0,(E107/E109)*100)</f>
        <v>-59.8482816136952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6000000</v>
      </c>
      <c r="E107" s="204">
        <f>+E103</f>
        <v>8000000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8606097</v>
      </c>
      <c r="D108" s="204">
        <f>+D32</f>
        <v>-1022209</v>
      </c>
      <c r="E108" s="204">
        <f>+E32</f>
        <v>-21367134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8606097</v>
      </c>
      <c r="D109" s="204">
        <f>+D107+D108</f>
        <v>4977791</v>
      </c>
      <c r="E109" s="204">
        <f>+E107+E108</f>
        <v>-13367134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-4.8027317240078613</v>
      </c>
      <c r="D111" s="214">
        <f>IF((+D113+D115)=0,0,((+D112+D113+D114)/(+D113+D115)))</f>
        <v>-166.50189155107188</v>
      </c>
      <c r="E111" s="214">
        <f>IF((+E113+E115)=0,0,((+E112+E113+E114)/(+E113+E115)))</f>
        <v>-24.256911428068321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-8876018</v>
      </c>
      <c r="D112" s="76">
        <f>+D17</f>
        <v>-7203734</v>
      </c>
      <c r="E112" s="76">
        <f>+E17</f>
        <v>-4613737</v>
      </c>
    </row>
    <row r="113" spans="1:8" ht="24" customHeight="1" x14ac:dyDescent="0.2">
      <c r="A113" s="85">
        <v>17</v>
      </c>
      <c r="B113" s="75" t="s">
        <v>88</v>
      </c>
      <c r="C113" s="218">
        <v>34936</v>
      </c>
      <c r="D113" s="76">
        <v>26961</v>
      </c>
      <c r="E113" s="76">
        <v>85184</v>
      </c>
    </row>
    <row r="114" spans="1:8" ht="24" customHeight="1" x14ac:dyDescent="0.2">
      <c r="A114" s="85">
        <v>18</v>
      </c>
      <c r="B114" s="75" t="s">
        <v>374</v>
      </c>
      <c r="C114" s="218">
        <v>4180977</v>
      </c>
      <c r="D114" s="76">
        <v>2687549</v>
      </c>
      <c r="E114" s="76">
        <v>2462228</v>
      </c>
    </row>
    <row r="115" spans="1:8" ht="24" customHeight="1" x14ac:dyDescent="0.2">
      <c r="A115" s="85">
        <v>19</v>
      </c>
      <c r="B115" s="75" t="s">
        <v>104</v>
      </c>
      <c r="C115" s="218">
        <v>935367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6.7046972513840668</v>
      </c>
      <c r="D119" s="214">
        <f>IF(+D121=0,0,(+D120)/(+D121))</f>
        <v>11.428549209707432</v>
      </c>
      <c r="E119" s="214">
        <f>IF(+E121=0,0,(+E120)/(+E121))</f>
        <v>13.312548634813673</v>
      </c>
    </row>
    <row r="120" spans="1:8" ht="24" customHeight="1" x14ac:dyDescent="0.2">
      <c r="A120" s="85">
        <v>21</v>
      </c>
      <c r="B120" s="75" t="s">
        <v>378</v>
      </c>
      <c r="C120" s="218">
        <v>28032185</v>
      </c>
      <c r="D120" s="218">
        <v>30714786</v>
      </c>
      <c r="E120" s="218">
        <v>32778530</v>
      </c>
    </row>
    <row r="121" spans="1:8" ht="24" customHeight="1" x14ac:dyDescent="0.2">
      <c r="A121" s="85">
        <v>22</v>
      </c>
      <c r="B121" s="75" t="s">
        <v>374</v>
      </c>
      <c r="C121" s="218">
        <v>4180977</v>
      </c>
      <c r="D121" s="218">
        <v>2687549</v>
      </c>
      <c r="E121" s="218">
        <v>2462228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13603</v>
      </c>
      <c r="D124" s="218">
        <v>12880</v>
      </c>
      <c r="E124" s="218">
        <v>12110</v>
      </c>
    </row>
    <row r="125" spans="1:8" ht="24" customHeight="1" x14ac:dyDescent="0.2">
      <c r="A125" s="85">
        <v>2</v>
      </c>
      <c r="B125" s="75" t="s">
        <v>381</v>
      </c>
      <c r="C125" s="218">
        <v>3348</v>
      </c>
      <c r="D125" s="218">
        <v>3121</v>
      </c>
      <c r="E125" s="218">
        <v>3201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4.0630227001194745</v>
      </c>
      <c r="D126" s="219">
        <f>IF(D125=0,0,D124/D125)</f>
        <v>4.1268824094841401</v>
      </c>
      <c r="E126" s="219">
        <f>IF(E125=0,0,E124/E125)</f>
        <v>3.7831927522649171</v>
      </c>
    </row>
    <row r="127" spans="1:8" ht="24" customHeight="1" x14ac:dyDescent="0.2">
      <c r="A127" s="85">
        <v>4</v>
      </c>
      <c r="B127" s="75" t="s">
        <v>383</v>
      </c>
      <c r="C127" s="218">
        <v>46</v>
      </c>
      <c r="D127" s="218">
        <v>43</v>
      </c>
      <c r="E127" s="218">
        <v>41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0.81010000000000004</v>
      </c>
      <c r="D130" s="193">
        <v>0.8206</v>
      </c>
      <c r="E130" s="193">
        <v>0.80920000000000003</v>
      </c>
    </row>
    <row r="131" spans="1:7" ht="24" customHeight="1" x14ac:dyDescent="0.2">
      <c r="A131" s="85">
        <v>8</v>
      </c>
      <c r="B131" s="75" t="s">
        <v>387</v>
      </c>
      <c r="C131" s="193">
        <v>0.31580000000000003</v>
      </c>
      <c r="D131" s="193">
        <v>0.29899999999999999</v>
      </c>
      <c r="E131" s="193">
        <v>0.28110000000000002</v>
      </c>
    </row>
    <row r="132" spans="1:7" ht="24" customHeight="1" x14ac:dyDescent="0.2">
      <c r="A132" s="85">
        <v>9</v>
      </c>
      <c r="B132" s="75" t="s">
        <v>388</v>
      </c>
      <c r="C132" s="219">
        <v>498.6</v>
      </c>
      <c r="D132" s="219">
        <v>468</v>
      </c>
      <c r="E132" s="219">
        <v>444.2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0.36704463341941257</v>
      </c>
      <c r="D135" s="227">
        <f>IF(D149=0,0,D143/D149)</f>
        <v>0.34659128705465125</v>
      </c>
      <c r="E135" s="227">
        <f>IF(E149=0,0,E143/E149)</f>
        <v>0.33072096626415698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0.49229827299985884</v>
      </c>
      <c r="D136" s="227">
        <f>IF(D149=0,0,D144/D149)</f>
        <v>0.49825317777319972</v>
      </c>
      <c r="E136" s="227">
        <f>IF(E149=0,0,E144/E149)</f>
        <v>0.51219555159197871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0.10214014978235439</v>
      </c>
      <c r="D137" s="227">
        <f>IF(D149=0,0,D145/D149)</f>
        <v>0.12902138326153587</v>
      </c>
      <c r="E137" s="227">
        <f>IF(E149=0,0,E145/E149)</f>
        <v>0.13167040999873994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1.1804957082558938E-3</v>
      </c>
      <c r="D138" s="227">
        <f>IF(D149=0,0,D146/D149)</f>
        <v>1.2993179940106621E-3</v>
      </c>
      <c r="E138" s="227">
        <f>IF(E149=0,0,E146/E149)</f>
        <v>1.5741393866739247E-3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3.5253897591829286E-2</v>
      </c>
      <c r="D139" s="227">
        <f>IF(D149=0,0,D147/D149)</f>
        <v>2.3315434532466477E-2</v>
      </c>
      <c r="E139" s="227">
        <f>IF(E149=0,0,E147/E149)</f>
        <v>2.3145537052050736E-2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2.0825504982890366E-3</v>
      </c>
      <c r="D140" s="227">
        <f>IF(D149=0,0,D148/D149)</f>
        <v>1.5193993841360125E-3</v>
      </c>
      <c r="E140" s="227">
        <f>IF(E149=0,0,E148/E149)</f>
        <v>6.9339570639965239E-4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71542094</v>
      </c>
      <c r="D143" s="229">
        <f>+D46-D147</f>
        <v>68383944</v>
      </c>
      <c r="E143" s="229">
        <f>+E46-E147</f>
        <v>66556218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95955767</v>
      </c>
      <c r="D144" s="229">
        <f>+D51</f>
        <v>98307484</v>
      </c>
      <c r="E144" s="229">
        <f>+E51</f>
        <v>103077223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19908533</v>
      </c>
      <c r="D145" s="229">
        <f>+D55</f>
        <v>25456471</v>
      </c>
      <c r="E145" s="229">
        <f>+E55</f>
        <v>26498122</v>
      </c>
    </row>
    <row r="146" spans="1:7" ht="20.100000000000001" customHeight="1" x14ac:dyDescent="0.2">
      <c r="A146" s="226">
        <v>11</v>
      </c>
      <c r="B146" s="224" t="s">
        <v>400</v>
      </c>
      <c r="C146" s="228">
        <v>230095</v>
      </c>
      <c r="D146" s="229">
        <v>256361</v>
      </c>
      <c r="E146" s="229">
        <v>316789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6871474</v>
      </c>
      <c r="D147" s="229">
        <f>+D47</f>
        <v>4600235</v>
      </c>
      <c r="E147" s="229">
        <f>+E47</f>
        <v>4657943</v>
      </c>
    </row>
    <row r="148" spans="1:7" ht="20.100000000000001" customHeight="1" x14ac:dyDescent="0.2">
      <c r="A148" s="226">
        <v>13</v>
      </c>
      <c r="B148" s="224" t="s">
        <v>402</v>
      </c>
      <c r="C148" s="230">
        <v>405918</v>
      </c>
      <c r="D148" s="229">
        <v>299784</v>
      </c>
      <c r="E148" s="229">
        <v>139543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194913881</v>
      </c>
      <c r="D149" s="229">
        <f>SUM(D143:D148)</f>
        <v>197304279</v>
      </c>
      <c r="E149" s="229">
        <f>SUM(E143:E148)</f>
        <v>201245838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0.50336453648771085</v>
      </c>
      <c r="D152" s="227">
        <f>IF(D166=0,0,D160/D166)</f>
        <v>0.45660044303885861</v>
      </c>
      <c r="E152" s="227">
        <f>IF(E166=0,0,E160/E166)</f>
        <v>0.45618062935088621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0.41619995537989019</v>
      </c>
      <c r="D153" s="227">
        <f>IF(D166=0,0,D161/D166)</f>
        <v>0.4397956514330042</v>
      </c>
      <c r="E153" s="227">
        <f>IF(E166=0,0,E161/E166)</f>
        <v>0.43141360097736259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7.6792691475169567E-2</v>
      </c>
      <c r="D154" s="227">
        <f>IF(D166=0,0,D162/D166)</f>
        <v>9.8546928442170542E-2</v>
      </c>
      <c r="E154" s="227">
        <f>IF(E166=0,0,E162/E166)</f>
        <v>0.10312439921771874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6.4346879615763419E-4</v>
      </c>
      <c r="D155" s="227">
        <f>IF(D166=0,0,D163/D166)</f>
        <v>8.2046400192634431E-4</v>
      </c>
      <c r="E155" s="227">
        <f>IF(E166=0,0,E163/E166)</f>
        <v>1.1745253385677583E-3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1.1480231381264931E-3</v>
      </c>
      <c r="D156" s="227">
        <f>IF(D166=0,0,D164/D166)</f>
        <v>2.940037068084423E-3</v>
      </c>
      <c r="E156" s="227">
        <f>IF(E166=0,0,E164/E166)</f>
        <v>7.4924064980096813E-3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1.8513247229452634E-3</v>
      </c>
      <c r="D157" s="227">
        <f>IF(D166=0,0,D165/D166)</f>
        <v>1.296476015955903E-3</v>
      </c>
      <c r="E157" s="227">
        <f>IF(E166=0,0,E165/E166)</f>
        <v>6.1443861745504318E-4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34021583</v>
      </c>
      <c r="D160" s="229">
        <f>+D44-D164</f>
        <v>29653340</v>
      </c>
      <c r="E160" s="229">
        <f>+E44-E164</f>
        <v>28360268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28130272</v>
      </c>
      <c r="D161" s="229">
        <f>+D50</f>
        <v>28561974</v>
      </c>
      <c r="E161" s="229">
        <f>+E50</f>
        <v>26820528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5190292</v>
      </c>
      <c r="D162" s="229">
        <f>+D54</f>
        <v>6400006</v>
      </c>
      <c r="E162" s="229">
        <f>+E54</f>
        <v>6411135</v>
      </c>
    </row>
    <row r="163" spans="1:6" ht="20.100000000000001" customHeight="1" x14ac:dyDescent="0.2">
      <c r="A163" s="226">
        <v>11</v>
      </c>
      <c r="B163" s="224" t="s">
        <v>415</v>
      </c>
      <c r="C163" s="228">
        <v>43491</v>
      </c>
      <c r="D163" s="229">
        <v>53284</v>
      </c>
      <c r="E163" s="229">
        <v>73019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77593</v>
      </c>
      <c r="D164" s="229">
        <f>+D45</f>
        <v>190937</v>
      </c>
      <c r="E164" s="229">
        <f>+E45</f>
        <v>465795</v>
      </c>
    </row>
    <row r="165" spans="1:6" ht="20.100000000000001" customHeight="1" x14ac:dyDescent="0.2">
      <c r="A165" s="226">
        <v>13</v>
      </c>
      <c r="B165" s="224" t="s">
        <v>417</v>
      </c>
      <c r="C165" s="230">
        <v>125128</v>
      </c>
      <c r="D165" s="229">
        <v>84198</v>
      </c>
      <c r="E165" s="229">
        <v>38199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67588359</v>
      </c>
      <c r="D166" s="229">
        <f>SUM(D160:D165)</f>
        <v>64943739</v>
      </c>
      <c r="E166" s="229">
        <f>SUM(E160:E165)</f>
        <v>62168944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1068</v>
      </c>
      <c r="D169" s="218">
        <v>916</v>
      </c>
      <c r="E169" s="218">
        <v>932</v>
      </c>
    </row>
    <row r="170" spans="1:6" ht="20.100000000000001" customHeight="1" x14ac:dyDescent="0.2">
      <c r="A170" s="226">
        <v>2</v>
      </c>
      <c r="B170" s="224" t="s">
        <v>420</v>
      </c>
      <c r="C170" s="218">
        <v>2011</v>
      </c>
      <c r="D170" s="218">
        <v>1867</v>
      </c>
      <c r="E170" s="218">
        <v>1941</v>
      </c>
    </row>
    <row r="171" spans="1:6" ht="20.100000000000001" customHeight="1" x14ac:dyDescent="0.2">
      <c r="A171" s="226">
        <v>3</v>
      </c>
      <c r="B171" s="224" t="s">
        <v>421</v>
      </c>
      <c r="C171" s="218">
        <v>259</v>
      </c>
      <c r="D171" s="218">
        <v>335</v>
      </c>
      <c r="E171" s="218">
        <v>328</v>
      </c>
    </row>
    <row r="172" spans="1:6" ht="20.100000000000001" customHeight="1" x14ac:dyDescent="0.2">
      <c r="A172" s="226">
        <v>4</v>
      </c>
      <c r="B172" s="224" t="s">
        <v>422</v>
      </c>
      <c r="C172" s="218">
        <v>258</v>
      </c>
      <c r="D172" s="218">
        <v>333</v>
      </c>
      <c r="E172" s="218">
        <v>323</v>
      </c>
    </row>
    <row r="173" spans="1:6" ht="20.100000000000001" customHeight="1" x14ac:dyDescent="0.2">
      <c r="A173" s="226">
        <v>5</v>
      </c>
      <c r="B173" s="224" t="s">
        <v>423</v>
      </c>
      <c r="C173" s="218">
        <v>1</v>
      </c>
      <c r="D173" s="218">
        <v>2</v>
      </c>
      <c r="E173" s="218">
        <v>5</v>
      </c>
    </row>
    <row r="174" spans="1:6" ht="20.100000000000001" customHeight="1" x14ac:dyDescent="0.2">
      <c r="A174" s="226">
        <v>6</v>
      </c>
      <c r="B174" s="224" t="s">
        <v>424</v>
      </c>
      <c r="C174" s="218">
        <v>10</v>
      </c>
      <c r="D174" s="218">
        <v>3</v>
      </c>
      <c r="E174" s="218">
        <v>0</v>
      </c>
    </row>
    <row r="175" spans="1:6" ht="20.100000000000001" customHeight="1" x14ac:dyDescent="0.2">
      <c r="A175" s="226">
        <v>7</v>
      </c>
      <c r="B175" s="224" t="s">
        <v>425</v>
      </c>
      <c r="C175" s="218">
        <v>50</v>
      </c>
      <c r="D175" s="218">
        <v>55</v>
      </c>
      <c r="E175" s="218">
        <v>33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3348</v>
      </c>
      <c r="D176" s="218">
        <f>+D169+D170+D171+D174</f>
        <v>3121</v>
      </c>
      <c r="E176" s="218">
        <f>+E169+E170+E171+E174</f>
        <v>3201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1.3443000000000001</v>
      </c>
      <c r="D179" s="231">
        <v>1.397</v>
      </c>
      <c r="E179" s="231">
        <v>1.4137</v>
      </c>
    </row>
    <row r="180" spans="1:6" ht="20.100000000000001" customHeight="1" x14ac:dyDescent="0.2">
      <c r="A180" s="226">
        <v>2</v>
      </c>
      <c r="B180" s="224" t="s">
        <v>420</v>
      </c>
      <c r="C180" s="231">
        <v>1.4765999999999999</v>
      </c>
      <c r="D180" s="231">
        <v>1.4706999999999999</v>
      </c>
      <c r="E180" s="231">
        <v>1.4253</v>
      </c>
    </row>
    <row r="181" spans="1:6" ht="20.100000000000001" customHeight="1" x14ac:dyDescent="0.2">
      <c r="A181" s="226">
        <v>3</v>
      </c>
      <c r="B181" s="224" t="s">
        <v>421</v>
      </c>
      <c r="C181" s="231">
        <v>1.2093510000000001</v>
      </c>
      <c r="D181" s="231">
        <v>1.10945</v>
      </c>
      <c r="E181" s="231">
        <v>0.99157399999999996</v>
      </c>
    </row>
    <row r="182" spans="1:6" ht="20.100000000000001" customHeight="1" x14ac:dyDescent="0.2">
      <c r="A182" s="226">
        <v>4</v>
      </c>
      <c r="B182" s="224" t="s">
        <v>422</v>
      </c>
      <c r="C182" s="231">
        <v>1.2069000000000001</v>
      </c>
      <c r="D182" s="231">
        <v>1.111</v>
      </c>
      <c r="E182" s="231">
        <v>0.99048000000000003</v>
      </c>
    </row>
    <row r="183" spans="1:6" ht="20.100000000000001" customHeight="1" x14ac:dyDescent="0.2">
      <c r="A183" s="226">
        <v>5</v>
      </c>
      <c r="B183" s="224" t="s">
        <v>423</v>
      </c>
      <c r="C183" s="231">
        <v>1.8418000000000001</v>
      </c>
      <c r="D183" s="231">
        <v>0.85140000000000005</v>
      </c>
      <c r="E183" s="231">
        <v>1.0623</v>
      </c>
    </row>
    <row r="184" spans="1:6" ht="20.100000000000001" customHeight="1" x14ac:dyDescent="0.2">
      <c r="A184" s="226">
        <v>6</v>
      </c>
      <c r="B184" s="224" t="s">
        <v>424</v>
      </c>
      <c r="C184" s="231">
        <v>1.2652000000000001</v>
      </c>
      <c r="D184" s="231">
        <v>1.6774</v>
      </c>
      <c r="E184" s="231">
        <v>0</v>
      </c>
    </row>
    <row r="185" spans="1:6" ht="20.100000000000001" customHeight="1" x14ac:dyDescent="0.2">
      <c r="A185" s="226">
        <v>7</v>
      </c>
      <c r="B185" s="224" t="s">
        <v>425</v>
      </c>
      <c r="C185" s="231">
        <v>0.94562000000000002</v>
      </c>
      <c r="D185" s="231">
        <v>1.2742</v>
      </c>
      <c r="E185" s="231">
        <v>1.101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1.4130910000000001</v>
      </c>
      <c r="D186" s="231">
        <v>1.4104920000000001</v>
      </c>
      <c r="E186" s="231">
        <v>1.3774789999999999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3065</v>
      </c>
      <c r="D189" s="218">
        <v>2897</v>
      </c>
      <c r="E189" s="218">
        <v>3031</v>
      </c>
    </row>
    <row r="190" spans="1:6" ht="20.100000000000001" customHeight="1" x14ac:dyDescent="0.2">
      <c r="A190" s="226">
        <v>2</v>
      </c>
      <c r="B190" s="224" t="s">
        <v>433</v>
      </c>
      <c r="C190" s="218">
        <v>32175</v>
      </c>
      <c r="D190" s="218">
        <v>19735</v>
      </c>
      <c r="E190" s="218">
        <v>18664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35240</v>
      </c>
      <c r="D191" s="218">
        <f>+D190+D189</f>
        <v>22632</v>
      </c>
      <c r="E191" s="218">
        <f>+E190+E189</f>
        <v>21695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FILING&amp;RMILFORD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547150</v>
      </c>
      <c r="D14" s="258">
        <v>312287</v>
      </c>
      <c r="E14" s="258">
        <f t="shared" ref="E14:E24" si="0">D14-C14</f>
        <v>-234863</v>
      </c>
      <c r="F14" s="259">
        <f t="shared" ref="F14:F24" si="1">IF(C14=0,0,E14/C14)</f>
        <v>-0.42924792104541715</v>
      </c>
    </row>
    <row r="15" spans="1:7" ht="20.25" customHeight="1" x14ac:dyDescent="0.3">
      <c r="A15" s="256">
        <v>2</v>
      </c>
      <c r="B15" s="257" t="s">
        <v>442</v>
      </c>
      <c r="C15" s="258">
        <v>102277</v>
      </c>
      <c r="D15" s="258">
        <v>94784</v>
      </c>
      <c r="E15" s="258">
        <f t="shared" si="0"/>
        <v>-7493</v>
      </c>
      <c r="F15" s="259">
        <f t="shared" si="1"/>
        <v>-7.3261828172511909E-2</v>
      </c>
    </row>
    <row r="16" spans="1:7" ht="20.25" customHeight="1" x14ac:dyDescent="0.3">
      <c r="A16" s="256">
        <v>3</v>
      </c>
      <c r="B16" s="257" t="s">
        <v>443</v>
      </c>
      <c r="C16" s="258">
        <v>107926</v>
      </c>
      <c r="D16" s="258">
        <v>319784</v>
      </c>
      <c r="E16" s="258">
        <f t="shared" si="0"/>
        <v>211858</v>
      </c>
      <c r="F16" s="259">
        <f t="shared" si="1"/>
        <v>1.9629931619813576</v>
      </c>
    </row>
    <row r="17" spans="1:6" ht="20.25" customHeight="1" x14ac:dyDescent="0.3">
      <c r="A17" s="256">
        <v>4</v>
      </c>
      <c r="B17" s="257" t="s">
        <v>444</v>
      </c>
      <c r="C17" s="258">
        <v>66237</v>
      </c>
      <c r="D17" s="258">
        <v>71743</v>
      </c>
      <c r="E17" s="258">
        <f t="shared" si="0"/>
        <v>5506</v>
      </c>
      <c r="F17" s="259">
        <f t="shared" si="1"/>
        <v>8.3125745429291784E-2</v>
      </c>
    </row>
    <row r="18" spans="1:6" ht="20.25" customHeight="1" x14ac:dyDescent="0.3">
      <c r="A18" s="256">
        <v>5</v>
      </c>
      <c r="B18" s="257" t="s">
        <v>381</v>
      </c>
      <c r="C18" s="260">
        <v>14</v>
      </c>
      <c r="D18" s="260">
        <v>8</v>
      </c>
      <c r="E18" s="260">
        <f t="shared" si="0"/>
        <v>-6</v>
      </c>
      <c r="F18" s="259">
        <f t="shared" si="1"/>
        <v>-0.42857142857142855</v>
      </c>
    </row>
    <row r="19" spans="1:6" ht="20.25" customHeight="1" x14ac:dyDescent="0.3">
      <c r="A19" s="256">
        <v>6</v>
      </c>
      <c r="B19" s="257" t="s">
        <v>380</v>
      </c>
      <c r="C19" s="260">
        <v>90</v>
      </c>
      <c r="D19" s="260">
        <v>39</v>
      </c>
      <c r="E19" s="260">
        <f t="shared" si="0"/>
        <v>-51</v>
      </c>
      <c r="F19" s="259">
        <f t="shared" si="1"/>
        <v>-0.56666666666666665</v>
      </c>
    </row>
    <row r="20" spans="1:6" ht="20.25" customHeight="1" x14ac:dyDescent="0.3">
      <c r="A20" s="256">
        <v>7</v>
      </c>
      <c r="B20" s="257" t="s">
        <v>445</v>
      </c>
      <c r="C20" s="260">
        <v>18</v>
      </c>
      <c r="D20" s="260">
        <v>66</v>
      </c>
      <c r="E20" s="260">
        <f t="shared" si="0"/>
        <v>48</v>
      </c>
      <c r="F20" s="259">
        <f t="shared" si="1"/>
        <v>2.6666666666666665</v>
      </c>
    </row>
    <row r="21" spans="1:6" ht="20.25" customHeight="1" x14ac:dyDescent="0.3">
      <c r="A21" s="256">
        <v>8</v>
      </c>
      <c r="B21" s="257" t="s">
        <v>446</v>
      </c>
      <c r="C21" s="260">
        <v>13</v>
      </c>
      <c r="D21" s="260">
        <v>45</v>
      </c>
      <c r="E21" s="260">
        <f t="shared" si="0"/>
        <v>32</v>
      </c>
      <c r="F21" s="259">
        <f t="shared" si="1"/>
        <v>2.4615384615384617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655076</v>
      </c>
      <c r="D23" s="263">
        <f>+D14+D16</f>
        <v>632071</v>
      </c>
      <c r="E23" s="263">
        <f t="shared" si="0"/>
        <v>-23005</v>
      </c>
      <c r="F23" s="264">
        <f t="shared" si="1"/>
        <v>-3.5118062637007001E-2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168514</v>
      </c>
      <c r="D24" s="263">
        <f>+D15+D17</f>
        <v>166527</v>
      </c>
      <c r="E24" s="263">
        <f t="shared" si="0"/>
        <v>-1987</v>
      </c>
      <c r="F24" s="264">
        <f t="shared" si="1"/>
        <v>-1.1791305173457398E-2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5858616</v>
      </c>
      <c r="D40" s="258">
        <v>8608774</v>
      </c>
      <c r="E40" s="258">
        <f t="shared" ref="E40:E50" si="4">D40-C40</f>
        <v>2750158</v>
      </c>
      <c r="F40" s="259">
        <f t="shared" ref="F40:F50" si="5">IF(C40=0,0,E40/C40)</f>
        <v>0.46942110559900152</v>
      </c>
    </row>
    <row r="41" spans="1:6" ht="20.25" customHeight="1" x14ac:dyDescent="0.3">
      <c r="A41" s="256">
        <v>2</v>
      </c>
      <c r="B41" s="257" t="s">
        <v>442</v>
      </c>
      <c r="C41" s="258">
        <v>1926748</v>
      </c>
      <c r="D41" s="258">
        <v>2387477</v>
      </c>
      <c r="E41" s="258">
        <f t="shared" si="4"/>
        <v>460729</v>
      </c>
      <c r="F41" s="259">
        <f t="shared" si="5"/>
        <v>0.23912260451288908</v>
      </c>
    </row>
    <row r="42" spans="1:6" ht="20.25" customHeight="1" x14ac:dyDescent="0.3">
      <c r="A42" s="256">
        <v>3</v>
      </c>
      <c r="B42" s="257" t="s">
        <v>443</v>
      </c>
      <c r="C42" s="258">
        <v>3429385</v>
      </c>
      <c r="D42" s="258">
        <v>4450046</v>
      </c>
      <c r="E42" s="258">
        <f t="shared" si="4"/>
        <v>1020661</v>
      </c>
      <c r="F42" s="259">
        <f t="shared" si="5"/>
        <v>0.29762216840628858</v>
      </c>
    </row>
    <row r="43" spans="1:6" ht="20.25" customHeight="1" x14ac:dyDescent="0.3">
      <c r="A43" s="256">
        <v>4</v>
      </c>
      <c r="B43" s="257" t="s">
        <v>444</v>
      </c>
      <c r="C43" s="258">
        <v>790550</v>
      </c>
      <c r="D43" s="258">
        <v>987088</v>
      </c>
      <c r="E43" s="258">
        <f t="shared" si="4"/>
        <v>196538</v>
      </c>
      <c r="F43" s="259">
        <f t="shared" si="5"/>
        <v>0.24860919612927709</v>
      </c>
    </row>
    <row r="44" spans="1:6" ht="20.25" customHeight="1" x14ac:dyDescent="0.3">
      <c r="A44" s="256">
        <v>5</v>
      </c>
      <c r="B44" s="257" t="s">
        <v>381</v>
      </c>
      <c r="C44" s="260">
        <v>167</v>
      </c>
      <c r="D44" s="260">
        <v>245</v>
      </c>
      <c r="E44" s="260">
        <f t="shared" si="4"/>
        <v>78</v>
      </c>
      <c r="F44" s="259">
        <f t="shared" si="5"/>
        <v>0.46706586826347307</v>
      </c>
    </row>
    <row r="45" spans="1:6" ht="20.25" customHeight="1" x14ac:dyDescent="0.3">
      <c r="A45" s="256">
        <v>6</v>
      </c>
      <c r="B45" s="257" t="s">
        <v>380</v>
      </c>
      <c r="C45" s="260">
        <v>730</v>
      </c>
      <c r="D45" s="260">
        <v>1038</v>
      </c>
      <c r="E45" s="260">
        <f t="shared" si="4"/>
        <v>308</v>
      </c>
      <c r="F45" s="259">
        <f t="shared" si="5"/>
        <v>0.42191780821917807</v>
      </c>
    </row>
    <row r="46" spans="1:6" ht="20.25" customHeight="1" x14ac:dyDescent="0.3">
      <c r="A46" s="256">
        <v>7</v>
      </c>
      <c r="B46" s="257" t="s">
        <v>445</v>
      </c>
      <c r="C46" s="260">
        <v>701</v>
      </c>
      <c r="D46" s="260">
        <v>1012</v>
      </c>
      <c r="E46" s="260">
        <f t="shared" si="4"/>
        <v>311</v>
      </c>
      <c r="F46" s="259">
        <f t="shared" si="5"/>
        <v>0.44365192582025675</v>
      </c>
    </row>
    <row r="47" spans="1:6" ht="20.25" customHeight="1" x14ac:dyDescent="0.3">
      <c r="A47" s="256">
        <v>8</v>
      </c>
      <c r="B47" s="257" t="s">
        <v>446</v>
      </c>
      <c r="C47" s="260">
        <v>399</v>
      </c>
      <c r="D47" s="260">
        <v>462</v>
      </c>
      <c r="E47" s="260">
        <f t="shared" si="4"/>
        <v>63</v>
      </c>
      <c r="F47" s="259">
        <f t="shared" si="5"/>
        <v>0.15789473684210525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9288001</v>
      </c>
      <c r="D49" s="263">
        <f>+D40+D42</f>
        <v>13058820</v>
      </c>
      <c r="E49" s="263">
        <f t="shared" si="4"/>
        <v>3770819</v>
      </c>
      <c r="F49" s="264">
        <f t="shared" si="5"/>
        <v>0.40598822071616919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2717298</v>
      </c>
      <c r="D50" s="263">
        <f>+D41+D43</f>
        <v>3374565</v>
      </c>
      <c r="E50" s="263">
        <f t="shared" si="4"/>
        <v>657267</v>
      </c>
      <c r="F50" s="264">
        <f t="shared" si="5"/>
        <v>0.2418825612796241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44041</v>
      </c>
      <c r="D66" s="258">
        <v>60358</v>
      </c>
      <c r="E66" s="258">
        <f t="shared" ref="E66:E76" si="8">D66-C66</f>
        <v>16317</v>
      </c>
      <c r="F66" s="259">
        <f t="shared" ref="F66:F76" si="9">IF(C66=0,0,E66/C66)</f>
        <v>0.37049567448513887</v>
      </c>
    </row>
    <row r="67" spans="1:6" ht="20.25" customHeight="1" x14ac:dyDescent="0.3">
      <c r="A67" s="256">
        <v>2</v>
      </c>
      <c r="B67" s="257" t="s">
        <v>442</v>
      </c>
      <c r="C67" s="258">
        <v>10367</v>
      </c>
      <c r="D67" s="258">
        <v>22200</v>
      </c>
      <c r="E67" s="258">
        <f t="shared" si="8"/>
        <v>11833</v>
      </c>
      <c r="F67" s="259">
        <f t="shared" si="9"/>
        <v>1.1414102440435998</v>
      </c>
    </row>
    <row r="68" spans="1:6" ht="20.25" customHeight="1" x14ac:dyDescent="0.3">
      <c r="A68" s="256">
        <v>3</v>
      </c>
      <c r="B68" s="257" t="s">
        <v>443</v>
      </c>
      <c r="C68" s="258">
        <v>48202</v>
      </c>
      <c r="D68" s="258">
        <v>46218</v>
      </c>
      <c r="E68" s="258">
        <f t="shared" si="8"/>
        <v>-1984</v>
      </c>
      <c r="F68" s="259">
        <f t="shared" si="9"/>
        <v>-4.1160117837434132E-2</v>
      </c>
    </row>
    <row r="69" spans="1:6" ht="20.25" customHeight="1" x14ac:dyDescent="0.3">
      <c r="A69" s="256">
        <v>4</v>
      </c>
      <c r="B69" s="257" t="s">
        <v>444</v>
      </c>
      <c r="C69" s="258">
        <v>19110</v>
      </c>
      <c r="D69" s="258">
        <v>26856</v>
      </c>
      <c r="E69" s="258">
        <f t="shared" si="8"/>
        <v>7746</v>
      </c>
      <c r="F69" s="259">
        <f t="shared" si="9"/>
        <v>0.40533751962323389</v>
      </c>
    </row>
    <row r="70" spans="1:6" ht="20.25" customHeight="1" x14ac:dyDescent="0.3">
      <c r="A70" s="256">
        <v>5</v>
      </c>
      <c r="B70" s="257" t="s">
        <v>381</v>
      </c>
      <c r="C70" s="260">
        <v>2</v>
      </c>
      <c r="D70" s="260">
        <v>2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7</v>
      </c>
      <c r="D71" s="260">
        <v>6</v>
      </c>
      <c r="E71" s="260">
        <f t="shared" si="8"/>
        <v>-1</v>
      </c>
      <c r="F71" s="259">
        <f t="shared" si="9"/>
        <v>-0.14285714285714285</v>
      </c>
    </row>
    <row r="72" spans="1:6" ht="20.25" customHeight="1" x14ac:dyDescent="0.3">
      <c r="A72" s="256">
        <v>7</v>
      </c>
      <c r="B72" s="257" t="s">
        <v>445</v>
      </c>
      <c r="C72" s="260">
        <v>2</v>
      </c>
      <c r="D72" s="260">
        <v>3</v>
      </c>
      <c r="E72" s="260">
        <f t="shared" si="8"/>
        <v>1</v>
      </c>
      <c r="F72" s="259">
        <f t="shared" si="9"/>
        <v>0.5</v>
      </c>
    </row>
    <row r="73" spans="1:6" ht="20.25" customHeight="1" x14ac:dyDescent="0.3">
      <c r="A73" s="256">
        <v>8</v>
      </c>
      <c r="B73" s="257" t="s">
        <v>446</v>
      </c>
      <c r="C73" s="260">
        <v>16</v>
      </c>
      <c r="D73" s="260">
        <v>9</v>
      </c>
      <c r="E73" s="260">
        <f t="shared" si="8"/>
        <v>-7</v>
      </c>
      <c r="F73" s="259">
        <f t="shared" si="9"/>
        <v>-0.4375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92243</v>
      </c>
      <c r="D75" s="263">
        <f>+D66+D68</f>
        <v>106576</v>
      </c>
      <c r="E75" s="263">
        <f t="shared" si="8"/>
        <v>14333</v>
      </c>
      <c r="F75" s="264">
        <f t="shared" si="9"/>
        <v>0.15538306429756188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29477</v>
      </c>
      <c r="D76" s="263">
        <f>+D67+D69</f>
        <v>49056</v>
      </c>
      <c r="E76" s="263">
        <f t="shared" si="8"/>
        <v>19579</v>
      </c>
      <c r="F76" s="264">
        <f t="shared" si="9"/>
        <v>0.66421277606269291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7204601</v>
      </c>
      <c r="D92" s="258">
        <v>7957714</v>
      </c>
      <c r="E92" s="258">
        <f t="shared" ref="E92:E102" si="12">D92-C92</f>
        <v>753113</v>
      </c>
      <c r="F92" s="259">
        <f t="shared" ref="F92:F102" si="13">IF(C92=0,0,E92/C92)</f>
        <v>0.10453222877991439</v>
      </c>
    </row>
    <row r="93" spans="1:6" ht="20.25" customHeight="1" x14ac:dyDescent="0.3">
      <c r="A93" s="256">
        <v>2</v>
      </c>
      <c r="B93" s="257" t="s">
        <v>442</v>
      </c>
      <c r="C93" s="258">
        <v>2393897</v>
      </c>
      <c r="D93" s="258">
        <v>2205317</v>
      </c>
      <c r="E93" s="258">
        <f t="shared" si="12"/>
        <v>-188580</v>
      </c>
      <c r="F93" s="259">
        <f t="shared" si="13"/>
        <v>-7.877531907178964E-2</v>
      </c>
    </row>
    <row r="94" spans="1:6" ht="20.25" customHeight="1" x14ac:dyDescent="0.3">
      <c r="A94" s="256">
        <v>3</v>
      </c>
      <c r="B94" s="257" t="s">
        <v>443</v>
      </c>
      <c r="C94" s="258">
        <v>4781236</v>
      </c>
      <c r="D94" s="258">
        <v>3813177</v>
      </c>
      <c r="E94" s="258">
        <f t="shared" si="12"/>
        <v>-968059</v>
      </c>
      <c r="F94" s="259">
        <f t="shared" si="13"/>
        <v>-0.20247044906379857</v>
      </c>
    </row>
    <row r="95" spans="1:6" ht="20.25" customHeight="1" x14ac:dyDescent="0.3">
      <c r="A95" s="256">
        <v>4</v>
      </c>
      <c r="B95" s="257" t="s">
        <v>444</v>
      </c>
      <c r="C95" s="258">
        <v>1122093</v>
      </c>
      <c r="D95" s="258">
        <v>809993</v>
      </c>
      <c r="E95" s="258">
        <f t="shared" si="12"/>
        <v>-312100</v>
      </c>
      <c r="F95" s="259">
        <f t="shared" si="13"/>
        <v>-0.27814093840706611</v>
      </c>
    </row>
    <row r="96" spans="1:6" ht="20.25" customHeight="1" x14ac:dyDescent="0.3">
      <c r="A96" s="256">
        <v>5</v>
      </c>
      <c r="B96" s="257" t="s">
        <v>381</v>
      </c>
      <c r="C96" s="260">
        <v>228</v>
      </c>
      <c r="D96" s="260">
        <v>222</v>
      </c>
      <c r="E96" s="260">
        <f t="shared" si="12"/>
        <v>-6</v>
      </c>
      <c r="F96" s="259">
        <f t="shared" si="13"/>
        <v>-2.6315789473684209E-2</v>
      </c>
    </row>
    <row r="97" spans="1:6" ht="20.25" customHeight="1" x14ac:dyDescent="0.3">
      <c r="A97" s="256">
        <v>6</v>
      </c>
      <c r="B97" s="257" t="s">
        <v>380</v>
      </c>
      <c r="C97" s="260">
        <v>882</v>
      </c>
      <c r="D97" s="260">
        <v>965</v>
      </c>
      <c r="E97" s="260">
        <f t="shared" si="12"/>
        <v>83</v>
      </c>
      <c r="F97" s="259">
        <f t="shared" si="13"/>
        <v>9.4104308390022678E-2</v>
      </c>
    </row>
    <row r="98" spans="1:6" ht="20.25" customHeight="1" x14ac:dyDescent="0.3">
      <c r="A98" s="256">
        <v>7</v>
      </c>
      <c r="B98" s="257" t="s">
        <v>445</v>
      </c>
      <c r="C98" s="260">
        <v>1251</v>
      </c>
      <c r="D98" s="260">
        <v>923</v>
      </c>
      <c r="E98" s="260">
        <f t="shared" si="12"/>
        <v>-328</v>
      </c>
      <c r="F98" s="259">
        <f t="shared" si="13"/>
        <v>-0.26219024780175859</v>
      </c>
    </row>
    <row r="99" spans="1:6" ht="20.25" customHeight="1" x14ac:dyDescent="0.3">
      <c r="A99" s="256">
        <v>8</v>
      </c>
      <c r="B99" s="257" t="s">
        <v>446</v>
      </c>
      <c r="C99" s="260">
        <v>582</v>
      </c>
      <c r="D99" s="260">
        <v>448</v>
      </c>
      <c r="E99" s="260">
        <f t="shared" si="12"/>
        <v>-134</v>
      </c>
      <c r="F99" s="259">
        <f t="shared" si="13"/>
        <v>-0.23024054982817868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11985837</v>
      </c>
      <c r="D101" s="263">
        <f>+D92+D94</f>
        <v>11770891</v>
      </c>
      <c r="E101" s="263">
        <f t="shared" si="12"/>
        <v>-214946</v>
      </c>
      <c r="F101" s="264">
        <f t="shared" si="13"/>
        <v>-1.7933332482328937E-2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3515990</v>
      </c>
      <c r="D102" s="263">
        <f>+D93+D95</f>
        <v>3015310</v>
      </c>
      <c r="E102" s="263">
        <f t="shared" si="12"/>
        <v>-500680</v>
      </c>
      <c r="F102" s="264">
        <f t="shared" si="13"/>
        <v>-0.14240086007070554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225245</v>
      </c>
      <c r="D105" s="258">
        <v>873306</v>
      </c>
      <c r="E105" s="258">
        <f t="shared" ref="E105:E115" si="14">D105-C105</f>
        <v>648061</v>
      </c>
      <c r="F105" s="259">
        <f t="shared" ref="F105:F115" si="15">IF(C105=0,0,E105/C105)</f>
        <v>2.8771382272636461</v>
      </c>
    </row>
    <row r="106" spans="1:6" ht="20.25" customHeight="1" x14ac:dyDescent="0.3">
      <c r="A106" s="256">
        <v>2</v>
      </c>
      <c r="B106" s="257" t="s">
        <v>442</v>
      </c>
      <c r="C106" s="258">
        <v>65953</v>
      </c>
      <c r="D106" s="258">
        <v>229632</v>
      </c>
      <c r="E106" s="258">
        <f t="shared" si="14"/>
        <v>163679</v>
      </c>
      <c r="F106" s="259">
        <f t="shared" si="15"/>
        <v>2.4817521568389611</v>
      </c>
    </row>
    <row r="107" spans="1:6" ht="20.25" customHeight="1" x14ac:dyDescent="0.3">
      <c r="A107" s="256">
        <v>3</v>
      </c>
      <c r="B107" s="257" t="s">
        <v>443</v>
      </c>
      <c r="C107" s="258">
        <v>270745</v>
      </c>
      <c r="D107" s="258">
        <v>629798</v>
      </c>
      <c r="E107" s="258">
        <f t="shared" si="14"/>
        <v>359053</v>
      </c>
      <c r="F107" s="259">
        <f t="shared" si="15"/>
        <v>1.3261666882121554</v>
      </c>
    </row>
    <row r="108" spans="1:6" ht="20.25" customHeight="1" x14ac:dyDescent="0.3">
      <c r="A108" s="256">
        <v>4</v>
      </c>
      <c r="B108" s="257" t="s">
        <v>444</v>
      </c>
      <c r="C108" s="258">
        <v>109796</v>
      </c>
      <c r="D108" s="258">
        <v>127541</v>
      </c>
      <c r="E108" s="258">
        <f t="shared" si="14"/>
        <v>17745</v>
      </c>
      <c r="F108" s="259">
        <f t="shared" si="15"/>
        <v>0.1616179095777624</v>
      </c>
    </row>
    <row r="109" spans="1:6" ht="20.25" customHeight="1" x14ac:dyDescent="0.3">
      <c r="A109" s="256">
        <v>5</v>
      </c>
      <c r="B109" s="257" t="s">
        <v>381</v>
      </c>
      <c r="C109" s="260">
        <v>8</v>
      </c>
      <c r="D109" s="260">
        <v>28</v>
      </c>
      <c r="E109" s="260">
        <f t="shared" si="14"/>
        <v>20</v>
      </c>
      <c r="F109" s="259">
        <f t="shared" si="15"/>
        <v>2.5</v>
      </c>
    </row>
    <row r="110" spans="1:6" ht="20.25" customHeight="1" x14ac:dyDescent="0.3">
      <c r="A110" s="256">
        <v>6</v>
      </c>
      <c r="B110" s="257" t="s">
        <v>380</v>
      </c>
      <c r="C110" s="260">
        <v>32</v>
      </c>
      <c r="D110" s="260">
        <v>111</v>
      </c>
      <c r="E110" s="260">
        <f t="shared" si="14"/>
        <v>79</v>
      </c>
      <c r="F110" s="259">
        <f t="shared" si="15"/>
        <v>2.46875</v>
      </c>
    </row>
    <row r="111" spans="1:6" ht="20.25" customHeight="1" x14ac:dyDescent="0.3">
      <c r="A111" s="256">
        <v>7</v>
      </c>
      <c r="B111" s="257" t="s">
        <v>445</v>
      </c>
      <c r="C111" s="260">
        <v>174</v>
      </c>
      <c r="D111" s="260">
        <v>353</v>
      </c>
      <c r="E111" s="260">
        <f t="shared" si="14"/>
        <v>179</v>
      </c>
      <c r="F111" s="259">
        <f t="shared" si="15"/>
        <v>1.0287356321839081</v>
      </c>
    </row>
    <row r="112" spans="1:6" ht="20.25" customHeight="1" x14ac:dyDescent="0.3">
      <c r="A112" s="256">
        <v>8</v>
      </c>
      <c r="B112" s="257" t="s">
        <v>446</v>
      </c>
      <c r="C112" s="260">
        <v>51</v>
      </c>
      <c r="D112" s="260">
        <v>83</v>
      </c>
      <c r="E112" s="260">
        <f t="shared" si="14"/>
        <v>32</v>
      </c>
      <c r="F112" s="259">
        <f t="shared" si="15"/>
        <v>0.62745098039215685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495990</v>
      </c>
      <c r="D114" s="263">
        <f>+D105+D107</f>
        <v>1503104</v>
      </c>
      <c r="E114" s="263">
        <f t="shared" si="14"/>
        <v>1007114</v>
      </c>
      <c r="F114" s="264">
        <f t="shared" si="15"/>
        <v>2.0305127119498376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175749</v>
      </c>
      <c r="D115" s="263">
        <f>+D106+D108</f>
        <v>357173</v>
      </c>
      <c r="E115" s="263">
        <f t="shared" si="14"/>
        <v>181424</v>
      </c>
      <c r="F115" s="264">
        <f t="shared" si="15"/>
        <v>1.0322903686507463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3626168</v>
      </c>
      <c r="D118" s="258">
        <v>3501685</v>
      </c>
      <c r="E118" s="258">
        <f t="shared" ref="E118:E128" si="16">D118-C118</f>
        <v>-124483</v>
      </c>
      <c r="F118" s="259">
        <f t="shared" ref="F118:F128" si="17">IF(C118=0,0,E118/C118)</f>
        <v>-3.4329076865716096E-2</v>
      </c>
    </row>
    <row r="119" spans="1:6" ht="20.25" customHeight="1" x14ac:dyDescent="0.3">
      <c r="A119" s="256">
        <v>2</v>
      </c>
      <c r="B119" s="257" t="s">
        <v>442</v>
      </c>
      <c r="C119" s="258">
        <v>1208689</v>
      </c>
      <c r="D119" s="258">
        <v>997523</v>
      </c>
      <c r="E119" s="258">
        <f t="shared" si="16"/>
        <v>-211166</v>
      </c>
      <c r="F119" s="259">
        <f t="shared" si="17"/>
        <v>-0.17470664496822591</v>
      </c>
    </row>
    <row r="120" spans="1:6" ht="20.25" customHeight="1" x14ac:dyDescent="0.3">
      <c r="A120" s="256">
        <v>3</v>
      </c>
      <c r="B120" s="257" t="s">
        <v>443</v>
      </c>
      <c r="C120" s="258">
        <v>2221528</v>
      </c>
      <c r="D120" s="258">
        <v>2028927</v>
      </c>
      <c r="E120" s="258">
        <f t="shared" si="16"/>
        <v>-192601</v>
      </c>
      <c r="F120" s="259">
        <f t="shared" si="17"/>
        <v>-8.6697534309718355E-2</v>
      </c>
    </row>
    <row r="121" spans="1:6" ht="20.25" customHeight="1" x14ac:dyDescent="0.3">
      <c r="A121" s="256">
        <v>4</v>
      </c>
      <c r="B121" s="257" t="s">
        <v>444</v>
      </c>
      <c r="C121" s="258">
        <v>476846</v>
      </c>
      <c r="D121" s="258">
        <v>418690</v>
      </c>
      <c r="E121" s="258">
        <f t="shared" si="16"/>
        <v>-58156</v>
      </c>
      <c r="F121" s="259">
        <f t="shared" si="17"/>
        <v>-0.12195971026285216</v>
      </c>
    </row>
    <row r="122" spans="1:6" ht="20.25" customHeight="1" x14ac:dyDescent="0.3">
      <c r="A122" s="256">
        <v>5</v>
      </c>
      <c r="B122" s="257" t="s">
        <v>381</v>
      </c>
      <c r="C122" s="260">
        <v>104</v>
      </c>
      <c r="D122" s="260">
        <v>105</v>
      </c>
      <c r="E122" s="260">
        <f t="shared" si="16"/>
        <v>1</v>
      </c>
      <c r="F122" s="259">
        <f t="shared" si="17"/>
        <v>9.6153846153846159E-3</v>
      </c>
    </row>
    <row r="123" spans="1:6" ht="20.25" customHeight="1" x14ac:dyDescent="0.3">
      <c r="A123" s="256">
        <v>6</v>
      </c>
      <c r="B123" s="257" t="s">
        <v>380</v>
      </c>
      <c r="C123" s="260">
        <v>447</v>
      </c>
      <c r="D123" s="260">
        <v>414</v>
      </c>
      <c r="E123" s="260">
        <f t="shared" si="16"/>
        <v>-33</v>
      </c>
      <c r="F123" s="259">
        <f t="shared" si="17"/>
        <v>-7.3825503355704702E-2</v>
      </c>
    </row>
    <row r="124" spans="1:6" ht="20.25" customHeight="1" x14ac:dyDescent="0.3">
      <c r="A124" s="256">
        <v>7</v>
      </c>
      <c r="B124" s="257" t="s">
        <v>445</v>
      </c>
      <c r="C124" s="260">
        <v>872</v>
      </c>
      <c r="D124" s="260">
        <v>1031</v>
      </c>
      <c r="E124" s="260">
        <f t="shared" si="16"/>
        <v>159</v>
      </c>
      <c r="F124" s="259">
        <f t="shared" si="17"/>
        <v>0.18233944954128439</v>
      </c>
    </row>
    <row r="125" spans="1:6" ht="20.25" customHeight="1" x14ac:dyDescent="0.3">
      <c r="A125" s="256">
        <v>8</v>
      </c>
      <c r="B125" s="257" t="s">
        <v>446</v>
      </c>
      <c r="C125" s="260">
        <v>227</v>
      </c>
      <c r="D125" s="260">
        <v>211</v>
      </c>
      <c r="E125" s="260">
        <f t="shared" si="16"/>
        <v>-16</v>
      </c>
      <c r="F125" s="259">
        <f t="shared" si="17"/>
        <v>-7.0484581497797363E-2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5847696</v>
      </c>
      <c r="D127" s="263">
        <f>+D118+D120</f>
        <v>5530612</v>
      </c>
      <c r="E127" s="263">
        <f t="shared" si="16"/>
        <v>-317084</v>
      </c>
      <c r="F127" s="264">
        <f t="shared" si="17"/>
        <v>-5.4223748977375023E-2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1685535</v>
      </c>
      <c r="D128" s="263">
        <f>+D119+D121</f>
        <v>1416213</v>
      </c>
      <c r="E128" s="263">
        <f t="shared" si="16"/>
        <v>-269322</v>
      </c>
      <c r="F128" s="264">
        <f t="shared" si="17"/>
        <v>-0.15978428214187188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57739</v>
      </c>
      <c r="D131" s="258">
        <v>76037</v>
      </c>
      <c r="E131" s="258">
        <f t="shared" ref="E131:E141" si="18">D131-C131</f>
        <v>18298</v>
      </c>
      <c r="F131" s="259">
        <f t="shared" ref="F131:F141" si="19">IF(C131=0,0,E131/C131)</f>
        <v>0.31690884843866363</v>
      </c>
    </row>
    <row r="132" spans="1:6" ht="20.25" customHeight="1" x14ac:dyDescent="0.3">
      <c r="A132" s="256">
        <v>2</v>
      </c>
      <c r="B132" s="257" t="s">
        <v>442</v>
      </c>
      <c r="C132" s="258">
        <v>16828</v>
      </c>
      <c r="D132" s="258">
        <v>21859</v>
      </c>
      <c r="E132" s="258">
        <f t="shared" si="18"/>
        <v>5031</v>
      </c>
      <c r="F132" s="259">
        <f t="shared" si="19"/>
        <v>0.29896600903256476</v>
      </c>
    </row>
    <row r="133" spans="1:6" ht="20.25" customHeight="1" x14ac:dyDescent="0.3">
      <c r="A133" s="256">
        <v>3</v>
      </c>
      <c r="B133" s="257" t="s">
        <v>443</v>
      </c>
      <c r="C133" s="258">
        <v>97385</v>
      </c>
      <c r="D133" s="258">
        <v>116855</v>
      </c>
      <c r="E133" s="258">
        <f t="shared" si="18"/>
        <v>19470</v>
      </c>
      <c r="F133" s="259">
        <f t="shared" si="19"/>
        <v>0.19992812034707605</v>
      </c>
    </row>
    <row r="134" spans="1:6" ht="20.25" customHeight="1" x14ac:dyDescent="0.3">
      <c r="A134" s="256">
        <v>4</v>
      </c>
      <c r="B134" s="257" t="s">
        <v>444</v>
      </c>
      <c r="C134" s="258">
        <v>29485</v>
      </c>
      <c r="D134" s="258">
        <v>17365</v>
      </c>
      <c r="E134" s="258">
        <f t="shared" si="18"/>
        <v>-12120</v>
      </c>
      <c r="F134" s="259">
        <f t="shared" si="19"/>
        <v>-0.41105646939121587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3</v>
      </c>
      <c r="E135" s="260">
        <f t="shared" si="18"/>
        <v>1</v>
      </c>
      <c r="F135" s="259">
        <f t="shared" si="19"/>
        <v>0.5</v>
      </c>
    </row>
    <row r="136" spans="1:6" ht="20.25" customHeight="1" x14ac:dyDescent="0.3">
      <c r="A136" s="256">
        <v>6</v>
      </c>
      <c r="B136" s="257" t="s">
        <v>380</v>
      </c>
      <c r="C136" s="260">
        <v>8</v>
      </c>
      <c r="D136" s="260">
        <v>7</v>
      </c>
      <c r="E136" s="260">
        <f t="shared" si="18"/>
        <v>-1</v>
      </c>
      <c r="F136" s="259">
        <f t="shared" si="19"/>
        <v>-0.125</v>
      </c>
    </row>
    <row r="137" spans="1:6" ht="20.25" customHeight="1" x14ac:dyDescent="0.3">
      <c r="A137" s="256">
        <v>7</v>
      </c>
      <c r="B137" s="257" t="s">
        <v>445</v>
      </c>
      <c r="C137" s="260">
        <v>10</v>
      </c>
      <c r="D137" s="260">
        <v>18</v>
      </c>
      <c r="E137" s="260">
        <f t="shared" si="18"/>
        <v>8</v>
      </c>
      <c r="F137" s="259">
        <f t="shared" si="19"/>
        <v>0.8</v>
      </c>
    </row>
    <row r="138" spans="1:6" ht="20.25" customHeight="1" x14ac:dyDescent="0.3">
      <c r="A138" s="256">
        <v>8</v>
      </c>
      <c r="B138" s="257" t="s">
        <v>446</v>
      </c>
      <c r="C138" s="260">
        <v>14</v>
      </c>
      <c r="D138" s="260">
        <v>16</v>
      </c>
      <c r="E138" s="260">
        <f t="shared" si="18"/>
        <v>2</v>
      </c>
      <c r="F138" s="259">
        <f t="shared" si="19"/>
        <v>0.14285714285714285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155124</v>
      </c>
      <c r="D140" s="263">
        <f>+D131+D133</f>
        <v>192892</v>
      </c>
      <c r="E140" s="263">
        <f t="shared" si="18"/>
        <v>37768</v>
      </c>
      <c r="F140" s="264">
        <f t="shared" si="19"/>
        <v>0.24346974033676286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46313</v>
      </c>
      <c r="D141" s="263">
        <f>+D132+D134</f>
        <v>39224</v>
      </c>
      <c r="E141" s="263">
        <f t="shared" si="18"/>
        <v>-7089</v>
      </c>
      <c r="F141" s="264">
        <f t="shared" si="19"/>
        <v>-0.15306717336385031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17563560</v>
      </c>
      <c r="D198" s="263">
        <f t="shared" si="28"/>
        <v>21390161</v>
      </c>
      <c r="E198" s="263">
        <f t="shared" ref="E198:E208" si="29">D198-C198</f>
        <v>3826601</v>
      </c>
      <c r="F198" s="273">
        <f t="shared" ref="F198:F208" si="30">IF(C198=0,0,E198/C198)</f>
        <v>0.21787160461774263</v>
      </c>
    </row>
    <row r="199" spans="1:9" ht="20.25" customHeight="1" x14ac:dyDescent="0.3">
      <c r="A199" s="271"/>
      <c r="B199" s="272" t="s">
        <v>466</v>
      </c>
      <c r="C199" s="263">
        <f t="shared" si="28"/>
        <v>5724759</v>
      </c>
      <c r="D199" s="263">
        <f t="shared" si="28"/>
        <v>5958792</v>
      </c>
      <c r="E199" s="263">
        <f t="shared" si="29"/>
        <v>234033</v>
      </c>
      <c r="F199" s="273">
        <f t="shared" si="30"/>
        <v>4.0880847560569797E-2</v>
      </c>
    </row>
    <row r="200" spans="1:9" ht="20.25" customHeight="1" x14ac:dyDescent="0.3">
      <c r="A200" s="271"/>
      <c r="B200" s="272" t="s">
        <v>467</v>
      </c>
      <c r="C200" s="263">
        <f t="shared" si="28"/>
        <v>10956407</v>
      </c>
      <c r="D200" s="263">
        <f t="shared" si="28"/>
        <v>11404805</v>
      </c>
      <c r="E200" s="263">
        <f t="shared" si="29"/>
        <v>448398</v>
      </c>
      <c r="F200" s="273">
        <f t="shared" si="30"/>
        <v>4.0925642868140988E-2</v>
      </c>
    </row>
    <row r="201" spans="1:9" ht="20.25" customHeight="1" x14ac:dyDescent="0.3">
      <c r="A201" s="271"/>
      <c r="B201" s="272" t="s">
        <v>468</v>
      </c>
      <c r="C201" s="263">
        <f t="shared" si="28"/>
        <v>2614117</v>
      </c>
      <c r="D201" s="263">
        <f t="shared" si="28"/>
        <v>2459276</v>
      </c>
      <c r="E201" s="263">
        <f t="shared" si="29"/>
        <v>-154841</v>
      </c>
      <c r="F201" s="273">
        <f t="shared" si="30"/>
        <v>-5.9232620422115766E-2</v>
      </c>
    </row>
    <row r="202" spans="1:9" ht="20.25" customHeight="1" x14ac:dyDescent="0.3">
      <c r="A202" s="271"/>
      <c r="B202" s="272" t="s">
        <v>138</v>
      </c>
      <c r="C202" s="274">
        <f t="shared" si="28"/>
        <v>525</v>
      </c>
      <c r="D202" s="274">
        <f t="shared" si="28"/>
        <v>613</v>
      </c>
      <c r="E202" s="274">
        <f t="shared" si="29"/>
        <v>88</v>
      </c>
      <c r="F202" s="273">
        <f t="shared" si="30"/>
        <v>0.16761904761904761</v>
      </c>
    </row>
    <row r="203" spans="1:9" ht="20.25" customHeight="1" x14ac:dyDescent="0.3">
      <c r="A203" s="271"/>
      <c r="B203" s="272" t="s">
        <v>140</v>
      </c>
      <c r="C203" s="274">
        <f t="shared" si="28"/>
        <v>2196</v>
      </c>
      <c r="D203" s="274">
        <f t="shared" si="28"/>
        <v>2580</v>
      </c>
      <c r="E203" s="274">
        <f t="shared" si="29"/>
        <v>384</v>
      </c>
      <c r="F203" s="273">
        <f t="shared" si="30"/>
        <v>0.17486338797814208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3028</v>
      </c>
      <c r="D204" s="274">
        <f t="shared" si="28"/>
        <v>3406</v>
      </c>
      <c r="E204" s="274">
        <f t="shared" si="29"/>
        <v>378</v>
      </c>
      <c r="F204" s="273">
        <f t="shared" si="30"/>
        <v>0.12483487450462351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1302</v>
      </c>
      <c r="D205" s="274">
        <f t="shared" si="28"/>
        <v>1274</v>
      </c>
      <c r="E205" s="274">
        <f t="shared" si="29"/>
        <v>-28</v>
      </c>
      <c r="F205" s="273">
        <f t="shared" si="30"/>
        <v>-2.1505376344086023E-2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28519967</v>
      </c>
      <c r="D207" s="263">
        <f>+D198+D200</f>
        <v>32794966</v>
      </c>
      <c r="E207" s="263">
        <f t="shared" si="29"/>
        <v>4274999</v>
      </c>
      <c r="F207" s="273">
        <f t="shared" si="30"/>
        <v>0.14989494903693262</v>
      </c>
    </row>
    <row r="208" spans="1:9" ht="20.25" customHeight="1" x14ac:dyDescent="0.3">
      <c r="A208" s="271"/>
      <c r="B208" s="262" t="s">
        <v>472</v>
      </c>
      <c r="C208" s="263">
        <f>+C199+C201</f>
        <v>8338876</v>
      </c>
      <c r="D208" s="263">
        <f>+D199+D201</f>
        <v>8418068</v>
      </c>
      <c r="E208" s="263">
        <f t="shared" si="29"/>
        <v>79192</v>
      </c>
      <c r="F208" s="273">
        <f t="shared" si="30"/>
        <v>9.4967235392395804E-3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7667186</v>
      </c>
      <c r="D13" s="22">
        <v>1974260</v>
      </c>
      <c r="E13" s="22">
        <f t="shared" ref="E13:E22" si="0">D13-C13</f>
        <v>-5692926</v>
      </c>
      <c r="F13" s="306">
        <f t="shared" ref="F13:F22" si="1">IF(C13=0,0,E13/C13)</f>
        <v>-0.74250526855615606</v>
      </c>
    </row>
    <row r="14" spans="1:8" ht="24" customHeight="1" x14ac:dyDescent="0.2">
      <c r="A14" s="304">
        <v>2</v>
      </c>
      <c r="B14" s="305" t="s">
        <v>17</v>
      </c>
      <c r="C14" s="22">
        <v>112417</v>
      </c>
      <c r="D14" s="22">
        <v>3538211</v>
      </c>
      <c r="E14" s="22">
        <f t="shared" si="0"/>
        <v>3425794</v>
      </c>
      <c r="F14" s="306">
        <f t="shared" si="1"/>
        <v>30.473985251340988</v>
      </c>
    </row>
    <row r="15" spans="1:8" ht="35.1" customHeight="1" x14ac:dyDescent="0.2">
      <c r="A15" s="304">
        <v>3</v>
      </c>
      <c r="B15" s="305" t="s">
        <v>18</v>
      </c>
      <c r="C15" s="22">
        <v>9919854</v>
      </c>
      <c r="D15" s="22">
        <v>9571176</v>
      </c>
      <c r="E15" s="22">
        <f t="shared" si="0"/>
        <v>-348678</v>
      </c>
      <c r="F15" s="306">
        <f t="shared" si="1"/>
        <v>-3.5149509256890275E-2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772809</v>
      </c>
      <c r="D19" s="22">
        <v>775631</v>
      </c>
      <c r="E19" s="22">
        <f t="shared" si="0"/>
        <v>2822</v>
      </c>
      <c r="F19" s="306">
        <f t="shared" si="1"/>
        <v>3.6516137881417014E-3</v>
      </c>
    </row>
    <row r="20" spans="1:11" ht="24" customHeight="1" x14ac:dyDescent="0.2">
      <c r="A20" s="304">
        <v>8</v>
      </c>
      <c r="B20" s="305" t="s">
        <v>23</v>
      </c>
      <c r="C20" s="22">
        <v>1159190</v>
      </c>
      <c r="D20" s="22">
        <v>442279</v>
      </c>
      <c r="E20" s="22">
        <f t="shared" si="0"/>
        <v>-716911</v>
      </c>
      <c r="F20" s="306">
        <f t="shared" si="1"/>
        <v>-0.61845857883522115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635284</v>
      </c>
      <c r="E21" s="22">
        <f t="shared" si="0"/>
        <v>635284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19631456</v>
      </c>
      <c r="D22" s="309">
        <f>SUM(D13:D21)</f>
        <v>16936841</v>
      </c>
      <c r="E22" s="309">
        <f t="shared" si="0"/>
        <v>-2694615</v>
      </c>
      <c r="F22" s="310">
        <f t="shared" si="1"/>
        <v>-0.13726006873866106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5169001</v>
      </c>
      <c r="D28" s="22">
        <v>6090992</v>
      </c>
      <c r="E28" s="22">
        <f>D28-C28</f>
        <v>921991</v>
      </c>
      <c r="F28" s="306">
        <f>IF(C28=0,0,E28/C28)</f>
        <v>0.17836928257510493</v>
      </c>
    </row>
    <row r="29" spans="1:11" ht="35.1" customHeight="1" x14ac:dyDescent="0.25">
      <c r="A29" s="307"/>
      <c r="B29" s="308" t="s">
        <v>32</v>
      </c>
      <c r="C29" s="309">
        <f>SUM(C25:C28)</f>
        <v>5169001</v>
      </c>
      <c r="D29" s="309">
        <f>SUM(D25:D28)</f>
        <v>6090992</v>
      </c>
      <c r="E29" s="309">
        <f>D29-C29</f>
        <v>921991</v>
      </c>
      <c r="F29" s="310">
        <f>IF(C29=0,0,E29/C29)</f>
        <v>0.17836928257510493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5052099</v>
      </c>
      <c r="D32" s="22">
        <v>3092074</v>
      </c>
      <c r="E32" s="22">
        <f>D32-C32</f>
        <v>-1960025</v>
      </c>
      <c r="F32" s="306">
        <f>IF(C32=0,0,E32/C32)</f>
        <v>-0.38796250825646922</v>
      </c>
    </row>
    <row r="33" spans="1:8" ht="24" customHeight="1" x14ac:dyDescent="0.2">
      <c r="A33" s="304">
        <v>7</v>
      </c>
      <c r="B33" s="305" t="s">
        <v>35</v>
      </c>
      <c r="C33" s="22">
        <v>2360811</v>
      </c>
      <c r="D33" s="22">
        <v>2599964</v>
      </c>
      <c r="E33" s="22">
        <f>D33-C33</f>
        <v>239153</v>
      </c>
      <c r="F33" s="306">
        <f>IF(C33=0,0,E33/C33)</f>
        <v>0.10130120539085932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65808101</v>
      </c>
      <c r="D36" s="22">
        <v>66992427</v>
      </c>
      <c r="E36" s="22">
        <f>D36-C36</f>
        <v>1184326</v>
      </c>
      <c r="F36" s="306">
        <f>IF(C36=0,0,E36/C36)</f>
        <v>1.7996659712153067E-2</v>
      </c>
    </row>
    <row r="37" spans="1:8" ht="24" customHeight="1" x14ac:dyDescent="0.2">
      <c r="A37" s="304">
        <v>2</v>
      </c>
      <c r="B37" s="305" t="s">
        <v>39</v>
      </c>
      <c r="C37" s="22">
        <v>31844774</v>
      </c>
      <c r="D37" s="22">
        <v>34212577</v>
      </c>
      <c r="E37" s="22">
        <f>D37-C37</f>
        <v>2367803</v>
      </c>
      <c r="F37" s="22">
        <f>IF(C37=0,0,E37/C37)</f>
        <v>7.4354523602522662E-2</v>
      </c>
    </row>
    <row r="38" spans="1:8" ht="24" customHeight="1" x14ac:dyDescent="0.25">
      <c r="A38" s="307"/>
      <c r="B38" s="308" t="s">
        <v>40</v>
      </c>
      <c r="C38" s="309">
        <f>C36-C37</f>
        <v>33963327</v>
      </c>
      <c r="D38" s="309">
        <f>D36-D37</f>
        <v>32779850</v>
      </c>
      <c r="E38" s="309">
        <f>D38-C38</f>
        <v>-1183477</v>
      </c>
      <c r="F38" s="310">
        <f>IF(C38=0,0,E38/C38)</f>
        <v>-3.4845732280586059E-2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183601</v>
      </c>
      <c r="E40" s="22">
        <f>D40-C40</f>
        <v>183601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33963327</v>
      </c>
      <c r="D41" s="309">
        <f>+D38+D40</f>
        <v>32963451</v>
      </c>
      <c r="E41" s="309">
        <f>D41-C41</f>
        <v>-999876</v>
      </c>
      <c r="F41" s="310">
        <f>IF(C41=0,0,E41/C41)</f>
        <v>-2.9439872012538702E-2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66176694</v>
      </c>
      <c r="D43" s="309">
        <f>D22+D29+D31+D32+D33+D41</f>
        <v>61683322</v>
      </c>
      <c r="E43" s="309">
        <f>D43-C43</f>
        <v>-4493372</v>
      </c>
      <c r="F43" s="310">
        <f>IF(C43=0,0,E43/C43)</f>
        <v>-6.7899614326457594E-2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7255878</v>
      </c>
      <c r="D49" s="22">
        <v>6840233</v>
      </c>
      <c r="E49" s="22">
        <f t="shared" ref="E49:E56" si="2">D49-C49</f>
        <v>-415645</v>
      </c>
      <c r="F49" s="306">
        <f t="shared" ref="F49:F56" si="3">IF(C49=0,0,E49/C49)</f>
        <v>-5.728390141069075E-2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6989049</v>
      </c>
      <c r="D50" s="22">
        <v>5996188</v>
      </c>
      <c r="E50" s="22">
        <f t="shared" si="2"/>
        <v>-992861</v>
      </c>
      <c r="F50" s="306">
        <f t="shared" si="3"/>
        <v>-0.14205952769826052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2415370</v>
      </c>
      <c r="D51" s="22">
        <v>1101627</v>
      </c>
      <c r="E51" s="22">
        <f t="shared" si="2"/>
        <v>-1313743</v>
      </c>
      <c r="F51" s="306">
        <f t="shared" si="3"/>
        <v>-0.54390962875253068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142366</v>
      </c>
      <c r="D54" s="22">
        <v>150501</v>
      </c>
      <c r="E54" s="22">
        <f t="shared" si="2"/>
        <v>8135</v>
      </c>
      <c r="F54" s="306">
        <f t="shared" si="3"/>
        <v>5.7141452313052274E-2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1964014</v>
      </c>
      <c r="D55" s="22">
        <v>2029560</v>
      </c>
      <c r="E55" s="22">
        <f t="shared" si="2"/>
        <v>65546</v>
      </c>
      <c r="F55" s="306">
        <f t="shared" si="3"/>
        <v>3.3373489191013912E-2</v>
      </c>
    </row>
    <row r="56" spans="1:6" ht="24" customHeight="1" x14ac:dyDescent="0.25">
      <c r="A56" s="307"/>
      <c r="B56" s="308" t="s">
        <v>54</v>
      </c>
      <c r="C56" s="309">
        <f>SUM(C49:C55)</f>
        <v>18766677</v>
      </c>
      <c r="D56" s="309">
        <f>SUM(D49:D55)</f>
        <v>16118109</v>
      </c>
      <c r="E56" s="309">
        <f t="shared" si="2"/>
        <v>-2648568</v>
      </c>
      <c r="F56" s="310">
        <f t="shared" si="3"/>
        <v>-0.14113143205906939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12492523</v>
      </c>
      <c r="D60" s="22">
        <v>14342431</v>
      </c>
      <c r="E60" s="22">
        <f>D60-C60</f>
        <v>1849908</v>
      </c>
      <c r="F60" s="306">
        <f>IF(C60=0,0,E60/C60)</f>
        <v>0.14808121626031828</v>
      </c>
    </row>
    <row r="61" spans="1:6" ht="24" customHeight="1" x14ac:dyDescent="0.25">
      <c r="A61" s="307"/>
      <c r="B61" s="308" t="s">
        <v>58</v>
      </c>
      <c r="C61" s="309">
        <f>SUM(C59:C60)</f>
        <v>12492523</v>
      </c>
      <c r="D61" s="309">
        <f>SUM(D59:D60)</f>
        <v>14342431</v>
      </c>
      <c r="E61" s="309">
        <f>D61-C61</f>
        <v>1849908</v>
      </c>
      <c r="F61" s="310">
        <f>IF(C61=0,0,E61/C61)</f>
        <v>0.14808121626031828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18262691</v>
      </c>
      <c r="D63" s="22">
        <v>32759034</v>
      </c>
      <c r="E63" s="22">
        <f>D63-C63</f>
        <v>14496343</v>
      </c>
      <c r="F63" s="306">
        <f>IF(C63=0,0,E63/C63)</f>
        <v>0.79376818016578166</v>
      </c>
    </row>
    <row r="64" spans="1:6" ht="24" customHeight="1" x14ac:dyDescent="0.2">
      <c r="A64" s="304">
        <v>4</v>
      </c>
      <c r="B64" s="305" t="s">
        <v>60</v>
      </c>
      <c r="C64" s="22">
        <v>10011117</v>
      </c>
      <c r="D64" s="22">
        <v>11706423</v>
      </c>
      <c r="E64" s="22">
        <f>D64-C64</f>
        <v>1695306</v>
      </c>
      <c r="F64" s="306">
        <f>IF(C64=0,0,E64/C64)</f>
        <v>0.16934234211826713</v>
      </c>
    </row>
    <row r="65" spans="1:6" ht="24" customHeight="1" x14ac:dyDescent="0.25">
      <c r="A65" s="307"/>
      <c r="B65" s="308" t="s">
        <v>61</v>
      </c>
      <c r="C65" s="309">
        <f>SUM(C61:C64)</f>
        <v>40766331</v>
      </c>
      <c r="D65" s="309">
        <f>SUM(D61:D64)</f>
        <v>58807888</v>
      </c>
      <c r="E65" s="309">
        <f>D65-C65</f>
        <v>18041557</v>
      </c>
      <c r="F65" s="310">
        <f>IF(C65=0,0,E65/C65)</f>
        <v>0.44256023432670455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5129446</v>
      </c>
      <c r="D70" s="22">
        <v>-14756915</v>
      </c>
      <c r="E70" s="22">
        <f>D70-C70</f>
        <v>-19886361</v>
      </c>
      <c r="F70" s="306">
        <f>IF(C70=0,0,E70/C70)</f>
        <v>-3.8769023009502392</v>
      </c>
    </row>
    <row r="71" spans="1:6" ht="24" customHeight="1" x14ac:dyDescent="0.2">
      <c r="A71" s="304">
        <v>2</v>
      </c>
      <c r="B71" s="305" t="s">
        <v>65</v>
      </c>
      <c r="C71" s="22">
        <v>840477</v>
      </c>
      <c r="D71" s="22">
        <v>840477</v>
      </c>
      <c r="E71" s="22">
        <f>D71-C71</f>
        <v>0</v>
      </c>
      <c r="F71" s="306">
        <f>IF(C71=0,0,E71/C71)</f>
        <v>0</v>
      </c>
    </row>
    <row r="72" spans="1:6" ht="24" customHeight="1" x14ac:dyDescent="0.2">
      <c r="A72" s="304">
        <v>3</v>
      </c>
      <c r="B72" s="305" t="s">
        <v>66</v>
      </c>
      <c r="C72" s="22">
        <v>673763</v>
      </c>
      <c r="D72" s="22">
        <v>673763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6643686</v>
      </c>
      <c r="D73" s="309">
        <f>SUM(D70:D72)</f>
        <v>-13242675</v>
      </c>
      <c r="E73" s="309">
        <f>D73-C73</f>
        <v>-19886361</v>
      </c>
      <c r="F73" s="310">
        <f>IF(C73=0,0,E73/C73)</f>
        <v>-2.9932722588033207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66176694</v>
      </c>
      <c r="D75" s="309">
        <f>D56+D65+D67+D73</f>
        <v>61683322</v>
      </c>
      <c r="E75" s="309">
        <f>D75-C75</f>
        <v>-4493372</v>
      </c>
      <c r="F75" s="310">
        <f>IF(C75=0,0,E75/C75)</f>
        <v>-6.7899614326457594E-2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204465712</v>
      </c>
      <c r="D11" s="76">
        <v>208174705</v>
      </c>
      <c r="E11" s="76">
        <f t="shared" ref="E11:E20" si="0">D11-C11</f>
        <v>3708993</v>
      </c>
      <c r="F11" s="77">
        <f t="shared" ref="F11:F20" si="1">IF(C11=0,0,E11/C11)</f>
        <v>1.8139926561378663E-2</v>
      </c>
    </row>
    <row r="12" spans="1:7" ht="23.1" customHeight="1" x14ac:dyDescent="0.2">
      <c r="A12" s="74">
        <v>2</v>
      </c>
      <c r="B12" s="75" t="s">
        <v>72</v>
      </c>
      <c r="C12" s="76">
        <v>128630744</v>
      </c>
      <c r="D12" s="76">
        <v>137335045</v>
      </c>
      <c r="E12" s="76">
        <f t="shared" si="0"/>
        <v>8704301</v>
      </c>
      <c r="F12" s="77">
        <f t="shared" si="1"/>
        <v>6.7668900368017773E-2</v>
      </c>
    </row>
    <row r="13" spans="1:7" ht="23.1" customHeight="1" x14ac:dyDescent="0.2">
      <c r="A13" s="74">
        <v>3</v>
      </c>
      <c r="B13" s="75" t="s">
        <v>73</v>
      </c>
      <c r="C13" s="76">
        <v>581295</v>
      </c>
      <c r="D13" s="76">
        <v>245354</v>
      </c>
      <c r="E13" s="76">
        <f t="shared" si="0"/>
        <v>-335941</v>
      </c>
      <c r="F13" s="77">
        <f t="shared" si="1"/>
        <v>-0.57791826869317642</v>
      </c>
    </row>
    <row r="14" spans="1:7" ht="23.1" customHeight="1" x14ac:dyDescent="0.2">
      <c r="A14" s="74">
        <v>4</v>
      </c>
      <c r="B14" s="75" t="s">
        <v>74</v>
      </c>
      <c r="C14" s="76">
        <v>1442946</v>
      </c>
      <c r="D14" s="76">
        <v>1796306</v>
      </c>
      <c r="E14" s="76">
        <f t="shared" si="0"/>
        <v>353360</v>
      </c>
      <c r="F14" s="77">
        <f t="shared" si="1"/>
        <v>0.24488788908247433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73810727</v>
      </c>
      <c r="D15" s="79">
        <f>D11-D12-D13-D14</f>
        <v>68798000</v>
      </c>
      <c r="E15" s="79">
        <f t="shared" si="0"/>
        <v>-5012727</v>
      </c>
      <c r="F15" s="80">
        <f t="shared" si="1"/>
        <v>-6.7913258732704262E-2</v>
      </c>
    </row>
    <row r="16" spans="1:7" ht="23.1" customHeight="1" x14ac:dyDescent="0.2">
      <c r="A16" s="74">
        <v>5</v>
      </c>
      <c r="B16" s="75" t="s">
        <v>76</v>
      </c>
      <c r="C16" s="76">
        <v>5785341</v>
      </c>
      <c r="D16" s="76">
        <v>3898291</v>
      </c>
      <c r="E16" s="76">
        <f t="shared" si="0"/>
        <v>-1887050</v>
      </c>
      <c r="F16" s="77">
        <f t="shared" si="1"/>
        <v>-0.32617783463412098</v>
      </c>
      <c r="G16" s="65"/>
    </row>
    <row r="17" spans="1:7" ht="31.5" customHeight="1" x14ac:dyDescent="0.25">
      <c r="A17" s="71"/>
      <c r="B17" s="81" t="s">
        <v>77</v>
      </c>
      <c r="C17" s="79">
        <f>C15-C16</f>
        <v>68025386</v>
      </c>
      <c r="D17" s="79">
        <f>D15-D16</f>
        <v>64899709</v>
      </c>
      <c r="E17" s="79">
        <f t="shared" si="0"/>
        <v>-3125677</v>
      </c>
      <c r="F17" s="80">
        <f t="shared" si="1"/>
        <v>-4.5948684510220932E-2</v>
      </c>
    </row>
    <row r="18" spans="1:7" ht="23.1" customHeight="1" x14ac:dyDescent="0.2">
      <c r="A18" s="74">
        <v>6</v>
      </c>
      <c r="B18" s="75" t="s">
        <v>78</v>
      </c>
      <c r="C18" s="76">
        <v>2438403</v>
      </c>
      <c r="D18" s="76">
        <v>4647727</v>
      </c>
      <c r="E18" s="76">
        <f t="shared" si="0"/>
        <v>2209324</v>
      </c>
      <c r="F18" s="77">
        <f t="shared" si="1"/>
        <v>0.90605367529485492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70463789</v>
      </c>
      <c r="D20" s="79">
        <f>SUM(D17:D19)</f>
        <v>69547436</v>
      </c>
      <c r="E20" s="79">
        <f t="shared" si="0"/>
        <v>-916353</v>
      </c>
      <c r="F20" s="80">
        <f t="shared" si="1"/>
        <v>-1.3004594459148372E-2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38732104</v>
      </c>
      <c r="D23" s="76">
        <v>35312951</v>
      </c>
      <c r="E23" s="76">
        <f t="shared" ref="E23:E32" si="2">D23-C23</f>
        <v>-3419153</v>
      </c>
      <c r="F23" s="77">
        <f t="shared" ref="F23:F32" si="3">IF(C23=0,0,E23/C23)</f>
        <v>-8.8276975606592409E-2</v>
      </c>
    </row>
    <row r="24" spans="1:7" ht="23.1" customHeight="1" x14ac:dyDescent="0.2">
      <c r="A24" s="74">
        <v>2</v>
      </c>
      <c r="B24" s="75" t="s">
        <v>83</v>
      </c>
      <c r="C24" s="76">
        <v>10103835</v>
      </c>
      <c r="D24" s="76">
        <v>10890607</v>
      </c>
      <c r="E24" s="76">
        <f t="shared" si="2"/>
        <v>786772</v>
      </c>
      <c r="F24" s="77">
        <f t="shared" si="3"/>
        <v>7.7868650863756189E-2</v>
      </c>
    </row>
    <row r="25" spans="1:7" ht="23.1" customHeight="1" x14ac:dyDescent="0.2">
      <c r="A25" s="74">
        <v>3</v>
      </c>
      <c r="B25" s="75" t="s">
        <v>84</v>
      </c>
      <c r="C25" s="76">
        <v>770256</v>
      </c>
      <c r="D25" s="76">
        <v>1108353</v>
      </c>
      <c r="E25" s="76">
        <f t="shared" si="2"/>
        <v>338097</v>
      </c>
      <c r="F25" s="77">
        <f t="shared" si="3"/>
        <v>0.43894107932946969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12428440</v>
      </c>
      <c r="D26" s="76">
        <v>11980208</v>
      </c>
      <c r="E26" s="76">
        <f t="shared" si="2"/>
        <v>-448232</v>
      </c>
      <c r="F26" s="77">
        <f t="shared" si="3"/>
        <v>-3.6065025055437371E-2</v>
      </c>
    </row>
    <row r="27" spans="1:7" ht="23.1" customHeight="1" x14ac:dyDescent="0.2">
      <c r="A27" s="74">
        <v>5</v>
      </c>
      <c r="B27" s="75" t="s">
        <v>86</v>
      </c>
      <c r="C27" s="76">
        <v>2989243</v>
      </c>
      <c r="D27" s="76">
        <v>2766285</v>
      </c>
      <c r="E27" s="76">
        <f t="shared" si="2"/>
        <v>-222958</v>
      </c>
      <c r="F27" s="77">
        <f t="shared" si="3"/>
        <v>-7.4586776652149051E-2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452267</v>
      </c>
      <c r="D29" s="76">
        <v>502550</v>
      </c>
      <c r="E29" s="76">
        <f t="shared" si="2"/>
        <v>50283</v>
      </c>
      <c r="F29" s="77">
        <f t="shared" si="3"/>
        <v>0.11117990036858758</v>
      </c>
    </row>
    <row r="30" spans="1:7" ht="23.1" customHeight="1" x14ac:dyDescent="0.2">
      <c r="A30" s="74">
        <v>8</v>
      </c>
      <c r="B30" s="75" t="s">
        <v>89</v>
      </c>
      <c r="C30" s="76">
        <v>746227</v>
      </c>
      <c r="D30" s="76">
        <v>711640</v>
      </c>
      <c r="E30" s="76">
        <f t="shared" si="2"/>
        <v>-34587</v>
      </c>
      <c r="F30" s="77">
        <f t="shared" si="3"/>
        <v>-4.6349167210513693E-2</v>
      </c>
    </row>
    <row r="31" spans="1:7" ht="23.1" customHeight="1" x14ac:dyDescent="0.2">
      <c r="A31" s="74">
        <v>9</v>
      </c>
      <c r="B31" s="75" t="s">
        <v>90</v>
      </c>
      <c r="C31" s="76">
        <v>15361223</v>
      </c>
      <c r="D31" s="76">
        <v>14143222</v>
      </c>
      <c r="E31" s="76">
        <f t="shared" si="2"/>
        <v>-1218001</v>
      </c>
      <c r="F31" s="77">
        <f t="shared" si="3"/>
        <v>-7.9290626794494168E-2</v>
      </c>
    </row>
    <row r="32" spans="1:7" ht="23.1" customHeight="1" x14ac:dyDescent="0.25">
      <c r="A32" s="71"/>
      <c r="B32" s="78" t="s">
        <v>91</v>
      </c>
      <c r="C32" s="79">
        <f>SUM(C23:C31)</f>
        <v>81583595</v>
      </c>
      <c r="D32" s="79">
        <f>SUM(D23:D31)</f>
        <v>77415816</v>
      </c>
      <c r="E32" s="79">
        <f t="shared" si="2"/>
        <v>-4167779</v>
      </c>
      <c r="F32" s="80">
        <f t="shared" si="3"/>
        <v>-5.1085993452482693E-2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-11119806</v>
      </c>
      <c r="D34" s="79">
        <f>+D20-D32</f>
        <v>-7868380</v>
      </c>
      <c r="E34" s="79">
        <f>D34-C34</f>
        <v>3251426</v>
      </c>
      <c r="F34" s="80">
        <f>IF(C34=0,0,E34/C34)</f>
        <v>-0.29239952567517813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1712782</v>
      </c>
      <c r="D37" s="76">
        <v>1632871</v>
      </c>
      <c r="E37" s="76">
        <f>D37-C37</f>
        <v>-79911</v>
      </c>
      <c r="F37" s="77">
        <f>IF(C37=0,0,E37/C37)</f>
        <v>-4.6655674802747807E-2</v>
      </c>
    </row>
    <row r="38" spans="1:6" ht="23.1" customHeight="1" x14ac:dyDescent="0.2">
      <c r="A38" s="85">
        <v>2</v>
      </c>
      <c r="B38" s="75" t="s">
        <v>95</v>
      </c>
      <c r="C38" s="76">
        <v>156498</v>
      </c>
      <c r="D38" s="76">
        <v>150308</v>
      </c>
      <c r="E38" s="76">
        <f>D38-C38</f>
        <v>-6190</v>
      </c>
      <c r="F38" s="77">
        <f>IF(C38=0,0,E38/C38)</f>
        <v>-3.9553221127426548E-2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1869280</v>
      </c>
      <c r="D40" s="79">
        <f>SUM(D37:D39)</f>
        <v>1783179</v>
      </c>
      <c r="E40" s="79">
        <f>D40-C40</f>
        <v>-86101</v>
      </c>
      <c r="F40" s="80">
        <f>IF(C40=0,0,E40/C40)</f>
        <v>-4.606105024394419E-2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-9250526</v>
      </c>
      <c r="D42" s="79">
        <f>D34+D40</f>
        <v>-6085201</v>
      </c>
      <c r="E42" s="79">
        <f>D42-C42</f>
        <v>3165325</v>
      </c>
      <c r="F42" s="80">
        <f>IF(C42=0,0,E42/C42)</f>
        <v>-0.34217783940070001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-422199</v>
      </c>
      <c r="D45" s="76">
        <v>-571356</v>
      </c>
      <c r="E45" s="76">
        <f>D45-C45</f>
        <v>-149157</v>
      </c>
      <c r="F45" s="77">
        <f>IF(C45=0,0,E45/C45)</f>
        <v>0.35328600967790069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-422199</v>
      </c>
      <c r="D47" s="79">
        <f>SUM(D45:D46)</f>
        <v>-571356</v>
      </c>
      <c r="E47" s="79">
        <f>D47-C47</f>
        <v>-149157</v>
      </c>
      <c r="F47" s="80">
        <f>IF(C47=0,0,E47/C47)</f>
        <v>0.35328600967790069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-9672725</v>
      </c>
      <c r="D49" s="79">
        <f>D42+D47</f>
        <v>-6656557</v>
      </c>
      <c r="E49" s="79">
        <f>D49-C49</f>
        <v>3016168</v>
      </c>
      <c r="F49" s="80">
        <f>IF(C49=0,0,E49/C49)</f>
        <v>-0.31182195296568443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2016-07-20T12:01:22Z</cp:lastPrinted>
  <dcterms:created xsi:type="dcterms:W3CDTF">2016-07-19T18:39:35Z</dcterms:created>
  <dcterms:modified xsi:type="dcterms:W3CDTF">2016-07-20T12:01:46Z</dcterms:modified>
</cp:coreProperties>
</file>