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D83" i="22"/>
  <c r="D102" i="22"/>
  <c r="C83" i="22"/>
  <c r="C101" i="22" s="1"/>
  <c r="E76" i="22"/>
  <c r="D76" i="22"/>
  <c r="C76" i="22"/>
  <c r="E75" i="22"/>
  <c r="E101" i="22" s="1"/>
  <c r="E77" i="22"/>
  <c r="D75" i="22"/>
  <c r="D77" i="22" s="1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C33" i="22"/>
  <c r="D21" i="21"/>
  <c r="E21" i="21" s="1"/>
  <c r="C21" i="21"/>
  <c r="F21" i="21" s="1"/>
  <c r="D19" i="21"/>
  <c r="E19" i="21" s="1"/>
  <c r="C19" i="21"/>
  <c r="F19" i="21" s="1"/>
  <c r="F17" i="21"/>
  <c r="E17" i="21"/>
  <c r="E15" i="21"/>
  <c r="F15" i="21" s="1"/>
  <c r="D45" i="20"/>
  <c r="E45" i="20" s="1"/>
  <c r="C45" i="20"/>
  <c r="D44" i="20"/>
  <c r="E44" i="20"/>
  <c r="C44" i="20"/>
  <c r="D43" i="20"/>
  <c r="D46" i="20" s="1"/>
  <c r="C43" i="20"/>
  <c r="C46" i="20" s="1"/>
  <c r="D36" i="20"/>
  <c r="D40" i="20"/>
  <c r="C36" i="20"/>
  <c r="C40" i="20" s="1"/>
  <c r="E40" i="20" s="1"/>
  <c r="F35" i="20"/>
  <c r="E35" i="20"/>
  <c r="E34" i="20"/>
  <c r="F34" i="20" s="1"/>
  <c r="E33" i="20"/>
  <c r="F33" i="20" s="1"/>
  <c r="E30" i="20"/>
  <c r="F30" i="20" s="1"/>
  <c r="E29" i="20"/>
  <c r="F29" i="20" s="1"/>
  <c r="E28" i="20"/>
  <c r="F28" i="20" s="1"/>
  <c r="F27" i="20"/>
  <c r="E27" i="20"/>
  <c r="D25" i="20"/>
  <c r="D39" i="20" s="1"/>
  <c r="C25" i="20"/>
  <c r="C39" i="20" s="1"/>
  <c r="E24" i="20"/>
  <c r="E25" i="20" s="1"/>
  <c r="F23" i="20"/>
  <c r="E23" i="20"/>
  <c r="F22" i="20"/>
  <c r="E22" i="20"/>
  <c r="D19" i="20"/>
  <c r="D20" i="20"/>
  <c r="E20" i="20" s="1"/>
  <c r="C19" i="20"/>
  <c r="C20" i="20"/>
  <c r="E18" i="20"/>
  <c r="F18" i="20" s="1"/>
  <c r="D16" i="20"/>
  <c r="E16" i="20"/>
  <c r="F16" i="20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65" i="19" s="1"/>
  <c r="C114" i="19" s="1"/>
  <c r="C116" i="19" s="1"/>
  <c r="C119" i="19" s="1"/>
  <c r="C123" i="19" s="1"/>
  <c r="C59" i="19"/>
  <c r="C60" i="19" s="1"/>
  <c r="C48" i="19"/>
  <c r="C64" i="19" s="1"/>
  <c r="C36" i="19"/>
  <c r="C32" i="19"/>
  <c r="C33" i="19" s="1"/>
  <c r="C21" i="19"/>
  <c r="C37" i="19" s="1"/>
  <c r="E328" i="18"/>
  <c r="E325" i="18"/>
  <c r="D324" i="18"/>
  <c r="D326" i="18"/>
  <c r="C324" i="18"/>
  <c r="C326" i="18" s="1"/>
  <c r="C330" i="18" s="1"/>
  <c r="E318" i="18"/>
  <c r="E315" i="18"/>
  <c r="D314" i="18"/>
  <c r="D316" i="18" s="1"/>
  <c r="C314" i="18"/>
  <c r="C316" i="18"/>
  <c r="C320" i="18" s="1"/>
  <c r="E308" i="18"/>
  <c r="E305" i="18"/>
  <c r="D301" i="18"/>
  <c r="C301" i="18"/>
  <c r="D293" i="18"/>
  <c r="E293" i="18"/>
  <c r="C293" i="18"/>
  <c r="D292" i="18"/>
  <c r="C292" i="18"/>
  <c r="E292" i="18"/>
  <c r="D291" i="18"/>
  <c r="E291" i="18" s="1"/>
  <c r="C291" i="18"/>
  <c r="D290" i="18"/>
  <c r="E290" i="18" s="1"/>
  <c r="C290" i="18"/>
  <c r="D288" i="18"/>
  <c r="C288" i="18"/>
  <c r="E288" i="18"/>
  <c r="D287" i="18"/>
  <c r="C287" i="18"/>
  <c r="E287" i="18" s="1"/>
  <c r="D282" i="18"/>
  <c r="E282" i="18" s="1"/>
  <c r="C282" i="18"/>
  <c r="D281" i="18"/>
  <c r="C281" i="18"/>
  <c r="E281" i="18" s="1"/>
  <c r="D280" i="18"/>
  <c r="E280" i="18" s="1"/>
  <c r="C280" i="18"/>
  <c r="D279" i="18"/>
  <c r="E279" i="18" s="1"/>
  <c r="C279" i="18"/>
  <c r="D278" i="18"/>
  <c r="C278" i="18"/>
  <c r="E278" i="18"/>
  <c r="D277" i="18"/>
  <c r="E277" i="18" s="1"/>
  <c r="C277" i="18"/>
  <c r="D276" i="18"/>
  <c r="C276" i="18"/>
  <c r="E276" i="18"/>
  <c r="E270" i="18"/>
  <c r="D265" i="18"/>
  <c r="D302" i="18"/>
  <c r="D303" i="18" s="1"/>
  <c r="C265" i="18"/>
  <c r="C302" i="18" s="1"/>
  <c r="C303" i="18" s="1"/>
  <c r="E303" i="18" s="1"/>
  <c r="D262" i="18"/>
  <c r="C262" i="18"/>
  <c r="E262" i="18"/>
  <c r="D251" i="18"/>
  <c r="C251" i="18"/>
  <c r="E251" i="18"/>
  <c r="D233" i="18"/>
  <c r="C233" i="18"/>
  <c r="D232" i="18"/>
  <c r="C232" i="18"/>
  <c r="E232" i="18" s="1"/>
  <c r="D231" i="18"/>
  <c r="C231" i="18"/>
  <c r="D230" i="18"/>
  <c r="E230" i="18" s="1"/>
  <c r="C230" i="18"/>
  <c r="D228" i="18"/>
  <c r="C228" i="18"/>
  <c r="E228" i="18" s="1"/>
  <c r="D227" i="18"/>
  <c r="C227" i="18"/>
  <c r="E227" i="18"/>
  <c r="D221" i="18"/>
  <c r="C221" i="18"/>
  <c r="C245" i="18" s="1"/>
  <c r="D220" i="18"/>
  <c r="D244" i="18"/>
  <c r="C220" i="18"/>
  <c r="C244" i="18"/>
  <c r="D219" i="18"/>
  <c r="D217" i="18" s="1"/>
  <c r="C219" i="18"/>
  <c r="C243" i="18" s="1"/>
  <c r="D218" i="18"/>
  <c r="D242" i="18"/>
  <c r="C218" i="18"/>
  <c r="D216" i="18"/>
  <c r="D240" i="18"/>
  <c r="C216" i="18"/>
  <c r="C240" i="18" s="1"/>
  <c r="D215" i="18"/>
  <c r="C215" i="18"/>
  <c r="C239" i="18"/>
  <c r="D210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C179" i="18"/>
  <c r="E179" i="18"/>
  <c r="D178" i="18"/>
  <c r="C178" i="18"/>
  <c r="E178" i="18" s="1"/>
  <c r="D177" i="18"/>
  <c r="E177" i="18" s="1"/>
  <c r="C177" i="18"/>
  <c r="D176" i="18"/>
  <c r="C176" i="18"/>
  <c r="E176" i="18" s="1"/>
  <c r="D174" i="18"/>
  <c r="C174" i="18"/>
  <c r="E174" i="18" s="1"/>
  <c r="D173" i="18"/>
  <c r="E173" i="18" s="1"/>
  <c r="C173" i="18"/>
  <c r="D167" i="18"/>
  <c r="C167" i="18"/>
  <c r="E167" i="18" s="1"/>
  <c r="D166" i="18"/>
  <c r="E166" i="18" s="1"/>
  <c r="C166" i="18"/>
  <c r="D165" i="18"/>
  <c r="E165" i="18" s="1"/>
  <c r="C165" i="18"/>
  <c r="D164" i="18"/>
  <c r="C164" i="18"/>
  <c r="E164" i="18"/>
  <c r="D162" i="18"/>
  <c r="E162" i="18" s="1"/>
  <c r="C162" i="18"/>
  <c r="D161" i="18"/>
  <c r="C161" i="18"/>
  <c r="E161" i="18" s="1"/>
  <c r="D156" i="18"/>
  <c r="D157" i="18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/>
  <c r="C139" i="18"/>
  <c r="C144" i="18" s="1"/>
  <c r="E138" i="18"/>
  <c r="E137" i="18"/>
  <c r="D75" i="18"/>
  <c r="C75" i="18"/>
  <c r="E75" i="18"/>
  <c r="D74" i="18"/>
  <c r="E74" i="18"/>
  <c r="C74" i="18"/>
  <c r="D73" i="18"/>
  <c r="C73" i="18"/>
  <c r="E73" i="18"/>
  <c r="D72" i="18"/>
  <c r="C72" i="18"/>
  <c r="E72" i="18" s="1"/>
  <c r="C71" i="18"/>
  <c r="C76" i="18" s="1"/>
  <c r="D70" i="18"/>
  <c r="E70" i="18" s="1"/>
  <c r="C70" i="18"/>
  <c r="D69" i="18"/>
  <c r="C69" i="18"/>
  <c r="C65" i="18"/>
  <c r="C294" i="18" s="1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C235" i="18" s="1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C40" i="18"/>
  <c r="E40" i="18"/>
  <c r="D39" i="18"/>
  <c r="C39" i="18"/>
  <c r="E39" i="18" s="1"/>
  <c r="D38" i="18"/>
  <c r="C38" i="18"/>
  <c r="D37" i="18"/>
  <c r="D43" i="18" s="1"/>
  <c r="C37" i="18"/>
  <c r="C43" i="18" s="1"/>
  <c r="D36" i="18"/>
  <c r="C36" i="18"/>
  <c r="D33" i="18"/>
  <c r="D32" i="18"/>
  <c r="C32" i="18"/>
  <c r="E31" i="18"/>
  <c r="E30" i="18"/>
  <c r="E29" i="18"/>
  <c r="E28" i="18"/>
  <c r="E27" i="18"/>
  <c r="E26" i="18"/>
  <c r="E25" i="18"/>
  <c r="C22" i="18"/>
  <c r="C284" i="18" s="1"/>
  <c r="D21" i="18"/>
  <c r="D283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E311" i="17" s="1"/>
  <c r="C311" i="17"/>
  <c r="F311" i="17" s="1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 s="1"/>
  <c r="E248" i="17"/>
  <c r="F248" i="17" s="1"/>
  <c r="F245" i="17"/>
  <c r="E245" i="17"/>
  <c r="E244" i="17"/>
  <c r="F244" i="17"/>
  <c r="E243" i="17"/>
  <c r="F243" i="17" s="1"/>
  <c r="D238" i="17"/>
  <c r="C238" i="17"/>
  <c r="D237" i="17"/>
  <c r="D239" i="17" s="1"/>
  <c r="C237" i="17"/>
  <c r="C239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 s="1"/>
  <c r="E227" i="17" s="1"/>
  <c r="C226" i="17"/>
  <c r="C227" i="17"/>
  <c r="E225" i="17"/>
  <c r="F225" i="17" s="1"/>
  <c r="E224" i="17"/>
  <c r="F224" i="17"/>
  <c r="D223" i="17"/>
  <c r="C223" i="17"/>
  <c r="E222" i="17"/>
  <c r="F222" i="17"/>
  <c r="E221" i="17"/>
  <c r="F221" i="17" s="1"/>
  <c r="D204" i="17"/>
  <c r="C204" i="17"/>
  <c r="C285" i="17"/>
  <c r="D203" i="17"/>
  <c r="C203" i="17"/>
  <c r="C283" i="17"/>
  <c r="D198" i="17"/>
  <c r="C198" i="17"/>
  <c r="C290" i="17" s="1"/>
  <c r="D191" i="17"/>
  <c r="D280" i="17" s="1"/>
  <c r="C191" i="17"/>
  <c r="D189" i="17"/>
  <c r="D278" i="17" s="1"/>
  <c r="C189" i="17"/>
  <c r="D188" i="17"/>
  <c r="D277" i="17" s="1"/>
  <c r="C188" i="17"/>
  <c r="D180" i="17"/>
  <c r="E180" i="17" s="1"/>
  <c r="F180" i="17" s="1"/>
  <c r="C180" i="17"/>
  <c r="D179" i="17"/>
  <c r="C179" i="17"/>
  <c r="C172" i="17"/>
  <c r="D171" i="17"/>
  <c r="D172" i="17"/>
  <c r="D173" i="17"/>
  <c r="C171" i="17"/>
  <c r="D170" i="17"/>
  <c r="C170" i="17"/>
  <c r="E169" i="17"/>
  <c r="F169" i="17" s="1"/>
  <c r="E168" i="17"/>
  <c r="F168" i="17"/>
  <c r="D165" i="17"/>
  <c r="C165" i="17"/>
  <c r="D164" i="17"/>
  <c r="C164" i="17"/>
  <c r="E163" i="17"/>
  <c r="F163" i="17" s="1"/>
  <c r="D158" i="17"/>
  <c r="D159" i="17"/>
  <c r="C158" i="17"/>
  <c r="C159" i="17" s="1"/>
  <c r="E157" i="17"/>
  <c r="F157" i="17" s="1"/>
  <c r="E156" i="17"/>
  <c r="F156" i="17" s="1"/>
  <c r="D155" i="17"/>
  <c r="C155" i="17"/>
  <c r="E154" i="17"/>
  <c r="F154" i="17" s="1"/>
  <c r="E153" i="17"/>
  <c r="F153" i="17" s="1"/>
  <c r="D145" i="17"/>
  <c r="C145" i="17"/>
  <c r="D144" i="17"/>
  <c r="D146" i="17"/>
  <c r="C144" i="17"/>
  <c r="D136" i="17"/>
  <c r="D137" i="17"/>
  <c r="C136" i="17"/>
  <c r="C137" i="17"/>
  <c r="D135" i="17"/>
  <c r="E135" i="17" s="1"/>
  <c r="C135" i="17"/>
  <c r="E134" i="17"/>
  <c r="F134" i="17"/>
  <c r="E133" i="17"/>
  <c r="F133" i="17"/>
  <c r="D130" i="17"/>
  <c r="C130" i="17"/>
  <c r="D129" i="17"/>
  <c r="C129" i="17"/>
  <c r="E128" i="17"/>
  <c r="F128" i="17" s="1"/>
  <c r="D123" i="17"/>
  <c r="D192" i="17"/>
  <c r="C123" i="17"/>
  <c r="E122" i="17"/>
  <c r="F122" i="17" s="1"/>
  <c r="E121" i="17"/>
  <c r="F121" i="17" s="1"/>
  <c r="D120" i="17"/>
  <c r="E120" i="17"/>
  <c r="F120" i="17" s="1"/>
  <c r="C120" i="17"/>
  <c r="F119" i="17"/>
  <c r="E119" i="17"/>
  <c r="F118" i="17"/>
  <c r="E118" i="17"/>
  <c r="D110" i="17"/>
  <c r="E110" i="17"/>
  <c r="F110" i="17" s="1"/>
  <c r="C110" i="17"/>
  <c r="D109" i="17"/>
  <c r="D111" i="17" s="1"/>
  <c r="C109" i="17"/>
  <c r="C111" i="17" s="1"/>
  <c r="D101" i="17"/>
  <c r="D102" i="17"/>
  <c r="C101" i="17"/>
  <c r="C102" i="17"/>
  <c r="D100" i="17"/>
  <c r="E100" i="17"/>
  <c r="F100" i="17" s="1"/>
  <c r="C100" i="17"/>
  <c r="F99" i="17"/>
  <c r="E99" i="17"/>
  <c r="E98" i="17"/>
  <c r="F98" i="17" s="1"/>
  <c r="D95" i="17"/>
  <c r="E95" i="17"/>
  <c r="F95" i="17" s="1"/>
  <c r="C95" i="17"/>
  <c r="D94" i="17"/>
  <c r="E94" i="17"/>
  <c r="C94" i="17"/>
  <c r="F94" i="17" s="1"/>
  <c r="E93" i="17"/>
  <c r="F93" i="17" s="1"/>
  <c r="D88" i="17"/>
  <c r="D89" i="17" s="1"/>
  <c r="E89" i="17"/>
  <c r="C88" i="17"/>
  <c r="C89" i="17" s="1"/>
  <c r="F87" i="17"/>
  <c r="E87" i="17"/>
  <c r="F86" i="17"/>
  <c r="E86" i="17"/>
  <c r="D85" i="17"/>
  <c r="E85" i="17"/>
  <c r="F85" i="17"/>
  <c r="C85" i="17"/>
  <c r="F84" i="17"/>
  <c r="E84" i="17"/>
  <c r="F83" i="17"/>
  <c r="E83" i="17"/>
  <c r="D76" i="17"/>
  <c r="D77" i="17"/>
  <c r="E77" i="17"/>
  <c r="C76" i="17"/>
  <c r="C77" i="17"/>
  <c r="E74" i="17"/>
  <c r="F74" i="17"/>
  <c r="E73" i="17"/>
  <c r="F73" i="17" s="1"/>
  <c r="D67" i="17"/>
  <c r="D68" i="17" s="1"/>
  <c r="C67" i="17"/>
  <c r="D66" i="17"/>
  <c r="C66" i="17"/>
  <c r="D59" i="17"/>
  <c r="D60" i="17"/>
  <c r="C59" i="17"/>
  <c r="C60" i="17" s="1"/>
  <c r="D58" i="17"/>
  <c r="C58" i="17"/>
  <c r="E57" i="17"/>
  <c r="F57" i="17" s="1"/>
  <c r="E56" i="17"/>
  <c r="F56" i="17"/>
  <c r="D53" i="17"/>
  <c r="C53" i="17"/>
  <c r="D52" i="17"/>
  <c r="C52" i="17"/>
  <c r="E51" i="17"/>
  <c r="F51" i="17" s="1"/>
  <c r="D47" i="17"/>
  <c r="D48" i="17"/>
  <c r="C47" i="17"/>
  <c r="C48" i="17" s="1"/>
  <c r="E46" i="17"/>
  <c r="F46" i="17" s="1"/>
  <c r="E45" i="17"/>
  <c r="F45" i="17" s="1"/>
  <c r="D44" i="17"/>
  <c r="C44" i="17"/>
  <c r="E43" i="17"/>
  <c r="F43" i="17"/>
  <c r="E42" i="17"/>
  <c r="F42" i="17"/>
  <c r="D36" i="17"/>
  <c r="C36" i="17"/>
  <c r="E36" i="17"/>
  <c r="F36" i="17" s="1"/>
  <c r="D35" i="17"/>
  <c r="D37" i="17" s="1"/>
  <c r="C35" i="17"/>
  <c r="D30" i="17"/>
  <c r="D31" i="17"/>
  <c r="C30" i="17"/>
  <c r="C31" i="17"/>
  <c r="D29" i="17"/>
  <c r="C29" i="17"/>
  <c r="E28" i="17"/>
  <c r="F28" i="17" s="1"/>
  <c r="E27" i="17"/>
  <c r="F27" i="17" s="1"/>
  <c r="D24" i="17"/>
  <c r="C24" i="17"/>
  <c r="E24" i="17" s="1"/>
  <c r="D23" i="17"/>
  <c r="C23" i="17"/>
  <c r="E23" i="17" s="1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/>
  <c r="E15" i="17"/>
  <c r="F15" i="17" s="1"/>
  <c r="D22" i="16"/>
  <c r="E22" i="16" s="1"/>
  <c r="F22" i="16" s="1"/>
  <c r="C22" i="16"/>
  <c r="E21" i="16"/>
  <c r="F21" i="16" s="1"/>
  <c r="F20" i="16"/>
  <c r="E20" i="16"/>
  <c r="D17" i="16"/>
  <c r="E17" i="16" s="1"/>
  <c r="F17" i="16" s="1"/>
  <c r="C17" i="16"/>
  <c r="E16" i="16"/>
  <c r="F16" i="16" s="1"/>
  <c r="D13" i="16"/>
  <c r="E13" i="16" s="1"/>
  <c r="F13" i="16" s="1"/>
  <c r="C13" i="16"/>
  <c r="F12" i="16"/>
  <c r="E12" i="16"/>
  <c r="D107" i="15"/>
  <c r="E107" i="15"/>
  <c r="F107" i="15"/>
  <c r="C107" i="15"/>
  <c r="F106" i="15"/>
  <c r="E106" i="15"/>
  <c r="F105" i="15"/>
  <c r="E105" i="15"/>
  <c r="E104" i="15"/>
  <c r="F104" i="15" s="1"/>
  <c r="D100" i="15"/>
  <c r="E100" i="15" s="1"/>
  <c r="F100" i="15" s="1"/>
  <c r="C100" i="15"/>
  <c r="F99" i="15"/>
  <c r="E99" i="15"/>
  <c r="F98" i="15"/>
  <c r="E98" i="15"/>
  <c r="F97" i="15"/>
  <c r="E97" i="15"/>
  <c r="F96" i="15"/>
  <c r="E96" i="15"/>
  <c r="F95" i="15"/>
  <c r="E95" i="15"/>
  <c r="F92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3" i="15"/>
  <c r="E73" i="15"/>
  <c r="D70" i="15"/>
  <c r="E70" i="15" s="1"/>
  <c r="C70" i="15"/>
  <c r="F69" i="15"/>
  <c r="E69" i="15"/>
  <c r="F68" i="15"/>
  <c r="E68" i="15"/>
  <c r="D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 s="1"/>
  <c r="F55" i="15"/>
  <c r="D55" i="15"/>
  <c r="C55" i="15"/>
  <c r="E55" i="15" s="1"/>
  <c r="F54" i="15"/>
  <c r="E54" i="15"/>
  <c r="F53" i="15"/>
  <c r="E53" i="15"/>
  <c r="F50" i="15"/>
  <c r="D50" i="15"/>
  <c r="C50" i="15"/>
  <c r="E50" i="15" s="1"/>
  <c r="F49" i="15"/>
  <c r="E49" i="15"/>
  <c r="F48" i="15"/>
  <c r="E48" i="15"/>
  <c r="D45" i="15"/>
  <c r="C45" i="15"/>
  <c r="F44" i="15"/>
  <c r="E44" i="15"/>
  <c r="F43" i="15"/>
  <c r="E43" i="15"/>
  <c r="D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F20" i="15"/>
  <c r="E20" i="15"/>
  <c r="E19" i="15"/>
  <c r="F19" i="15" s="1"/>
  <c r="D16" i="15"/>
  <c r="E16" i="15" s="1"/>
  <c r="F16" i="15" s="1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1" i="14"/>
  <c r="D17" i="14"/>
  <c r="D33" i="14" s="1"/>
  <c r="D36" i="14" s="1"/>
  <c r="D38" i="14" s="1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C79" i="13"/>
  <c r="E78" i="13"/>
  <c r="E80" i="13" s="1"/>
  <c r="E77" i="13" s="1"/>
  <c r="D78" i="13"/>
  <c r="D77" i="13"/>
  <c r="C78" i="13"/>
  <c r="C80" i="13" s="1"/>
  <c r="C77" i="13" s="1"/>
  <c r="E73" i="13"/>
  <c r="E75" i="13" s="1"/>
  <c r="D73" i="13"/>
  <c r="D75" i="13"/>
  <c r="C73" i="13"/>
  <c r="C75" i="13" s="1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C42" i="13"/>
  <c r="E46" i="13"/>
  <c r="E59" i="13" s="1"/>
  <c r="E61" i="13"/>
  <c r="E57" i="13" s="1"/>
  <c r="D46" i="13"/>
  <c r="D59" i="13"/>
  <c r="D61" i="13" s="1"/>
  <c r="D57" i="13"/>
  <c r="C46" i="13"/>
  <c r="C48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C25" i="13"/>
  <c r="C27" i="13" s="1"/>
  <c r="E15" i="13"/>
  <c r="E24" i="13" s="1"/>
  <c r="C15" i="13"/>
  <c r="C24" i="13" s="1"/>
  <c r="E13" i="13"/>
  <c r="E25" i="13" s="1"/>
  <c r="E27" i="13" s="1"/>
  <c r="D13" i="13"/>
  <c r="D25" i="13" s="1"/>
  <c r="D27" i="13" s="1"/>
  <c r="C13" i="13"/>
  <c r="D47" i="12"/>
  <c r="E47" i="12"/>
  <c r="C47" i="12"/>
  <c r="F46" i="12"/>
  <c r="E46" i="12"/>
  <c r="E45" i="12"/>
  <c r="F45" i="12" s="1"/>
  <c r="D40" i="12"/>
  <c r="E40" i="12"/>
  <c r="C40" i="12"/>
  <c r="F40" i="12" s="1"/>
  <c r="F39" i="12"/>
  <c r="E39" i="12"/>
  <c r="E38" i="12"/>
  <c r="F38" i="12" s="1"/>
  <c r="E37" i="12"/>
  <c r="F37" i="12" s="1"/>
  <c r="D32" i="12"/>
  <c r="E32" i="12" s="1"/>
  <c r="C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F25" i="12"/>
  <c r="E25" i="12"/>
  <c r="F24" i="12"/>
  <c r="E24" i="12"/>
  <c r="E23" i="12"/>
  <c r="F23" i="12" s="1"/>
  <c r="F19" i="12"/>
  <c r="E19" i="12"/>
  <c r="E18" i="12"/>
  <c r="F18" i="12" s="1"/>
  <c r="F16" i="12"/>
  <c r="E16" i="12"/>
  <c r="D15" i="12"/>
  <c r="D17" i="12"/>
  <c r="C15" i="12"/>
  <c r="C17" i="12"/>
  <c r="C20" i="12" s="1"/>
  <c r="F14" i="12"/>
  <c r="E14" i="12"/>
  <c r="E13" i="12"/>
  <c r="F13" i="12" s="1"/>
  <c r="E12" i="12"/>
  <c r="F12" i="12" s="1"/>
  <c r="E11" i="12"/>
  <c r="F11" i="12" s="1"/>
  <c r="D73" i="11"/>
  <c r="E73" i="11" s="1"/>
  <c r="F73" i="11" s="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C65" i="11"/>
  <c r="E60" i="11"/>
  <c r="F60" i="11" s="1"/>
  <c r="F59" i="11"/>
  <c r="E59" i="11"/>
  <c r="D56" i="11"/>
  <c r="D75" i="11" s="1"/>
  <c r="C56" i="11"/>
  <c r="C75" i="11" s="1"/>
  <c r="E55" i="11"/>
  <c r="F55" i="11" s="1"/>
  <c r="E54" i="11"/>
  <c r="F54" i="1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/>
  <c r="C38" i="11"/>
  <c r="C41" i="11"/>
  <c r="E37" i="11"/>
  <c r="F37" i="11" s="1"/>
  <c r="E36" i="11"/>
  <c r="F36" i="11" s="1"/>
  <c r="F33" i="11"/>
  <c r="E33" i="11"/>
  <c r="E32" i="11"/>
  <c r="F32" i="11" s="1"/>
  <c r="F31" i="11"/>
  <c r="E31" i="11"/>
  <c r="D29" i="11"/>
  <c r="E29" i="11" s="1"/>
  <c r="C29" i="11"/>
  <c r="E28" i="11"/>
  <c r="F28" i="11" s="1"/>
  <c r="F27" i="11"/>
  <c r="E27" i="11"/>
  <c r="F26" i="11"/>
  <c r="E26" i="11"/>
  <c r="F25" i="11"/>
  <c r="E25" i="11"/>
  <c r="D22" i="11"/>
  <c r="D43" i="11" s="1"/>
  <c r="C22" i="11"/>
  <c r="F21" i="11"/>
  <c r="E21" i="11"/>
  <c r="E20" i="11"/>
  <c r="F20" i="11" s="1"/>
  <c r="F19" i="11"/>
  <c r="E19" i="11"/>
  <c r="F18" i="11"/>
  <c r="E18" i="11"/>
  <c r="F17" i="11"/>
  <c r="E17" i="11"/>
  <c r="F16" i="11"/>
  <c r="E16" i="11"/>
  <c r="F15" i="11"/>
  <c r="E15" i="11"/>
  <c r="E14" i="11"/>
  <c r="F14" i="11" s="1"/>
  <c r="F13" i="11"/>
  <c r="E13" i="11"/>
  <c r="F120" i="10"/>
  <c r="D120" i="10"/>
  <c r="E120" i="10" s="1"/>
  <c r="C120" i="10"/>
  <c r="D119" i="10"/>
  <c r="E119" i="10"/>
  <c r="C119" i="10"/>
  <c r="D118" i="10"/>
  <c r="E118" i="10" s="1"/>
  <c r="C118" i="10"/>
  <c r="D117" i="10"/>
  <c r="E117" i="10"/>
  <c r="C117" i="10"/>
  <c r="D116" i="10"/>
  <c r="E116" i="10"/>
  <c r="C116" i="10"/>
  <c r="D115" i="10"/>
  <c r="E115" i="10"/>
  <c r="C115" i="10"/>
  <c r="F115" i="10" s="1"/>
  <c r="D114" i="10"/>
  <c r="E114" i="10" s="1"/>
  <c r="C114" i="10"/>
  <c r="F114" i="10" s="1"/>
  <c r="D113" i="10"/>
  <c r="D122" i="10"/>
  <c r="C113" i="10"/>
  <c r="C122" i="10"/>
  <c r="D112" i="10"/>
  <c r="D121" i="10"/>
  <c r="C112" i="10"/>
  <c r="C121" i="10"/>
  <c r="D108" i="10"/>
  <c r="E108" i="10"/>
  <c r="C108" i="10"/>
  <c r="D107" i="10"/>
  <c r="E107" i="10"/>
  <c r="C107" i="10"/>
  <c r="F107" i="10" s="1"/>
  <c r="F106" i="10"/>
  <c r="E106" i="10"/>
  <c r="E105" i="10"/>
  <c r="F105" i="10" s="1"/>
  <c r="F104" i="10"/>
  <c r="E104" i="10"/>
  <c r="E103" i="10"/>
  <c r="F103" i="10" s="1"/>
  <c r="E102" i="10"/>
  <c r="F102" i="10" s="1"/>
  <c r="E101" i="10"/>
  <c r="F101" i="10" s="1"/>
  <c r="E100" i="10"/>
  <c r="F100" i="10" s="1"/>
  <c r="E99" i="10"/>
  <c r="F99" i="10" s="1"/>
  <c r="E98" i="10"/>
  <c r="F98" i="10" s="1"/>
  <c r="D96" i="10"/>
  <c r="C96" i="10"/>
  <c r="F96" i="10" s="1"/>
  <c r="D95" i="10"/>
  <c r="E95" i="10" s="1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D59" i="10"/>
  <c r="E59" i="10"/>
  <c r="C59" i="10"/>
  <c r="F59" i="10" s="1"/>
  <c r="F58" i="10"/>
  <c r="E58" i="10"/>
  <c r="E57" i="10"/>
  <c r="F57" i="10" s="1"/>
  <c r="F56" i="10"/>
  <c r="E56" i="10"/>
  <c r="E55" i="10"/>
  <c r="F55" i="10" s="1"/>
  <c r="E54" i="10"/>
  <c r="F54" i="10" s="1"/>
  <c r="E53" i="10"/>
  <c r="F53" i="10" s="1"/>
  <c r="F52" i="10"/>
  <c r="E52" i="10"/>
  <c r="E51" i="10"/>
  <c r="F51" i="10" s="1"/>
  <c r="E50" i="10"/>
  <c r="F50" i="10" s="1"/>
  <c r="D48" i="10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D35" i="10"/>
  <c r="E35" i="10"/>
  <c r="C35" i="10"/>
  <c r="F35" i="10" s="1"/>
  <c r="F34" i="10"/>
  <c r="E34" i="10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F26" i="10"/>
  <c r="E26" i="10"/>
  <c r="D24" i="10"/>
  <c r="C24" i="10"/>
  <c r="F24" i="10" s="1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 s="1"/>
  <c r="D205" i="9"/>
  <c r="E205" i="9"/>
  <c r="C205" i="9"/>
  <c r="D204" i="9"/>
  <c r="E204" i="9"/>
  <c r="C204" i="9"/>
  <c r="D203" i="9"/>
  <c r="E203" i="9"/>
  <c r="C203" i="9"/>
  <c r="F203" i="9" s="1"/>
  <c r="D202" i="9"/>
  <c r="E202" i="9"/>
  <c r="C202" i="9"/>
  <c r="F202" i="9" s="1"/>
  <c r="D201" i="9"/>
  <c r="E201" i="9" s="1"/>
  <c r="C201" i="9"/>
  <c r="D200" i="9"/>
  <c r="E200" i="9"/>
  <c r="C200" i="9"/>
  <c r="F200" i="9" s="1"/>
  <c r="D199" i="9"/>
  <c r="D208" i="9"/>
  <c r="C199" i="9"/>
  <c r="C208" i="9" s="1"/>
  <c r="D198" i="9"/>
  <c r="D207" i="9" s="1"/>
  <c r="E207" i="9" s="1"/>
  <c r="C198" i="9"/>
  <c r="C207" i="9"/>
  <c r="D193" i="9"/>
  <c r="C193" i="9"/>
  <c r="D192" i="9"/>
  <c r="C192" i="9"/>
  <c r="E192" i="9" s="1"/>
  <c r="F191" i="9"/>
  <c r="E191" i="9"/>
  <c r="E190" i="9"/>
  <c r="F190" i="9" s="1"/>
  <c r="E189" i="9"/>
  <c r="F189" i="9" s="1"/>
  <c r="F188" i="9"/>
  <c r="E188" i="9"/>
  <c r="F187" i="9"/>
  <c r="E187" i="9"/>
  <c r="E186" i="9"/>
  <c r="F186" i="9" s="1"/>
  <c r="E185" i="9"/>
  <c r="F185" i="9" s="1"/>
  <c r="F184" i="9"/>
  <c r="E184" i="9"/>
  <c r="F183" i="9"/>
  <c r="E183" i="9"/>
  <c r="F180" i="9"/>
  <c r="D180" i="9"/>
  <c r="C180" i="9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E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F153" i="9"/>
  <c r="D153" i="9"/>
  <c r="C153" i="9"/>
  <c r="E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 s="1"/>
  <c r="C141" i="9"/>
  <c r="D140" i="9"/>
  <c r="E140" i="9"/>
  <c r="F140" i="9"/>
  <c r="C140" i="9"/>
  <c r="F139" i="9"/>
  <c r="E139" i="9"/>
  <c r="F138" i="9"/>
  <c r="E138" i="9"/>
  <c r="E137" i="9"/>
  <c r="F137" i="9" s="1"/>
  <c r="F136" i="9"/>
  <c r="E136" i="9"/>
  <c r="E135" i="9"/>
  <c r="F135" i="9" s="1"/>
  <c r="F134" i="9"/>
  <c r="E134" i="9"/>
  <c r="E133" i="9"/>
  <c r="F133" i="9" s="1"/>
  <c r="E132" i="9"/>
  <c r="F132" i="9" s="1"/>
  <c r="E131" i="9"/>
  <c r="F131" i="9" s="1"/>
  <c r="D128" i="9"/>
  <c r="E128" i="9"/>
  <c r="F128" i="9" s="1"/>
  <c r="C128" i="9"/>
  <c r="D127" i="9"/>
  <c r="C127" i="9"/>
  <c r="F126" i="9"/>
  <c r="E126" i="9"/>
  <c r="F125" i="9"/>
  <c r="E125" i="9"/>
  <c r="E124" i="9"/>
  <c r="F124" i="9" s="1"/>
  <c r="E123" i="9"/>
  <c r="F123" i="9" s="1"/>
  <c r="F122" i="9"/>
  <c r="E122" i="9"/>
  <c r="F121" i="9"/>
  <c r="E121" i="9"/>
  <c r="F120" i="9"/>
  <c r="E120" i="9"/>
  <c r="E119" i="9"/>
  <c r="F119" i="9" s="1"/>
  <c r="E118" i="9"/>
  <c r="F118" i="9" s="1"/>
  <c r="D115" i="9"/>
  <c r="E115" i="9"/>
  <c r="F115" i="9" s="1"/>
  <c r="C115" i="9"/>
  <c r="D114" i="9"/>
  <c r="C114" i="9"/>
  <c r="F113" i="9"/>
  <c r="E113" i="9"/>
  <c r="F112" i="9"/>
  <c r="E112" i="9"/>
  <c r="E111" i="9"/>
  <c r="F111" i="9" s="1"/>
  <c r="E110" i="9"/>
  <c r="F110" i="9" s="1"/>
  <c r="E109" i="9"/>
  <c r="F109" i="9" s="1"/>
  <c r="F108" i="9"/>
  <c r="E108" i="9"/>
  <c r="E107" i="9"/>
  <c r="F107" i="9" s="1"/>
  <c r="E106" i="9"/>
  <c r="F106" i="9" s="1"/>
  <c r="E105" i="9"/>
  <c r="F105" i="9" s="1"/>
  <c r="D102" i="9"/>
  <c r="E102" i="9" s="1"/>
  <c r="C102" i="9"/>
  <c r="D101" i="9"/>
  <c r="C101" i="9"/>
  <c r="F100" i="9"/>
  <c r="E100" i="9"/>
  <c r="E99" i="9"/>
  <c r="F99" i="9" s="1"/>
  <c r="E98" i="9"/>
  <c r="F98" i="9" s="1"/>
  <c r="E97" i="9"/>
  <c r="F97" i="9" s="1"/>
  <c r="F96" i="9"/>
  <c r="E96" i="9"/>
  <c r="E95" i="9"/>
  <c r="F95" i="9" s="1"/>
  <c r="E94" i="9"/>
  <c r="F94" i="9" s="1"/>
  <c r="E93" i="9"/>
  <c r="F93" i="9" s="1"/>
  <c r="F92" i="9"/>
  <c r="E92" i="9"/>
  <c r="D89" i="9"/>
  <c r="C89" i="9"/>
  <c r="D88" i="9"/>
  <c r="E88" i="9"/>
  <c r="F88" i="9" s="1"/>
  <c r="C88" i="9"/>
  <c r="F87" i="9"/>
  <c r="E87" i="9"/>
  <c r="E86" i="9"/>
  <c r="F86" i="9" s="1"/>
  <c r="E85" i="9"/>
  <c r="F85" i="9" s="1"/>
  <c r="F84" i="9"/>
  <c r="E84" i="9"/>
  <c r="E83" i="9"/>
  <c r="F83" i="9" s="1"/>
  <c r="E82" i="9"/>
  <c r="F82" i="9" s="1"/>
  <c r="E81" i="9"/>
  <c r="F81" i="9" s="1"/>
  <c r="F80" i="9"/>
  <c r="E80" i="9"/>
  <c r="E79" i="9"/>
  <c r="F79" i="9" s="1"/>
  <c r="D76" i="9"/>
  <c r="E76" i="9"/>
  <c r="C76" i="9"/>
  <c r="D75" i="9"/>
  <c r="E75" i="9" s="1"/>
  <c r="C75" i="9"/>
  <c r="F75" i="9" s="1"/>
  <c r="F74" i="9"/>
  <c r="E74" i="9"/>
  <c r="E73" i="9"/>
  <c r="F73" i="9" s="1"/>
  <c r="F72" i="9"/>
  <c r="E72" i="9"/>
  <c r="E71" i="9"/>
  <c r="F71" i="9" s="1"/>
  <c r="E70" i="9"/>
  <c r="F70" i="9" s="1"/>
  <c r="E69" i="9"/>
  <c r="F69" i="9" s="1"/>
  <c r="F68" i="9"/>
  <c r="E68" i="9"/>
  <c r="E67" i="9"/>
  <c r="F67" i="9" s="1"/>
  <c r="E66" i="9"/>
  <c r="F66" i="9" s="1"/>
  <c r="D63" i="9"/>
  <c r="E63" i="9" s="1"/>
  <c r="C63" i="9"/>
  <c r="F63" i="9" s="1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F50" i="9" s="1"/>
  <c r="D49" i="9"/>
  <c r="E49" i="9"/>
  <c r="C49" i="9"/>
  <c r="F48" i="9"/>
  <c r="E48" i="9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F40" i="9"/>
  <c r="E40" i="9"/>
  <c r="D37" i="9"/>
  <c r="C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 s="1"/>
  <c r="C23" i="9"/>
  <c r="F22" i="9"/>
  <c r="E22" i="9"/>
  <c r="E21" i="9"/>
  <c r="F21" i="9" s="1"/>
  <c r="F20" i="9"/>
  <c r="E20" i="9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 s="1"/>
  <c r="D166" i="8"/>
  <c r="C164" i="8"/>
  <c r="C160" i="8" s="1"/>
  <c r="C166" i="8" s="1"/>
  <c r="E162" i="8"/>
  <c r="D162" i="8"/>
  <c r="C162" i="8"/>
  <c r="E161" i="8"/>
  <c r="D161" i="8"/>
  <c r="C161" i="8"/>
  <c r="E160" i="8"/>
  <c r="E166" i="8" s="1"/>
  <c r="E147" i="8"/>
  <c r="D147" i="8"/>
  <c r="D143" i="8"/>
  <c r="D149" i="8" s="1"/>
  <c r="C147" i="8"/>
  <c r="C143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/>
  <c r="D106" i="8" s="1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D86" i="8" s="1"/>
  <c r="C87" i="8"/>
  <c r="E84" i="8"/>
  <c r="D84" i="8"/>
  <c r="C84" i="8"/>
  <c r="E83" i="8"/>
  <c r="E79" i="8"/>
  <c r="D83" i="8"/>
  <c r="D79" i="8" s="1"/>
  <c r="C83" i="8"/>
  <c r="C79" i="8" s="1"/>
  <c r="E75" i="8"/>
  <c r="E77" i="8" s="1"/>
  <c r="E71" i="8" s="1"/>
  <c r="E88" i="8"/>
  <c r="E90" i="8"/>
  <c r="E86" i="8" s="1"/>
  <c r="D75" i="8"/>
  <c r="D88" i="8"/>
  <c r="D90" i="8"/>
  <c r="C75" i="8"/>
  <c r="C77" i="8" s="1"/>
  <c r="C71" i="8" s="1"/>
  <c r="C88" i="8"/>
  <c r="E74" i="8"/>
  <c r="D74" i="8"/>
  <c r="C74" i="8"/>
  <c r="E67" i="8"/>
  <c r="D67" i="8"/>
  <c r="C67" i="8"/>
  <c r="E38" i="8"/>
  <c r="E57" i="8" s="1"/>
  <c r="E62" i="8" s="1"/>
  <c r="D38" i="8"/>
  <c r="C38" i="8"/>
  <c r="C57" i="8" s="1"/>
  <c r="C62" i="8" s="1"/>
  <c r="E33" i="8"/>
  <c r="E34" i="8"/>
  <c r="D33" i="8"/>
  <c r="D34" i="8" s="1"/>
  <c r="E26" i="8"/>
  <c r="D26" i="8"/>
  <c r="C26" i="8"/>
  <c r="E15" i="8"/>
  <c r="E24" i="8"/>
  <c r="C15" i="8"/>
  <c r="C24" i="8" s="1"/>
  <c r="E13" i="8"/>
  <c r="E25" i="8" s="1"/>
  <c r="D13" i="8"/>
  <c r="D25" i="8"/>
  <c r="D27" i="8"/>
  <c r="C13" i="8"/>
  <c r="C25" i="8" s="1"/>
  <c r="C27" i="8" s="1"/>
  <c r="F186" i="7"/>
  <c r="E186" i="7"/>
  <c r="D183" i="7"/>
  <c r="C183" i="7"/>
  <c r="C188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C167" i="7"/>
  <c r="F167" i="7" s="1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E158" i="7"/>
  <c r="F158" i="7" s="1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E147" i="7"/>
  <c r="F147" i="7" s="1"/>
  <c r="E146" i="7"/>
  <c r="F146" i="7" s="1"/>
  <c r="E145" i="7"/>
  <c r="F145" i="7" s="1"/>
  <c r="F144" i="7"/>
  <c r="E144" i="7"/>
  <c r="F143" i="7"/>
  <c r="E143" i="7"/>
  <c r="E142" i="7"/>
  <c r="F142" i="7" s="1"/>
  <c r="E141" i="7"/>
  <c r="F141" i="7" s="1"/>
  <c r="F140" i="7"/>
  <c r="E140" i="7"/>
  <c r="F139" i="7"/>
  <c r="E139" i="7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E130" i="7" s="1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 s="1"/>
  <c r="C121" i="7"/>
  <c r="E120" i="7"/>
  <c r="F120" i="7" s="1"/>
  <c r="E119" i="7"/>
  <c r="F119" i="7" s="1"/>
  <c r="F118" i="7"/>
  <c r="E118" i="7"/>
  <c r="E117" i="7"/>
  <c r="F117" i="7" s="1"/>
  <c r="E116" i="7"/>
  <c r="F116" i="7" s="1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E103" i="7"/>
  <c r="F103" i="7" s="1"/>
  <c r="F93" i="7"/>
  <c r="E93" i="7"/>
  <c r="D90" i="7"/>
  <c r="D95" i="7" s="1"/>
  <c r="C90" i="7"/>
  <c r="F89" i="7"/>
  <c r="E89" i="7"/>
  <c r="F88" i="7"/>
  <c r="E88" i="7"/>
  <c r="E87" i="7"/>
  <c r="F87" i="7" s="1"/>
  <c r="F86" i="7"/>
  <c r="E86" i="7"/>
  <c r="F85" i="7"/>
  <c r="E85" i="7"/>
  <c r="F84" i="7"/>
  <c r="E84" i="7"/>
  <c r="E83" i="7"/>
  <c r="F83" i="7" s="1"/>
  <c r="F82" i="7"/>
  <c r="E82" i="7"/>
  <c r="E81" i="7"/>
  <c r="F81" i="7" s="1"/>
  <c r="F80" i="7"/>
  <c r="E80" i="7"/>
  <c r="F79" i="7"/>
  <c r="E79" i="7"/>
  <c r="F78" i="7"/>
  <c r="E78" i="7"/>
  <c r="F77" i="7"/>
  <c r="E77" i="7"/>
  <c r="F76" i="7"/>
  <c r="E76" i="7"/>
  <c r="E75" i="7"/>
  <c r="F75" i="7" s="1"/>
  <c r="F74" i="7"/>
  <c r="E74" i="7"/>
  <c r="E73" i="7"/>
  <c r="F73" i="7" s="1"/>
  <c r="F72" i="7"/>
  <c r="E72" i="7"/>
  <c r="E71" i="7"/>
  <c r="F71" i="7" s="1"/>
  <c r="F70" i="7"/>
  <c r="E70" i="7"/>
  <c r="F69" i="7"/>
  <c r="E69" i="7"/>
  <c r="F68" i="7"/>
  <c r="E68" i="7"/>
  <c r="E67" i="7"/>
  <c r="F67" i="7" s="1"/>
  <c r="F66" i="7"/>
  <c r="E66" i="7"/>
  <c r="E65" i="7"/>
  <c r="F65" i="7" s="1"/>
  <c r="F64" i="7"/>
  <c r="E64" i="7"/>
  <c r="E63" i="7"/>
  <c r="F63" i="7" s="1"/>
  <c r="F62" i="7"/>
  <c r="E62" i="7"/>
  <c r="D59" i="7"/>
  <c r="E59" i="7"/>
  <c r="F59" i="7" s="1"/>
  <c r="C59" i="7"/>
  <c r="E58" i="7"/>
  <c r="F58" i="7" s="1"/>
  <c r="F57" i="7"/>
  <c r="E57" i="7"/>
  <c r="F56" i="7"/>
  <c r="E56" i="7"/>
  <c r="F55" i="7"/>
  <c r="E55" i="7"/>
  <c r="E54" i="7"/>
  <c r="F54" i="7" s="1"/>
  <c r="F53" i="7"/>
  <c r="E53" i="7"/>
  <c r="E50" i="7"/>
  <c r="F50" i="7" s="1"/>
  <c r="F47" i="7"/>
  <c r="E47" i="7"/>
  <c r="E44" i="7"/>
  <c r="F44" i="7" s="1"/>
  <c r="D41" i="7"/>
  <c r="C41" i="7"/>
  <c r="F40" i="7"/>
  <c r="E40" i="7"/>
  <c r="E39" i="7"/>
  <c r="F39" i="7" s="1"/>
  <c r="F38" i="7"/>
  <c r="E38" i="7"/>
  <c r="D35" i="7"/>
  <c r="E35" i="7" s="1"/>
  <c r="F35" i="7" s="1"/>
  <c r="C35" i="7"/>
  <c r="E34" i="7"/>
  <c r="F34" i="7" s="1"/>
  <c r="F33" i="7"/>
  <c r="E33" i="7"/>
  <c r="D30" i="7"/>
  <c r="E30" i="7"/>
  <c r="F30" i="7" s="1"/>
  <c r="C30" i="7"/>
  <c r="F29" i="7"/>
  <c r="E29" i="7"/>
  <c r="F28" i="7"/>
  <c r="E28" i="7"/>
  <c r="F27" i="7"/>
  <c r="E27" i="7"/>
  <c r="D24" i="7"/>
  <c r="E24" i="7" s="1"/>
  <c r="C24" i="7"/>
  <c r="F24" i="7" s="1"/>
  <c r="F23" i="7"/>
  <c r="E23" i="7"/>
  <c r="E22" i="7"/>
  <c r="F22" i="7" s="1"/>
  <c r="F21" i="7"/>
  <c r="E21" i="7"/>
  <c r="D18" i="7"/>
  <c r="F18" i="7"/>
  <c r="C18" i="7"/>
  <c r="E18" i="7" s="1"/>
  <c r="E17" i="7"/>
  <c r="F17" i="7" s="1"/>
  <c r="F16" i="7"/>
  <c r="E16" i="7"/>
  <c r="E15" i="7"/>
  <c r="F15" i="7" s="1"/>
  <c r="D179" i="6"/>
  <c r="E179" i="6" s="1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E169" i="6"/>
  <c r="F169" i="6" s="1"/>
  <c r="F168" i="6"/>
  <c r="E168" i="6"/>
  <c r="D166" i="6"/>
  <c r="E166" i="6"/>
  <c r="F166" i="6" s="1"/>
  <c r="C166" i="6"/>
  <c r="E165" i="6"/>
  <c r="F165" i="6" s="1"/>
  <c r="F164" i="6"/>
  <c r="E164" i="6"/>
  <c r="F163" i="6"/>
  <c r="E163" i="6"/>
  <c r="F162" i="6"/>
  <c r="E162" i="6"/>
  <c r="E161" i="6"/>
  <c r="F161" i="6" s="1"/>
  <c r="F160" i="6"/>
  <c r="E160" i="6"/>
  <c r="F159" i="6"/>
  <c r="E159" i="6"/>
  <c r="F158" i="6"/>
  <c r="E158" i="6"/>
  <c r="E157" i="6"/>
  <c r="F157" i="6" s="1"/>
  <c r="F156" i="6"/>
  <c r="E156" i="6"/>
  <c r="E155" i="6"/>
  <c r="F155" i="6" s="1"/>
  <c r="D153" i="6"/>
  <c r="E153" i="6" s="1"/>
  <c r="C153" i="6"/>
  <c r="F152" i="6"/>
  <c r="E152" i="6"/>
  <c r="F151" i="6"/>
  <c r="E151" i="6"/>
  <c r="F150" i="6"/>
  <c r="E150" i="6"/>
  <c r="E149" i="6"/>
  <c r="F149" i="6" s="1"/>
  <c r="F148" i="6"/>
  <c r="E148" i="6"/>
  <c r="F147" i="6"/>
  <c r="E147" i="6"/>
  <c r="F146" i="6"/>
  <c r="E146" i="6"/>
  <c r="E145" i="6"/>
  <c r="F145" i="6" s="1"/>
  <c r="F144" i="6"/>
  <c r="E144" i="6"/>
  <c r="E143" i="6"/>
  <c r="F143" i="6" s="1"/>
  <c r="F142" i="6"/>
  <c r="E142" i="6"/>
  <c r="D137" i="6"/>
  <c r="F137" i="6"/>
  <c r="C137" i="6"/>
  <c r="E137" i="6" s="1"/>
  <c r="E136" i="6"/>
  <c r="F136" i="6" s="1"/>
  <c r="F135" i="6"/>
  <c r="E135" i="6"/>
  <c r="E134" i="6"/>
  <c r="F134" i="6" s="1"/>
  <c r="F133" i="6"/>
  <c r="E133" i="6"/>
  <c r="F132" i="6"/>
  <c r="E132" i="6"/>
  <c r="F131" i="6"/>
  <c r="E131" i="6"/>
  <c r="E130" i="6"/>
  <c r="F130" i="6" s="1"/>
  <c r="F129" i="6"/>
  <c r="E129" i="6"/>
  <c r="F128" i="6"/>
  <c r="E128" i="6"/>
  <c r="F127" i="6"/>
  <c r="E127" i="6"/>
  <c r="E126" i="6"/>
  <c r="F126" i="6" s="1"/>
  <c r="D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E114" i="6"/>
  <c r="F114" i="6" s="1"/>
  <c r="F113" i="6"/>
  <c r="E113" i="6"/>
  <c r="D111" i="6"/>
  <c r="E111" i="6"/>
  <c r="F111" i="6" s="1"/>
  <c r="C111" i="6"/>
  <c r="E110" i="6"/>
  <c r="F110" i="6" s="1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F100" i="6"/>
  <c r="E100" i="6"/>
  <c r="D94" i="6"/>
  <c r="E94" i="6" s="1"/>
  <c r="C94" i="6"/>
  <c r="F94" i="6" s="1"/>
  <c r="D93" i="6"/>
  <c r="C93" i="6"/>
  <c r="F93" i="6" s="1"/>
  <c r="D92" i="6"/>
  <c r="E92" i="6" s="1"/>
  <c r="C92" i="6"/>
  <c r="D91" i="6"/>
  <c r="E91" i="6" s="1"/>
  <c r="F91" i="6"/>
  <c r="C91" i="6"/>
  <c r="D90" i="6"/>
  <c r="E90" i="6" s="1"/>
  <c r="C90" i="6"/>
  <c r="F90" i="6" s="1"/>
  <c r="F89" i="6"/>
  <c r="D89" i="6"/>
  <c r="C89" i="6"/>
  <c r="E89" i="6" s="1"/>
  <c r="D88" i="6"/>
  <c r="E88" i="6" s="1"/>
  <c r="C88" i="6"/>
  <c r="D87" i="6"/>
  <c r="E87" i="6" s="1"/>
  <c r="C87" i="6"/>
  <c r="F87" i="6" s="1"/>
  <c r="D86" i="6"/>
  <c r="E86" i="6" s="1"/>
  <c r="C86" i="6"/>
  <c r="D85" i="6"/>
  <c r="E85" i="6" s="1"/>
  <c r="F85" i="6"/>
  <c r="C85" i="6"/>
  <c r="D84" i="6"/>
  <c r="D95" i="6" s="1"/>
  <c r="C84" i="6"/>
  <c r="D81" i="6"/>
  <c r="E81" i="6"/>
  <c r="F81" i="6"/>
  <c r="C81" i="6"/>
  <c r="E80" i="6"/>
  <c r="F80" i="6" s="1"/>
  <c r="F79" i="6"/>
  <c r="E79" i="6"/>
  <c r="E78" i="6"/>
  <c r="F78" i="6" s="1"/>
  <c r="F77" i="6"/>
  <c r="E77" i="6"/>
  <c r="E76" i="6"/>
  <c r="F76" i="6" s="1"/>
  <c r="F75" i="6"/>
  <c r="E75" i="6"/>
  <c r="E74" i="6"/>
  <c r="F74" i="6" s="1"/>
  <c r="F73" i="6"/>
  <c r="E73" i="6"/>
  <c r="E72" i="6"/>
  <c r="F72" i="6" s="1"/>
  <c r="E71" i="6"/>
  <c r="F71" i="6" s="1"/>
  <c r="E70" i="6"/>
  <c r="F70" i="6" s="1"/>
  <c r="D68" i="6"/>
  <c r="E68" i="6" s="1"/>
  <c r="C68" i="6"/>
  <c r="E67" i="6"/>
  <c r="F67" i="6" s="1"/>
  <c r="F66" i="6"/>
  <c r="E66" i="6"/>
  <c r="F65" i="6"/>
  <c r="E65" i="6"/>
  <c r="E64" i="6"/>
  <c r="F64" i="6" s="1"/>
  <c r="E63" i="6"/>
  <c r="F63" i="6" s="1"/>
  <c r="F62" i="6"/>
  <c r="E62" i="6"/>
  <c r="F61" i="6"/>
  <c r="E61" i="6"/>
  <c r="E60" i="6"/>
  <c r="F60" i="6" s="1"/>
  <c r="E59" i="6"/>
  <c r="F59" i="6" s="1"/>
  <c r="E58" i="6"/>
  <c r="F58" i="6" s="1"/>
  <c r="F57" i="6"/>
  <c r="E57" i="6"/>
  <c r="D51" i="6"/>
  <c r="C51" i="6"/>
  <c r="F50" i="6"/>
  <c r="D50" i="6"/>
  <c r="E50" i="6" s="1"/>
  <c r="C50" i="6"/>
  <c r="D49" i="6"/>
  <c r="C49" i="6"/>
  <c r="D48" i="6"/>
  <c r="E48" i="6"/>
  <c r="F48" i="6" s="1"/>
  <c r="C48" i="6"/>
  <c r="D47" i="6"/>
  <c r="C47" i="6"/>
  <c r="F46" i="6"/>
  <c r="D46" i="6"/>
  <c r="E46" i="6"/>
  <c r="C46" i="6"/>
  <c r="D45" i="6"/>
  <c r="E45" i="6" s="1"/>
  <c r="C45" i="6"/>
  <c r="D44" i="6"/>
  <c r="E44" i="6"/>
  <c r="F44" i="6"/>
  <c r="C44" i="6"/>
  <c r="D43" i="6"/>
  <c r="E43" i="6" s="1"/>
  <c r="C43" i="6"/>
  <c r="F43" i="6" s="1"/>
  <c r="D42" i="6"/>
  <c r="E42" i="6"/>
  <c r="F42" i="6" s="1"/>
  <c r="C42" i="6"/>
  <c r="D41" i="6"/>
  <c r="D52" i="6" s="1"/>
  <c r="C41" i="6"/>
  <c r="D38" i="6"/>
  <c r="E38" i="6" s="1"/>
  <c r="F38" i="6" s="1"/>
  <c r="C38" i="6"/>
  <c r="E37" i="6"/>
  <c r="F37" i="6" s="1"/>
  <c r="F36" i="6"/>
  <c r="E36" i="6"/>
  <c r="F35" i="6"/>
  <c r="E35" i="6"/>
  <c r="F34" i="6"/>
  <c r="E34" i="6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D25" i="6"/>
  <c r="E25" i="6" s="1"/>
  <c r="C25" i="6"/>
  <c r="F24" i="6"/>
  <c r="E24" i="6"/>
  <c r="F23" i="6"/>
  <c r="E23" i="6"/>
  <c r="F22" i="6"/>
  <c r="E22" i="6"/>
  <c r="E21" i="6"/>
  <c r="F21" i="6" s="1"/>
  <c r="F20" i="6"/>
  <c r="E20" i="6"/>
  <c r="F19" i="6"/>
  <c r="E19" i="6"/>
  <c r="F18" i="6"/>
  <c r="E18" i="6"/>
  <c r="E17" i="6"/>
  <c r="F17" i="6" s="1"/>
  <c r="F16" i="6"/>
  <c r="E16" i="6"/>
  <c r="F15" i="6"/>
  <c r="E15" i="6"/>
  <c r="F14" i="6"/>
  <c r="E14" i="6"/>
  <c r="E51" i="5"/>
  <c r="F51" i="5" s="1"/>
  <c r="D48" i="5"/>
  <c r="E48" i="5" s="1"/>
  <c r="F48" i="5"/>
  <c r="C48" i="5"/>
  <c r="F47" i="5"/>
  <c r="E47" i="5"/>
  <c r="E46" i="5"/>
  <c r="F46" i="5" s="1"/>
  <c r="D41" i="5"/>
  <c r="C41" i="5"/>
  <c r="F40" i="5"/>
  <c r="E40" i="5"/>
  <c r="E39" i="5"/>
  <c r="F39" i="5" s="1"/>
  <c r="F38" i="5"/>
  <c r="E38" i="5"/>
  <c r="D33" i="5"/>
  <c r="E33" i="5" s="1"/>
  <c r="F33" i="5" s="1"/>
  <c r="C33" i="5"/>
  <c r="E32" i="5"/>
  <c r="F32" i="5" s="1"/>
  <c r="E31" i="5"/>
  <c r="F31" i="5" s="1"/>
  <c r="E30" i="5"/>
  <c r="F30" i="5" s="1"/>
  <c r="F29" i="5"/>
  <c r="E29" i="5"/>
  <c r="E28" i="5"/>
  <c r="F28" i="5" s="1"/>
  <c r="F27" i="5"/>
  <c r="E27" i="5"/>
  <c r="E26" i="5"/>
  <c r="F26" i="5" s="1"/>
  <c r="F25" i="5"/>
  <c r="E25" i="5"/>
  <c r="E24" i="5"/>
  <c r="F24" i="5" s="1"/>
  <c r="F20" i="5"/>
  <c r="E20" i="5"/>
  <c r="E19" i="5"/>
  <c r="F19" i="5" s="1"/>
  <c r="F17" i="5"/>
  <c r="E17" i="5"/>
  <c r="D16" i="5"/>
  <c r="C16" i="5"/>
  <c r="E16" i="5" s="1"/>
  <c r="F15" i="5"/>
  <c r="E15" i="5"/>
  <c r="E14" i="5"/>
  <c r="F14" i="5" s="1"/>
  <c r="F13" i="5"/>
  <c r="E13" i="5"/>
  <c r="E12" i="5"/>
  <c r="F12" i="5" s="1"/>
  <c r="D73" i="4"/>
  <c r="E73" i="4" s="1"/>
  <c r="C73" i="4"/>
  <c r="E72" i="4"/>
  <c r="F72" i="4" s="1"/>
  <c r="F71" i="4"/>
  <c r="E71" i="4"/>
  <c r="E70" i="4"/>
  <c r="F70" i="4" s="1"/>
  <c r="F67" i="4"/>
  <c r="E67" i="4"/>
  <c r="E64" i="4"/>
  <c r="F64" i="4" s="1"/>
  <c r="F63" i="4"/>
  <c r="E63" i="4"/>
  <c r="F61" i="4"/>
  <c r="D61" i="4"/>
  <c r="D65" i="4" s="1"/>
  <c r="C61" i="4"/>
  <c r="C65" i="4"/>
  <c r="F60" i="4"/>
  <c r="E60" i="4"/>
  <c r="F59" i="4"/>
  <c r="E59" i="4"/>
  <c r="D56" i="4"/>
  <c r="D75" i="4" s="1"/>
  <c r="C56" i="4"/>
  <c r="C75" i="4"/>
  <c r="F55" i="4"/>
  <c r="E55" i="4"/>
  <c r="E54" i="4"/>
  <c r="F54" i="4" s="1"/>
  <c r="F53" i="4"/>
  <c r="E53" i="4"/>
  <c r="E52" i="4"/>
  <c r="F52" i="4"/>
  <c r="F51" i="4"/>
  <c r="E51" i="4"/>
  <c r="A51" i="4"/>
  <c r="A52" i="4" s="1"/>
  <c r="A53" i="4" s="1"/>
  <c r="A54" i="4" s="1"/>
  <c r="A55" i="4" s="1"/>
  <c r="E50" i="4"/>
  <c r="F50" i="4"/>
  <c r="A50" i="4"/>
  <c r="F49" i="4"/>
  <c r="E49" i="4"/>
  <c r="F40" i="4"/>
  <c r="E40" i="4"/>
  <c r="D38" i="4"/>
  <c r="D41" i="4"/>
  <c r="C38" i="4"/>
  <c r="C41" i="4"/>
  <c r="E41" i="4" s="1"/>
  <c r="F41" i="4" s="1"/>
  <c r="E37" i="4"/>
  <c r="F37" i="4" s="1"/>
  <c r="F36" i="4"/>
  <c r="E36" i="4"/>
  <c r="E33" i="4"/>
  <c r="F33" i="4" s="1"/>
  <c r="E32" i="4"/>
  <c r="F32" i="4" s="1"/>
  <c r="F31" i="4"/>
  <c r="E31" i="4"/>
  <c r="D29" i="4"/>
  <c r="E29" i="4" s="1"/>
  <c r="C29" i="4"/>
  <c r="F28" i="4"/>
  <c r="E28" i="4"/>
  <c r="F27" i="4"/>
  <c r="E27" i="4"/>
  <c r="F26" i="4"/>
  <c r="E26" i="4"/>
  <c r="E25" i="4"/>
  <c r="F25" i="4" s="1"/>
  <c r="D22" i="4"/>
  <c r="E22" i="4" s="1"/>
  <c r="D43" i="4"/>
  <c r="C22" i="4"/>
  <c r="E21" i="4"/>
  <c r="F21" i="4" s="1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E13" i="4"/>
  <c r="F13" i="4" s="1"/>
  <c r="C109" i="22"/>
  <c r="C108" i="22"/>
  <c r="E109" i="22"/>
  <c r="E108" i="22"/>
  <c r="D22" i="22"/>
  <c r="C23" i="22"/>
  <c r="E23" i="22"/>
  <c r="D33" i="22"/>
  <c r="C34" i="22"/>
  <c r="E34" i="22"/>
  <c r="D101" i="22"/>
  <c r="D103" i="22" s="1"/>
  <c r="C102" i="22"/>
  <c r="C103" i="22" s="1"/>
  <c r="E102" i="22"/>
  <c r="E103" i="22" s="1"/>
  <c r="C22" i="22"/>
  <c r="E22" i="22"/>
  <c r="E39" i="22" s="1"/>
  <c r="D23" i="22"/>
  <c r="F20" i="20"/>
  <c r="F40" i="20"/>
  <c r="F44" i="20"/>
  <c r="F45" i="20"/>
  <c r="D41" i="20"/>
  <c r="E296" i="17"/>
  <c r="E298" i="17"/>
  <c r="E299" i="17"/>
  <c r="E19" i="20"/>
  <c r="F19" i="20" s="1"/>
  <c r="E43" i="20"/>
  <c r="C38" i="19"/>
  <c r="C127" i="19"/>
  <c r="C129" i="19" s="1"/>
  <c r="C133" i="19" s="1"/>
  <c r="C22" i="19"/>
  <c r="E229" i="17"/>
  <c r="F229" i="17" s="1"/>
  <c r="E230" i="17"/>
  <c r="E238" i="17"/>
  <c r="E294" i="17"/>
  <c r="E295" i="17"/>
  <c r="F295" i="17" s="1"/>
  <c r="E297" i="17"/>
  <c r="E43" i="18"/>
  <c r="E17" i="17"/>
  <c r="E52" i="17"/>
  <c r="F52" i="17" s="1"/>
  <c r="E53" i="17"/>
  <c r="E58" i="17"/>
  <c r="E67" i="17"/>
  <c r="E223" i="17"/>
  <c r="E21" i="18"/>
  <c r="D22" i="18"/>
  <c r="C33" i="18"/>
  <c r="E37" i="18"/>
  <c r="D55" i="18"/>
  <c r="E54" i="18"/>
  <c r="D289" i="18"/>
  <c r="E289" i="18"/>
  <c r="D71" i="18"/>
  <c r="D65" i="18"/>
  <c r="D66" i="18" s="1"/>
  <c r="E60" i="18"/>
  <c r="E69" i="18"/>
  <c r="E32" i="18"/>
  <c r="C44" i="18"/>
  <c r="E36" i="18"/>
  <c r="E38" i="18"/>
  <c r="D44" i="18"/>
  <c r="C168" i="18"/>
  <c r="E139" i="18"/>
  <c r="D144" i="18"/>
  <c r="C145" i="18"/>
  <c r="C156" i="18"/>
  <c r="E156" i="18" s="1"/>
  <c r="C157" i="18"/>
  <c r="C163" i="18"/>
  <c r="E163" i="18"/>
  <c r="D175" i="18"/>
  <c r="C180" i="18"/>
  <c r="C234" i="18"/>
  <c r="E205" i="18"/>
  <c r="C211" i="18"/>
  <c r="E216" i="18"/>
  <c r="C242" i="18"/>
  <c r="C217" i="18"/>
  <c r="C241" i="18" s="1"/>
  <c r="E218" i="18"/>
  <c r="D243" i="18"/>
  <c r="E219" i="18"/>
  <c r="E244" i="18"/>
  <c r="C222" i="18"/>
  <c r="C229" i="18"/>
  <c r="E229" i="18" s="1"/>
  <c r="E231" i="18"/>
  <c r="C306" i="18"/>
  <c r="C310" i="18" s="1"/>
  <c r="C261" i="18"/>
  <c r="C189" i="18"/>
  <c r="E189" i="18"/>
  <c r="E188" i="18"/>
  <c r="D260" i="18"/>
  <c r="E195" i="18"/>
  <c r="D234" i="18"/>
  <c r="E234" i="18" s="1"/>
  <c r="D211" i="18"/>
  <c r="E210" i="18"/>
  <c r="D239" i="18"/>
  <c r="E239" i="18"/>
  <c r="E215" i="18"/>
  <c r="D241" i="18"/>
  <c r="E241" i="18"/>
  <c r="E242" i="18"/>
  <c r="E220" i="18"/>
  <c r="D245" i="18"/>
  <c r="E245" i="18"/>
  <c r="E221" i="18"/>
  <c r="E233" i="18"/>
  <c r="D306" i="18"/>
  <c r="D310" i="18" s="1"/>
  <c r="E310" i="18" s="1"/>
  <c r="D320" i="18"/>
  <c r="E316" i="18"/>
  <c r="E326" i="18"/>
  <c r="D330" i="18"/>
  <c r="E330" i="18"/>
  <c r="D222" i="18"/>
  <c r="D223" i="18"/>
  <c r="E265" i="18"/>
  <c r="E314" i="18"/>
  <c r="E301" i="18"/>
  <c r="E324" i="18"/>
  <c r="E31" i="17"/>
  <c r="F31" i="17" s="1"/>
  <c r="D32" i="17"/>
  <c r="D160" i="17"/>
  <c r="D90" i="17"/>
  <c r="E48" i="17"/>
  <c r="F48" i="17" s="1"/>
  <c r="C61" i="17"/>
  <c r="F89" i="17"/>
  <c r="C103" i="17"/>
  <c r="C207" i="17"/>
  <c r="C138" i="17"/>
  <c r="E159" i="17"/>
  <c r="F159" i="17"/>
  <c r="C32" i="17"/>
  <c r="C62" i="17" s="1"/>
  <c r="C160" i="17"/>
  <c r="C90" i="17"/>
  <c r="E60" i="17"/>
  <c r="F60" i="17"/>
  <c r="D61" i="17"/>
  <c r="D103" i="17"/>
  <c r="E102" i="17"/>
  <c r="F102" i="17" s="1"/>
  <c r="D207" i="17"/>
  <c r="D138" i="17"/>
  <c r="E137" i="17"/>
  <c r="F137" i="17" s="1"/>
  <c r="F17" i="17"/>
  <c r="D21" i="17"/>
  <c r="F23" i="17"/>
  <c r="F24" i="17"/>
  <c r="F53" i="17"/>
  <c r="F58" i="17"/>
  <c r="F67" i="17"/>
  <c r="E88" i="17"/>
  <c r="F88" i="17" s="1"/>
  <c r="E101" i="17"/>
  <c r="F101" i="17"/>
  <c r="E109" i="17"/>
  <c r="F109" i="17"/>
  <c r="C193" i="17"/>
  <c r="C192" i="17"/>
  <c r="E123" i="17"/>
  <c r="F123" i="17" s="1"/>
  <c r="C124" i="17"/>
  <c r="C125" i="17"/>
  <c r="E136" i="17"/>
  <c r="F136" i="17"/>
  <c r="E155" i="17"/>
  <c r="F155" i="17"/>
  <c r="E165" i="17"/>
  <c r="F165" i="17"/>
  <c r="E171" i="17"/>
  <c r="F171" i="17" s="1"/>
  <c r="E172" i="17"/>
  <c r="C278" i="17"/>
  <c r="E278" i="17" s="1"/>
  <c r="C262" i="17"/>
  <c r="C255" i="17"/>
  <c r="C215" i="17"/>
  <c r="E189" i="17"/>
  <c r="F189" i="17" s="1"/>
  <c r="F227" i="17"/>
  <c r="E239" i="17"/>
  <c r="E30" i="17"/>
  <c r="F30" i="17" s="1"/>
  <c r="E35" i="17"/>
  <c r="F35" i="17"/>
  <c r="C37" i="17"/>
  <c r="E47" i="17"/>
  <c r="F47" i="17"/>
  <c r="E59" i="17"/>
  <c r="F59" i="17" s="1"/>
  <c r="E66" i="17"/>
  <c r="F66" i="17"/>
  <c r="E76" i="17"/>
  <c r="F76" i="17" s="1"/>
  <c r="E192" i="17"/>
  <c r="D124" i="17"/>
  <c r="F145" i="17"/>
  <c r="E145" i="17"/>
  <c r="E158" i="17"/>
  <c r="F158" i="17" s="1"/>
  <c r="F164" i="17"/>
  <c r="E164" i="17"/>
  <c r="F170" i="17"/>
  <c r="E170" i="17"/>
  <c r="F172" i="17"/>
  <c r="C173" i="17"/>
  <c r="E179" i="17"/>
  <c r="F179" i="17" s="1"/>
  <c r="C181" i="17"/>
  <c r="C254" i="17"/>
  <c r="E254" i="17" s="1"/>
  <c r="C214" i="17"/>
  <c r="E188" i="17"/>
  <c r="C280" i="17"/>
  <c r="C264" i="17"/>
  <c r="C200" i="17"/>
  <c r="F191" i="17"/>
  <c r="E191" i="17"/>
  <c r="F239" i="17"/>
  <c r="D279" i="17"/>
  <c r="D190" i="17"/>
  <c r="E280" i="17"/>
  <c r="D193" i="17"/>
  <c r="D266" i="17"/>
  <c r="D283" i="17"/>
  <c r="D267" i="17"/>
  <c r="D285" i="17"/>
  <c r="E285" i="17"/>
  <c r="F285" i="17" s="1"/>
  <c r="D269" i="17"/>
  <c r="D205" i="17"/>
  <c r="D206" i="17"/>
  <c r="D214" i="17"/>
  <c r="D215" i="17"/>
  <c r="D216" i="17" s="1"/>
  <c r="F223" i="17"/>
  <c r="F230" i="17"/>
  <c r="F238" i="17"/>
  <c r="D261" i="17"/>
  <c r="D262" i="17"/>
  <c r="D264" i="17"/>
  <c r="C199" i="17"/>
  <c r="C286" i="17"/>
  <c r="E203" i="17"/>
  <c r="F203" i="17"/>
  <c r="E204" i="17"/>
  <c r="F204" i="17"/>
  <c r="C205" i="17"/>
  <c r="E226" i="17"/>
  <c r="F226" i="17" s="1"/>
  <c r="E237" i="17"/>
  <c r="F237" i="17"/>
  <c r="E250" i="17"/>
  <c r="F250" i="17" s="1"/>
  <c r="C267" i="17"/>
  <c r="C269" i="17"/>
  <c r="C274" i="17"/>
  <c r="F294" i="17"/>
  <c r="F296" i="17"/>
  <c r="F297" i="17"/>
  <c r="F298" i="17"/>
  <c r="F299" i="17"/>
  <c r="F36" i="14"/>
  <c r="F38" i="14"/>
  <c r="F40" i="14" s="1"/>
  <c r="I31" i="14"/>
  <c r="I17" i="14"/>
  <c r="D31" i="14"/>
  <c r="F31" i="14"/>
  <c r="H31" i="14"/>
  <c r="C33" i="14"/>
  <c r="H33" i="14" s="1"/>
  <c r="C36" i="14"/>
  <c r="C38" i="14" s="1"/>
  <c r="C40" i="14" s="1"/>
  <c r="E33" i="14"/>
  <c r="E36" i="14"/>
  <c r="E38" i="14" s="1"/>
  <c r="E40" i="14" s="1"/>
  <c r="G33" i="14"/>
  <c r="H17" i="14"/>
  <c r="E20" i="13"/>
  <c r="E21" i="13"/>
  <c r="C69" i="13"/>
  <c r="D21" i="13"/>
  <c r="C20" i="13"/>
  <c r="C21" i="13"/>
  <c r="D15" i="13"/>
  <c r="C17" i="13"/>
  <c r="C28" i="13" s="1"/>
  <c r="C70" i="13" s="1"/>
  <c r="C72" i="13" s="1"/>
  <c r="E17" i="13"/>
  <c r="E28" i="13"/>
  <c r="E22" i="13" s="1"/>
  <c r="D48" i="13"/>
  <c r="D42" i="13"/>
  <c r="D20" i="12"/>
  <c r="E17" i="12"/>
  <c r="F17" i="12" s="1"/>
  <c r="E15" i="12"/>
  <c r="F15" i="12" s="1"/>
  <c r="E41" i="11"/>
  <c r="F41" i="11" s="1"/>
  <c r="E75" i="11"/>
  <c r="F75" i="11"/>
  <c r="E65" i="11"/>
  <c r="F65" i="11" s="1"/>
  <c r="E22" i="11"/>
  <c r="F22" i="11"/>
  <c r="E38" i="11"/>
  <c r="F38" i="11" s="1"/>
  <c r="E56" i="11"/>
  <c r="F56" i="11" s="1"/>
  <c r="E61" i="11"/>
  <c r="F61" i="11" s="1"/>
  <c r="E121" i="10"/>
  <c r="E122" i="10"/>
  <c r="F122" i="10" s="1"/>
  <c r="F121" i="10"/>
  <c r="E112" i="10"/>
  <c r="F112" i="10"/>
  <c r="E113" i="10"/>
  <c r="F113" i="10" s="1"/>
  <c r="F207" i="9"/>
  <c r="E198" i="9"/>
  <c r="F198" i="9" s="1"/>
  <c r="E199" i="9"/>
  <c r="F199" i="9" s="1"/>
  <c r="D21" i="8"/>
  <c r="E153" i="8"/>
  <c r="E156" i="8"/>
  <c r="E152" i="8"/>
  <c r="D156" i="8"/>
  <c r="D154" i="8"/>
  <c r="D152" i="8"/>
  <c r="D157" i="8"/>
  <c r="D155" i="8"/>
  <c r="D153" i="8"/>
  <c r="E140" i="8"/>
  <c r="E138" i="8"/>
  <c r="E141" i="8" s="1"/>
  <c r="E136" i="8"/>
  <c r="E139" i="8"/>
  <c r="E137" i="8"/>
  <c r="E135" i="8"/>
  <c r="D137" i="8"/>
  <c r="D135" i="8"/>
  <c r="D140" i="8"/>
  <c r="C157" i="8"/>
  <c r="C155" i="8"/>
  <c r="C153" i="8"/>
  <c r="C156" i="8"/>
  <c r="C154" i="8"/>
  <c r="C152" i="8"/>
  <c r="D15" i="8"/>
  <c r="C17" i="8"/>
  <c r="E17" i="8"/>
  <c r="E28" i="8" s="1"/>
  <c r="E99" i="8" s="1"/>
  <c r="E101" i="8" s="1"/>
  <c r="E98" i="8" s="1"/>
  <c r="C43" i="8"/>
  <c r="E43" i="8"/>
  <c r="D49" i="8"/>
  <c r="C53" i="8"/>
  <c r="E53" i="8"/>
  <c r="D77" i="8"/>
  <c r="D71" i="8" s="1"/>
  <c r="C49" i="8"/>
  <c r="E49" i="8"/>
  <c r="E90" i="7"/>
  <c r="F90" i="7"/>
  <c r="E183" i="7"/>
  <c r="F183" i="7" s="1"/>
  <c r="E41" i="6"/>
  <c r="F41" i="6"/>
  <c r="E84" i="6"/>
  <c r="F84" i="6" s="1"/>
  <c r="D18" i="5"/>
  <c r="E75" i="4"/>
  <c r="F75" i="4"/>
  <c r="E65" i="4"/>
  <c r="F65" i="4" s="1"/>
  <c r="F73" i="4"/>
  <c r="F22" i="4"/>
  <c r="E38" i="4"/>
  <c r="F38" i="4" s="1"/>
  <c r="E56" i="4"/>
  <c r="F56" i="4" s="1"/>
  <c r="E61" i="4"/>
  <c r="D54" i="22"/>
  <c r="D46" i="22"/>
  <c r="D40" i="22"/>
  <c r="D36" i="22"/>
  <c r="D30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5" i="22"/>
  <c r="E29" i="22"/>
  <c r="E55" i="22" s="1"/>
  <c r="E110" i="22"/>
  <c r="E111" i="22"/>
  <c r="E54" i="22"/>
  <c r="E46" i="22"/>
  <c r="E40" i="22"/>
  <c r="E36" i="22"/>
  <c r="E30" i="22"/>
  <c r="D53" i="22"/>
  <c r="D45" i="22"/>
  <c r="D39" i="22"/>
  <c r="D35" i="22"/>
  <c r="D29" i="22"/>
  <c r="F43" i="20"/>
  <c r="E46" i="20"/>
  <c r="F46" i="20"/>
  <c r="D288" i="17"/>
  <c r="E217" i="18"/>
  <c r="E260" i="18"/>
  <c r="D253" i="18"/>
  <c r="D180" i="18"/>
  <c r="E180" i="18" s="1"/>
  <c r="D145" i="18"/>
  <c r="E144" i="18"/>
  <c r="D168" i="18"/>
  <c r="E168" i="18" s="1"/>
  <c r="D76" i="18"/>
  <c r="E71" i="18"/>
  <c r="E211" i="18"/>
  <c r="E261" i="18"/>
  <c r="C181" i="18"/>
  <c r="D85" i="18"/>
  <c r="E85" i="18"/>
  <c r="D83" i="18"/>
  <c r="C258" i="18"/>
  <c r="C101" i="18"/>
  <c r="C99" i="18"/>
  <c r="C97" i="18"/>
  <c r="C95" i="18"/>
  <c r="C88" i="18"/>
  <c r="C86" i="18"/>
  <c r="C84" i="18"/>
  <c r="C90" i="18" s="1"/>
  <c r="C100" i="18"/>
  <c r="C98" i="18"/>
  <c r="C96" i="18"/>
  <c r="C102" i="18"/>
  <c r="C103" i="18" s="1"/>
  <c r="C89" i="18"/>
  <c r="C87" i="18"/>
  <c r="C85" i="18"/>
  <c r="C83" i="18"/>
  <c r="C91" i="18" s="1"/>
  <c r="C105" i="18" s="1"/>
  <c r="D284" i="18"/>
  <c r="E284" i="18" s="1"/>
  <c r="E22" i="18"/>
  <c r="E33" i="18"/>
  <c r="E264" i="17"/>
  <c r="D265" i="17"/>
  <c r="D271" i="17"/>
  <c r="D268" i="17"/>
  <c r="D263" i="17"/>
  <c r="D255" i="17"/>
  <c r="E255" i="17"/>
  <c r="F280" i="17"/>
  <c r="C272" i="17"/>
  <c r="C194" i="17"/>
  <c r="D139" i="17"/>
  <c r="E173" i="17"/>
  <c r="F173" i="17"/>
  <c r="C174" i="17"/>
  <c r="C104" i="17"/>
  <c r="E90" i="17"/>
  <c r="F90" i="17" s="1"/>
  <c r="E160" i="17"/>
  <c r="F160" i="17" s="1"/>
  <c r="E37" i="17"/>
  <c r="F37" i="17" s="1"/>
  <c r="D272" i="17"/>
  <c r="D273" i="17" s="1"/>
  <c r="E272" i="17"/>
  <c r="F272" i="17" s="1"/>
  <c r="E262" i="17"/>
  <c r="F262" i="17"/>
  <c r="D254" i="17"/>
  <c r="E205" i="17"/>
  <c r="F205" i="17" s="1"/>
  <c r="E193" i="17"/>
  <c r="F193" i="17" s="1"/>
  <c r="F264" i="17"/>
  <c r="C216" i="17"/>
  <c r="C288" i="17"/>
  <c r="F278" i="17"/>
  <c r="D161" i="17"/>
  <c r="D91" i="17"/>
  <c r="D92" i="17" s="1"/>
  <c r="E207" i="17"/>
  <c r="D208" i="17"/>
  <c r="E208" i="17" s="1"/>
  <c r="F208" i="17" s="1"/>
  <c r="C175" i="17"/>
  <c r="C105" i="17"/>
  <c r="C106" i="17" s="1"/>
  <c r="C208" i="17"/>
  <c r="C210" i="17"/>
  <c r="F207" i="17"/>
  <c r="D140" i="17"/>
  <c r="D141" i="17" s="1"/>
  <c r="D322" i="17" s="1"/>
  <c r="E32" i="17"/>
  <c r="F32" i="17"/>
  <c r="D62" i="17"/>
  <c r="G36" i="14"/>
  <c r="G38" i="14" s="1"/>
  <c r="G40" i="14" s="1"/>
  <c r="I33" i="14"/>
  <c r="I36" i="14"/>
  <c r="I38" i="14"/>
  <c r="I40" i="14" s="1"/>
  <c r="H36" i="14"/>
  <c r="H38" i="14" s="1"/>
  <c r="H40" i="14" s="1"/>
  <c r="D24" i="13"/>
  <c r="D20" i="13" s="1"/>
  <c r="D17" i="13"/>
  <c r="D28" i="13"/>
  <c r="D70" i="13" s="1"/>
  <c r="D72" i="13" s="1"/>
  <c r="D69" i="13" s="1"/>
  <c r="D34" i="12"/>
  <c r="D42" i="12" s="1"/>
  <c r="D49" i="12" s="1"/>
  <c r="E20" i="12"/>
  <c r="C34" i="12"/>
  <c r="D24" i="8"/>
  <c r="D20" i="8" s="1"/>
  <c r="D17" i="8"/>
  <c r="C112" i="8"/>
  <c r="C111" i="8"/>
  <c r="C28" i="8"/>
  <c r="C99" i="8" s="1"/>
  <c r="C101" i="8" s="1"/>
  <c r="C98" i="8" s="1"/>
  <c r="D21" i="5"/>
  <c r="E113" i="22"/>
  <c r="E56" i="22"/>
  <c r="E48" i="22"/>
  <c r="E38" i="22"/>
  <c r="C113" i="22"/>
  <c r="C56" i="22"/>
  <c r="C48" i="22"/>
  <c r="C38" i="22"/>
  <c r="E37" i="22"/>
  <c r="E112" i="22"/>
  <c r="C37" i="22"/>
  <c r="D56" i="22"/>
  <c r="D48" i="22"/>
  <c r="D38" i="22"/>
  <c r="D259" i="18"/>
  <c r="D263" i="18" s="1"/>
  <c r="D77" i="18"/>
  <c r="D114" i="18" s="1"/>
  <c r="D169" i="18"/>
  <c r="D181" i="18"/>
  <c r="E181" i="18" s="1"/>
  <c r="E145" i="18"/>
  <c r="C176" i="17"/>
  <c r="E62" i="17"/>
  <c r="F62" i="17" s="1"/>
  <c r="D63" i="17"/>
  <c r="C63" i="17"/>
  <c r="E63" i="17" s="1"/>
  <c r="F63" i="17" s="1"/>
  <c r="C195" i="17"/>
  <c r="E288" i="17"/>
  <c r="F288" i="17"/>
  <c r="C209" i="17"/>
  <c r="D304" i="17"/>
  <c r="D22" i="13"/>
  <c r="C22" i="8"/>
  <c r="D28" i="8"/>
  <c r="D99" i="8" s="1"/>
  <c r="D101" i="8" s="1"/>
  <c r="D112" i="8"/>
  <c r="D111" i="8"/>
  <c r="D35" i="5"/>
  <c r="D125" i="18"/>
  <c r="D123" i="18"/>
  <c r="D121" i="18"/>
  <c r="D126" i="18"/>
  <c r="D124" i="18"/>
  <c r="D115" i="18"/>
  <c r="D111" i="18"/>
  <c r="D98" i="8"/>
  <c r="D22" i="8"/>
  <c r="D43" i="5"/>
  <c r="D50" i="5"/>
  <c r="F290" i="17" l="1"/>
  <c r="D162" i="17"/>
  <c r="E216" i="17"/>
  <c r="D287" i="17"/>
  <c r="E283" i="17"/>
  <c r="F283" i="17" s="1"/>
  <c r="D284" i="17"/>
  <c r="D286" i="17"/>
  <c r="E286" i="17" s="1"/>
  <c r="F286" i="17" s="1"/>
  <c r="E302" i="18"/>
  <c r="D99" i="18"/>
  <c r="E99" i="18" s="1"/>
  <c r="D96" i="18"/>
  <c r="D97" i="18"/>
  <c r="E97" i="18" s="1"/>
  <c r="D87" i="18"/>
  <c r="E87" i="18" s="1"/>
  <c r="D86" i="18"/>
  <c r="E86" i="18" s="1"/>
  <c r="D101" i="18"/>
  <c r="E101" i="18" s="1"/>
  <c r="D258" i="18"/>
  <c r="D95" i="18"/>
  <c r="D100" i="18"/>
  <c r="E100" i="18" s="1"/>
  <c r="D88" i="18"/>
  <c r="E88" i="18" s="1"/>
  <c r="D98" i="18"/>
  <c r="E98" i="18" s="1"/>
  <c r="D84" i="18"/>
  <c r="D89" i="18"/>
  <c r="E89" i="18" s="1"/>
  <c r="E44" i="18"/>
  <c r="D295" i="18"/>
  <c r="E193" i="9"/>
  <c r="F193" i="9" s="1"/>
  <c r="D174" i="17"/>
  <c r="E174" i="17" s="1"/>
  <c r="F174" i="17" s="1"/>
  <c r="D175" i="17"/>
  <c r="C206" i="17"/>
  <c r="E206" i="17" s="1"/>
  <c r="F188" i="17"/>
  <c r="C277" i="17"/>
  <c r="C190" i="17"/>
  <c r="C261" i="17"/>
  <c r="F216" i="17"/>
  <c r="D112" i="22"/>
  <c r="D37" i="22"/>
  <c r="C304" i="17"/>
  <c r="E214" i="17"/>
  <c r="F214" i="17" s="1"/>
  <c r="C266" i="17"/>
  <c r="C282" i="17"/>
  <c r="E20" i="17"/>
  <c r="F20" i="17"/>
  <c r="C21" i="17"/>
  <c r="D108" i="22"/>
  <c r="D109" i="22"/>
  <c r="D113" i="22"/>
  <c r="D111" i="22"/>
  <c r="D110" i="22"/>
  <c r="E306" i="18"/>
  <c r="C20" i="8"/>
  <c r="C21" i="8"/>
  <c r="D300" i="17"/>
  <c r="E300" i="17" s="1"/>
  <c r="E215" i="17"/>
  <c r="F215" i="17" s="1"/>
  <c r="D247" i="18"/>
  <c r="E44" i="17"/>
  <c r="F44" i="17"/>
  <c r="C146" i="17"/>
  <c r="E146" i="17" s="1"/>
  <c r="F144" i="17"/>
  <c r="E144" i="17"/>
  <c r="D290" i="17"/>
  <c r="E290" i="17" s="1"/>
  <c r="D199" i="17"/>
  <c r="E199" i="17" s="1"/>
  <c r="F199" i="17" s="1"/>
  <c r="E198" i="17"/>
  <c r="F198" i="17" s="1"/>
  <c r="D274" i="17"/>
  <c r="E274" i="17" s="1"/>
  <c r="F274" i="17" s="1"/>
  <c r="D200" i="17"/>
  <c r="E200" i="17" s="1"/>
  <c r="F200" i="17" s="1"/>
  <c r="E83" i="18"/>
  <c r="D47" i="22"/>
  <c r="E127" i="9"/>
  <c r="F127" i="9" s="1"/>
  <c r="D209" i="17"/>
  <c r="E209" i="17" s="1"/>
  <c r="F209" i="17" s="1"/>
  <c r="D55" i="22"/>
  <c r="E103" i="17"/>
  <c r="F103" i="17" s="1"/>
  <c r="D104" i="17"/>
  <c r="E104" i="17" s="1"/>
  <c r="F104" i="17" s="1"/>
  <c r="D105" i="17"/>
  <c r="E222" i="18"/>
  <c r="D246" i="18"/>
  <c r="E246" i="18" s="1"/>
  <c r="C252" i="18"/>
  <c r="C253" i="18"/>
  <c r="E111" i="17"/>
  <c r="F111" i="17"/>
  <c r="C77" i="18"/>
  <c r="E76" i="18"/>
  <c r="E240" i="18"/>
  <c r="C41" i="20"/>
  <c r="E39" i="20"/>
  <c r="E41" i="20" s="1"/>
  <c r="F254" i="17"/>
  <c r="D210" i="17"/>
  <c r="C270" i="17"/>
  <c r="E267" i="17"/>
  <c r="F267" i="17" s="1"/>
  <c r="F138" i="17"/>
  <c r="E138" i="17"/>
  <c r="C140" i="17"/>
  <c r="F34" i="12"/>
  <c r="C42" i="12"/>
  <c r="E112" i="8"/>
  <c r="E111" i="8" s="1"/>
  <c r="C55" i="22"/>
  <c r="C112" i="22"/>
  <c r="C47" i="22"/>
  <c r="E70" i="13"/>
  <c r="E72" i="13" s="1"/>
  <c r="E69" i="13" s="1"/>
  <c r="D126" i="17"/>
  <c r="E21" i="17"/>
  <c r="D49" i="17"/>
  <c r="E55" i="18"/>
  <c r="D235" i="18"/>
  <c r="E235" i="18" s="1"/>
  <c r="D113" i="18"/>
  <c r="D110" i="18"/>
  <c r="F255" i="17"/>
  <c r="C149" i="8"/>
  <c r="F62" i="9"/>
  <c r="E62" i="9"/>
  <c r="E45" i="15"/>
  <c r="F45" i="15"/>
  <c r="E129" i="17"/>
  <c r="F129" i="17"/>
  <c r="C158" i="8"/>
  <c r="D158" i="8"/>
  <c r="F192" i="17"/>
  <c r="C246" i="18"/>
  <c r="C223" i="18"/>
  <c r="E157" i="18"/>
  <c r="C169" i="18"/>
  <c r="E169" i="18" s="1"/>
  <c r="D138" i="8"/>
  <c r="D136" i="8"/>
  <c r="D139" i="8"/>
  <c r="F23" i="9"/>
  <c r="F49" i="9"/>
  <c r="D270" i="17"/>
  <c r="E270" i="17" s="1"/>
  <c r="E269" i="17"/>
  <c r="F269" i="17" s="1"/>
  <c r="E266" i="17"/>
  <c r="C95" i="7"/>
  <c r="F20" i="12"/>
  <c r="D112" i="18"/>
  <c r="D122" i="18"/>
  <c r="D127" i="18"/>
  <c r="E34" i="12"/>
  <c r="E140" i="17"/>
  <c r="E47" i="22"/>
  <c r="E253" i="18"/>
  <c r="D194" i="17"/>
  <c r="D282" i="17"/>
  <c r="C300" i="17"/>
  <c r="C95" i="6"/>
  <c r="E95" i="6" s="1"/>
  <c r="E93" i="6"/>
  <c r="D43" i="8"/>
  <c r="D57" i="8"/>
  <c r="D62" i="8" s="1"/>
  <c r="D53" i="8"/>
  <c r="C90" i="8"/>
  <c r="C86" i="8" s="1"/>
  <c r="E208" i="9"/>
  <c r="F208" i="9" s="1"/>
  <c r="C22" i="13"/>
  <c r="D109" i="18"/>
  <c r="C281" i="17"/>
  <c r="E124" i="17"/>
  <c r="F124" i="17" s="1"/>
  <c r="D125" i="17"/>
  <c r="E125" i="17" s="1"/>
  <c r="F125" i="17" s="1"/>
  <c r="C139" i="17"/>
  <c r="E61" i="17"/>
  <c r="F61" i="17" s="1"/>
  <c r="E320" i="18"/>
  <c r="D252" i="18"/>
  <c r="E243" i="18"/>
  <c r="F29" i="4"/>
  <c r="E51" i="6"/>
  <c r="F51" i="6"/>
  <c r="E157" i="8"/>
  <c r="E155" i="8"/>
  <c r="E154" i="8"/>
  <c r="E158" i="8" s="1"/>
  <c r="D294" i="18"/>
  <c r="E294" i="18" s="1"/>
  <c r="C18" i="5"/>
  <c r="F25" i="6"/>
  <c r="C52" i="6"/>
  <c r="E49" i="6"/>
  <c r="F49" i="6" s="1"/>
  <c r="F68" i="6"/>
  <c r="F88" i="6"/>
  <c r="E124" i="6"/>
  <c r="F124" i="6" s="1"/>
  <c r="F121" i="7"/>
  <c r="F24" i="9"/>
  <c r="F37" i="9"/>
  <c r="E37" i="9"/>
  <c r="F76" i="9"/>
  <c r="F135" i="17"/>
  <c r="E41" i="7"/>
  <c r="F41" i="7" s="1"/>
  <c r="F101" i="9"/>
  <c r="F16" i="5"/>
  <c r="E47" i="6"/>
  <c r="F47" i="6"/>
  <c r="E27" i="8"/>
  <c r="E101" i="9"/>
  <c r="E114" i="9"/>
  <c r="F114" i="9"/>
  <c r="E65" i="18"/>
  <c r="C43" i="4"/>
  <c r="F86" i="6"/>
  <c r="F92" i="6"/>
  <c r="F153" i="6"/>
  <c r="F130" i="7"/>
  <c r="D188" i="7"/>
  <c r="E188" i="7" s="1"/>
  <c r="F188" i="7" s="1"/>
  <c r="E89" i="9"/>
  <c r="F89" i="9" s="1"/>
  <c r="C43" i="11"/>
  <c r="F29" i="11"/>
  <c r="E41" i="5"/>
  <c r="F41" i="5" s="1"/>
  <c r="F45" i="6"/>
  <c r="F102" i="9"/>
  <c r="F119" i="10"/>
  <c r="E180" i="9"/>
  <c r="F205" i="9"/>
  <c r="F117" i="10"/>
  <c r="F47" i="12"/>
  <c r="E37" i="15"/>
  <c r="F70" i="15"/>
  <c r="E47" i="10"/>
  <c r="F65" i="15"/>
  <c r="E29" i="17"/>
  <c r="F29" i="17" s="1"/>
  <c r="E130" i="17"/>
  <c r="F130" i="17" s="1"/>
  <c r="F192" i="9"/>
  <c r="E71" i="10"/>
  <c r="E96" i="10"/>
  <c r="F118" i="10"/>
  <c r="E65" i="15"/>
  <c r="C259" i="18"/>
  <c r="F201" i="9"/>
  <c r="E24" i="10"/>
  <c r="F36" i="10"/>
  <c r="E48" i="10"/>
  <c r="F108" i="10"/>
  <c r="E23" i="15"/>
  <c r="F23" i="15" s="1"/>
  <c r="E75" i="15"/>
  <c r="F74" i="15"/>
  <c r="D181" i="17"/>
  <c r="E181" i="17" s="1"/>
  <c r="F181" i="17" s="1"/>
  <c r="E307" i="17"/>
  <c r="F307" i="17" s="1"/>
  <c r="E283" i="18"/>
  <c r="F204" i="9"/>
  <c r="F60" i="10"/>
  <c r="F116" i="10"/>
  <c r="F75" i="15"/>
  <c r="C68" i="17"/>
  <c r="E48" i="13"/>
  <c r="E42" i="13" s="1"/>
  <c r="C66" i="18"/>
  <c r="C295" i="18" s="1"/>
  <c r="C175" i="18"/>
  <c r="E175" i="18" s="1"/>
  <c r="E36" i="20"/>
  <c r="F24" i="20"/>
  <c r="C59" i="13"/>
  <c r="C61" i="13" s="1"/>
  <c r="C57" i="13" s="1"/>
  <c r="F25" i="20"/>
  <c r="C49" i="19"/>
  <c r="F36" i="20"/>
  <c r="E210" i="17" l="1"/>
  <c r="F210" i="17" s="1"/>
  <c r="D211" i="17"/>
  <c r="C136" i="8"/>
  <c r="C139" i="8"/>
  <c r="C137" i="8"/>
  <c r="C135" i="8"/>
  <c r="C140" i="8"/>
  <c r="C138" i="8"/>
  <c r="F95" i="7"/>
  <c r="C21" i="5"/>
  <c r="E18" i="5"/>
  <c r="F18" i="5"/>
  <c r="D127" i="17"/>
  <c r="F140" i="17"/>
  <c r="C141" i="17"/>
  <c r="D176" i="17"/>
  <c r="E176" i="17" s="1"/>
  <c r="F176" i="17" s="1"/>
  <c r="E175" i="17"/>
  <c r="F175" i="17" s="1"/>
  <c r="E284" i="17"/>
  <c r="D323" i="17"/>
  <c r="D183" i="17"/>
  <c r="C109" i="18"/>
  <c r="C112" i="18"/>
  <c r="C126" i="18"/>
  <c r="E126" i="18" s="1"/>
  <c r="C110" i="18"/>
  <c r="C115" i="18"/>
  <c r="E115" i="18" s="1"/>
  <c r="C114" i="18"/>
  <c r="E114" i="18" s="1"/>
  <c r="C113" i="18"/>
  <c r="E113" i="18" s="1"/>
  <c r="C111" i="18"/>
  <c r="E111" i="18" s="1"/>
  <c r="C127" i="18"/>
  <c r="C125" i="18"/>
  <c r="E125" i="18" s="1"/>
  <c r="C122" i="18"/>
  <c r="C123" i="18"/>
  <c r="E123" i="18" s="1"/>
  <c r="C121" i="18"/>
  <c r="C124" i="18"/>
  <c r="E124" i="18" s="1"/>
  <c r="E95" i="18"/>
  <c r="F43" i="4"/>
  <c r="E95" i="7"/>
  <c r="E304" i="17"/>
  <c r="F304" i="17" s="1"/>
  <c r="E258" i="18"/>
  <c r="D264" i="18"/>
  <c r="E252" i="18"/>
  <c r="D254" i="18"/>
  <c r="F95" i="6"/>
  <c r="F39" i="20"/>
  <c r="D106" i="17"/>
  <c r="E105" i="17"/>
  <c r="F105" i="17" s="1"/>
  <c r="E112" i="18"/>
  <c r="D50" i="17"/>
  <c r="C263" i="18"/>
  <c r="E259" i="18"/>
  <c r="F206" i="17"/>
  <c r="E66" i="18"/>
  <c r="E43" i="4"/>
  <c r="E127" i="18"/>
  <c r="E110" i="18"/>
  <c r="D116" i="18"/>
  <c r="D117" i="18" s="1"/>
  <c r="D90" i="18"/>
  <c r="E84" i="18"/>
  <c r="D289" i="17"/>
  <c r="E287" i="17"/>
  <c r="D291" i="17"/>
  <c r="C287" i="17"/>
  <c r="C284" i="17"/>
  <c r="C279" i="17"/>
  <c r="E277" i="17"/>
  <c r="F277" i="17" s="1"/>
  <c r="F146" i="17"/>
  <c r="F68" i="17"/>
  <c r="C49" i="17"/>
  <c r="C91" i="17"/>
  <c r="F21" i="17"/>
  <c r="C196" i="17"/>
  <c r="C161" i="17"/>
  <c r="C126" i="17"/>
  <c r="F300" i="17"/>
  <c r="E122" i="18"/>
  <c r="D128" i="18"/>
  <c r="C247" i="18"/>
  <c r="E247" i="18" s="1"/>
  <c r="F41" i="20"/>
  <c r="E223" i="18"/>
  <c r="C265" i="17"/>
  <c r="F266" i="17"/>
  <c r="C268" i="17"/>
  <c r="E261" i="17"/>
  <c r="F261" i="17"/>
  <c r="C271" i="17"/>
  <c r="C263" i="17"/>
  <c r="E194" i="17"/>
  <c r="F194" i="17" s="1"/>
  <c r="D195" i="17"/>
  <c r="E195" i="17" s="1"/>
  <c r="F195" i="17" s="1"/>
  <c r="D196" i="17"/>
  <c r="E42" i="12"/>
  <c r="C49" i="12"/>
  <c r="F42" i="12"/>
  <c r="E295" i="18"/>
  <c r="E43" i="11"/>
  <c r="F43" i="11"/>
  <c r="D141" i="8"/>
  <c r="E52" i="6"/>
  <c r="F52" i="6" s="1"/>
  <c r="E68" i="17"/>
  <c r="E20" i="8"/>
  <c r="E21" i="8"/>
  <c r="E22" i="8"/>
  <c r="F139" i="17"/>
  <c r="D281" i="17"/>
  <c r="E281" i="17" s="1"/>
  <c r="F281" i="17" s="1"/>
  <c r="E282" i="17"/>
  <c r="F282" i="17" s="1"/>
  <c r="E77" i="18"/>
  <c r="F270" i="17"/>
  <c r="C254" i="18"/>
  <c r="E139" i="17"/>
  <c r="E190" i="17"/>
  <c r="F190" i="17"/>
  <c r="E96" i="18"/>
  <c r="D102" i="18"/>
  <c r="E102" i="18" s="1"/>
  <c r="D131" i="18" l="1"/>
  <c r="C127" i="17"/>
  <c r="D266" i="18"/>
  <c r="E126" i="17"/>
  <c r="F126" i="17" s="1"/>
  <c r="F196" i="17"/>
  <c r="E279" i="17"/>
  <c r="F279" i="17" s="1"/>
  <c r="E90" i="18"/>
  <c r="D91" i="18"/>
  <c r="E106" i="17"/>
  <c r="F106" i="17" s="1"/>
  <c r="D113" i="17"/>
  <c r="D324" i="17"/>
  <c r="C141" i="8"/>
  <c r="C92" i="17"/>
  <c r="E91" i="17"/>
  <c r="F91" i="17" s="1"/>
  <c r="F284" i="17"/>
  <c r="C264" i="18"/>
  <c r="C266" i="18" s="1"/>
  <c r="C267" i="18" s="1"/>
  <c r="E263" i="18"/>
  <c r="C116" i="18"/>
  <c r="C117" i="18" s="1"/>
  <c r="C162" i="17"/>
  <c r="F161" i="17"/>
  <c r="E161" i="17"/>
  <c r="E263" i="17"/>
  <c r="F263" i="17" s="1"/>
  <c r="E109" i="18"/>
  <c r="D129" i="18"/>
  <c r="C50" i="17"/>
  <c r="C291" i="17"/>
  <c r="C289" i="17"/>
  <c r="F287" i="17"/>
  <c r="D70" i="17"/>
  <c r="E254" i="18"/>
  <c r="C128" i="18"/>
  <c r="E128" i="18" s="1"/>
  <c r="D197" i="17"/>
  <c r="E196" i="17"/>
  <c r="E265" i="17"/>
  <c r="F265" i="17" s="1"/>
  <c r="D103" i="18"/>
  <c r="E103" i="18" s="1"/>
  <c r="E127" i="17"/>
  <c r="D148" i="17"/>
  <c r="C273" i="17"/>
  <c r="E271" i="17"/>
  <c r="F271" i="17" s="1"/>
  <c r="C129" i="18"/>
  <c r="E121" i="18"/>
  <c r="F49" i="12"/>
  <c r="E49" i="12"/>
  <c r="E268" i="17"/>
  <c r="F268" i="17" s="1"/>
  <c r="D305" i="17"/>
  <c r="E291" i="17"/>
  <c r="E49" i="17"/>
  <c r="F49" i="17" s="1"/>
  <c r="E141" i="17"/>
  <c r="F141" i="17" s="1"/>
  <c r="C211" i="17"/>
  <c r="C322" i="17"/>
  <c r="E21" i="5"/>
  <c r="F21" i="5"/>
  <c r="C35" i="5"/>
  <c r="E211" i="17"/>
  <c r="C131" i="18" l="1"/>
  <c r="E131" i="18" s="1"/>
  <c r="E117" i="18"/>
  <c r="C43" i="5"/>
  <c r="E35" i="5"/>
  <c r="F35" i="5"/>
  <c r="E305" i="17"/>
  <c r="D309" i="17"/>
  <c r="E197" i="17"/>
  <c r="F291" i="17"/>
  <c r="C305" i="17"/>
  <c r="E266" i="18"/>
  <c r="D267" i="18"/>
  <c r="C70" i="17"/>
  <c r="E148" i="17"/>
  <c r="C323" i="17"/>
  <c r="C183" i="17"/>
  <c r="E162" i="17"/>
  <c r="F162" i="17" s="1"/>
  <c r="C148" i="17"/>
  <c r="F127" i="17"/>
  <c r="C197" i="17"/>
  <c r="D325" i="17"/>
  <c r="E324" i="17"/>
  <c r="C268" i="18"/>
  <c r="C269" i="18"/>
  <c r="D105" i="18"/>
  <c r="E105" i="18" s="1"/>
  <c r="E91" i="18"/>
  <c r="F211" i="17"/>
  <c r="E50" i="17"/>
  <c r="F50" i="17" s="1"/>
  <c r="E129" i="18"/>
  <c r="E289" i="17"/>
  <c r="F289" i="17" s="1"/>
  <c r="C113" i="17"/>
  <c r="C324" i="17"/>
  <c r="E92" i="17"/>
  <c r="F92" i="17" s="1"/>
  <c r="E116" i="18"/>
  <c r="E113" i="17"/>
  <c r="F273" i="17"/>
  <c r="E273" i="17"/>
  <c r="E264" i="18"/>
  <c r="E322" i="17"/>
  <c r="F322" i="17" s="1"/>
  <c r="E325" i="17" l="1"/>
  <c r="E70" i="17"/>
  <c r="F70" i="17" s="1"/>
  <c r="D269" i="18"/>
  <c r="E269" i="18" s="1"/>
  <c r="E267" i="18"/>
  <c r="D268" i="18"/>
  <c r="E323" i="17"/>
  <c r="F323" i="17" s="1"/>
  <c r="F197" i="17"/>
  <c r="F148" i="17"/>
  <c r="E183" i="17"/>
  <c r="F183" i="17" s="1"/>
  <c r="E43" i="5"/>
  <c r="C50" i="5"/>
  <c r="F43" i="5"/>
  <c r="D310" i="17"/>
  <c r="E309" i="17"/>
  <c r="F324" i="17"/>
  <c r="C325" i="17"/>
  <c r="F113" i="17"/>
  <c r="C271" i="18"/>
  <c r="C309" i="17"/>
  <c r="F305" i="17"/>
  <c r="D312" i="17" l="1"/>
  <c r="F309" i="17"/>
  <c r="C310" i="17"/>
  <c r="E268" i="18"/>
  <c r="D271" i="18"/>
  <c r="E271" i="18" s="1"/>
  <c r="F325" i="17"/>
  <c r="F50" i="5"/>
  <c r="E50" i="5"/>
  <c r="D313" i="17" l="1"/>
  <c r="C312" i="17"/>
  <c r="E310" i="17"/>
  <c r="F310" i="17" s="1"/>
  <c r="D315" i="17" l="1"/>
  <c r="D251" i="17"/>
  <c r="D256" i="17"/>
  <c r="D314" i="17"/>
  <c r="F312" i="17"/>
  <c r="C313" i="17"/>
  <c r="E313" i="17" s="1"/>
  <c r="E312" i="17"/>
  <c r="F313" i="17" l="1"/>
  <c r="C256" i="17"/>
  <c r="C314" i="17"/>
  <c r="C251" i="17"/>
  <c r="C315" i="17"/>
  <c r="E314" i="17"/>
  <c r="D318" i="17"/>
  <c r="E251" i="17"/>
  <c r="E256" i="17"/>
  <c r="D257" i="17"/>
  <c r="F251" i="17" l="1"/>
  <c r="C257" i="17"/>
  <c r="F256" i="17"/>
  <c r="F315" i="17"/>
  <c r="E315" i="17"/>
  <c r="F314" i="17"/>
  <c r="C318" i="17"/>
  <c r="E318" i="17" s="1"/>
  <c r="E257" i="17" l="1"/>
  <c r="F257" i="17" s="1"/>
  <c r="F318" i="17"/>
</calcChain>
</file>

<file path=xl/sharedStrings.xml><?xml version="1.0" encoding="utf-8"?>
<sst xmlns="http://schemas.openxmlformats.org/spreadsheetml/2006/main" count="2334" uniqueCount="1009">
  <si>
    <t>MILFORD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</si>
  <si>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</si>
  <si>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</si>
  <si>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</si>
  <si>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</si>
  <si>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</si>
  <si>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</si>
  <si>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</si>
  <si>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</si>
  <si>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</si>
  <si>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</si>
  <si>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</si>
  <si>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</si>
  <si>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</si>
  <si>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</si>
  <si>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</si>
  <si>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</si>
  <si>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</si>
  <si>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</si>
  <si>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</si>
  <si>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</si>
  <si>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</si>
  <si>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</si>
  <si>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</si>
  <si>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</si>
  <si>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</si>
  <si>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</si>
  <si>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</si>
  <si>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</si>
  <si>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</si>
  <si>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</si>
  <si>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</si>
  <si>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</si>
  <si>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</si>
  <si>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</si>
  <si>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</si>
  <si>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</si>
  <si>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</si>
  <si>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</si>
  <si>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</si>
  <si>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</si>
  <si>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</si>
  <si>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</si>
  <si>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</si>
  <si>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</si>
  <si>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</si>
  <si>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</si>
  <si>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</si>
  <si>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</si>
  <si>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</si>
  <si>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</si>
  <si>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</si>
  <si>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</si>
  <si>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</si>
  <si>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</si>
  <si>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</si>
  <si>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</si>
  <si>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</si>
  <si>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</si>
  <si>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</si>
  <si>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</si>
  <si>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</si>
  <si>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</si>
  <si>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</si>
  <si>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</si>
  <si>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</si>
  <si>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</si>
  <si>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</si>
  <si>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</si>
  <si>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</si>
  <si>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</si>
  <si>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</si>
  <si>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</si>
  <si>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</si>
  <si>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</si>
  <si>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</si>
  <si>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</si>
  <si>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</si>
  <si>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</si>
  <si>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</si>
  <si>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</si>
  <si>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</si>
  <si>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</si>
  <si>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</si>
  <si>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</si>
  <si>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</si>
  <si>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</si>
  <si>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</si>
  <si>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</si>
  <si>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</si>
  <si>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</si>
  <si>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</si>
  <si>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</si>
  <si>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</si>
  <si>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</si>
  <si>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</si>
  <si>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</si>
  <si>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</si>
  <si>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</si>
  <si>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</si>
  <si>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</si>
  <si>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</si>
  <si>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</si>
  <si>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</si>
  <si>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</si>
  <si>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</si>
  <si>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</si>
  <si>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</si>
  <si>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</si>
  <si>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</si>
  <si>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</si>
  <si>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</si>
  <si>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</si>
  <si>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</si>
  <si>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</si>
  <si>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</si>
  <si>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</si>
  <si>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</si>
  <si>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</si>
  <si>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</si>
  <si>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</si>
  <si>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</si>
  <si>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</si>
  <si>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</si>
  <si>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</si>
  <si>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</si>
  <si>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</si>
  <si>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</si>
  <si>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</si>
  <si>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</si>
  <si>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</si>
  <si>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</si>
  <si>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</si>
  <si>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</si>
  <si>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</si>
  <si>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</si>
  <si>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</si>
  <si>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</si>
  <si>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</si>
  <si>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</si>
  <si>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</si>
  <si>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</si>
  <si>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</si>
  <si>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</si>
  <si>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</si>
  <si>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</si>
  <si>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</si>
  <si>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</si>
  <si>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</si>
  <si>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</si>
  <si>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</si>
  <si>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</si>
  <si>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</si>
  <si>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</si>
  <si>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</si>
  <si>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</si>
  <si>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</si>
  <si>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</si>
  <si>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</si>
  <si>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</si>
  <si>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</si>
  <si>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</si>
  <si>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</si>
  <si>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</si>
  <si>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</si>
  <si>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</si>
  <si>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</si>
  <si>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</si>
  <si>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</si>
  <si>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</si>
  <si>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</si>
  <si>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</si>
  <si>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</si>
  <si>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</si>
  <si>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</si>
  <si>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</si>
  <si>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</si>
  <si>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</si>
  <si>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</si>
  <si>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</si>
  <si>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</si>
  <si>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</si>
  <si>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</si>
  <si>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</si>
  <si>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</si>
  <si>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</si>
  <si>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</si>
  <si>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</si>
  <si>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</si>
  <si>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</si>
  <si>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</si>
  <si>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</si>
  <si>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</si>
  <si>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</si>
  <si>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</si>
  <si>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</si>
  <si>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</si>
  <si>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</si>
  <si>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</si>
  <si>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</si>
  <si>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</si>
  <si>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</si>
  <si>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</si>
  <si>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</si>
  <si>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</si>
  <si>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</si>
  <si>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</si>
  <si>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</si>
  <si>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</si>
  <si>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</si>
  <si>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</si>
  <si>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</si>
  <si>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</si>
  <si>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</si>
  <si>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</si>
  <si>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</si>
  <si>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</si>
  <si>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</si>
  <si>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</si>
  <si>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</si>
  <si>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</si>
  <si>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</si>
  <si>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</si>
  <si>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</si>
  <si>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</si>
  <si>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</si>
  <si>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</si>
  <si>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</si>
  <si>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</si>
  <si>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</si>
  <si>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</si>
  <si>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</si>
  <si>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</si>
  <si>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</si>
  <si>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</si>
  <si>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</si>
  <si>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</si>
  <si>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</si>
  <si>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</si>
  <si>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</si>
  <si>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</si>
  <si>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</si>
  <si>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</si>
  <si>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</si>
  <si>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</si>
  <si>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</si>
  <si>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</si>
  <si>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</si>
  <si>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</si>
  <si>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</si>
  <si>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</si>
  <si>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</si>
  <si>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</si>
  <si>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</si>
  <si>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</si>
  <si>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</si>
  <si>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</si>
  <si>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</si>
  <si>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</si>
  <si>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</si>
  <si>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</si>
  <si>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</si>
  <si>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</si>
  <si>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</si>
  <si>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</si>
  <si>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</si>
  <si>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</si>
  <si>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</si>
  <si>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</si>
  <si>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</si>
  <si>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</si>
  <si>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</si>
  <si>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</si>
  <si>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</si>
  <si>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</si>
  <si>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</si>
  <si>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</si>
  <si>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</si>
  <si>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</si>
  <si>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</si>
  <si>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</si>
  <si>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</si>
  <si>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</si>
  <si>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</si>
  <si>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</si>
  <si>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</si>
  <si>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</si>
  <si>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</si>
  <si>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</si>
  <si>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</si>
  <si>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</si>
  <si>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</si>
  <si>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</si>
  <si>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</si>
  <si>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</si>
  <si>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</si>
  <si>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</si>
  <si>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</si>
  <si>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</si>
  <si>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</si>
  <si>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</si>
  <si>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</si>
  <si>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</si>
  <si>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</si>
  <si>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</si>
  <si>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</si>
  <si>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</si>
  <si>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</si>
  <si>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</si>
  <si>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</si>
  <si>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</si>
  <si>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</si>
  <si>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</si>
  <si>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</si>
  <si>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</si>
  <si>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</si>
  <si>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</si>
  <si>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</si>
  <si>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</si>
  <si>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</si>
  <si>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</si>
  <si>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</si>
  <si>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</si>
  <si>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</si>
  <si>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</si>
  <si>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</si>
  <si>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</si>
  <si>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</si>
  <si>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</si>
  <si>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</si>
  <si>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</si>
  <si>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</si>
  <si>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</si>
  <si>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</si>
  <si>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</si>
  <si>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</si>
  <si>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</si>
  <si>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</si>
  <si>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</si>
  <si>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</si>
  <si>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</si>
  <si>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</si>
  <si>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</si>
  <si>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</si>
  <si>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</si>
  <si>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</si>
  <si>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</si>
  <si>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</si>
  <si>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</si>
  <si>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</si>
  <si>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</si>
  <si>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</si>
  <si>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</si>
  <si>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</si>
  <si>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</si>
  <si>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</si>
  <si>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</si>
  <si>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</si>
  <si>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</si>
  <si>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</si>
  <si>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</si>
  <si>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</si>
  <si>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</si>
  <si>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</si>
  <si>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</si>
  <si>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</si>
  <si>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</si>
  <si>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</si>
  <si>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</si>
  <si>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</si>
  <si>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</si>
  <si>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</si>
  <si>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</si>
  <si>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</si>
  <si>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</si>
  <si>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</si>
  <si>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</si>
  <si>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</si>
  <si>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</si>
  <si>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</si>
  <si>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</si>
  <si>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</si>
  <si>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</si>
  <si>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</si>
  <si>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</si>
  <si>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</si>
  <si>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</si>
  <si>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</si>
  <si>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</si>
  <si>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</si>
  <si>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</si>
  <si>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</si>
  <si>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</si>
  <si>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</si>
  <si>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</si>
  <si>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</si>
  <si>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</si>
  <si>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</si>
  <si>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</si>
  <si>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</si>
  <si>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</si>
  <si>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</si>
  <si>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</si>
  <si>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</si>
  <si>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</si>
  <si>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</si>
  <si>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</si>
  <si>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</si>
  <si>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</si>
  <si>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</si>
  <si>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</si>
  <si>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</si>
  <si>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</si>
  <si>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</si>
  <si>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</si>
  <si>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</si>
  <si>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</si>
  <si>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</si>
  <si>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</si>
  <si>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</si>
  <si>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</si>
  <si>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</si>
  <si>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</si>
  <si>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</si>
  <si>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</si>
  <si>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</si>
  <si>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</si>
  <si>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</si>
  <si>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</si>
  <si>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</si>
  <si>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</si>
  <si>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</si>
  <si>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</si>
  <si>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</si>
  <si>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</si>
  <si>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</si>
  <si>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</si>
  <si>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</si>
  <si>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</si>
  <si>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</si>
  <si>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</si>
  <si>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</si>
  <si>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</si>
  <si>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</si>
  <si>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</si>
  <si>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</si>
  <si>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</si>
  <si>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</si>
  <si>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</si>
  <si>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</si>
  <si>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</si>
  <si>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</si>
  <si>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</si>
  <si>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</si>
  <si>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</si>
  <si>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</si>
  <si>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</si>
  <si>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</si>
  <si>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</si>
  <si>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</si>
  <si>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</si>
  <si>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</si>
  <si>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</si>
  <si>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</si>
  <si>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</si>
  <si>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</si>
  <si>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</si>
  <si>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</si>
  <si>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</si>
  <si>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</si>
  <si>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</si>
  <si>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</si>
  <si>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</si>
  <si>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</si>
  <si>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</si>
  <si>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</si>
  <si>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</si>
  <si>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</si>
  <si>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</si>
  <si>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</si>
  <si>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</si>
  <si>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</si>
  <si>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</si>
  <si>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</si>
  <si>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</si>
  <si>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</si>
  <si>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</si>
  <si>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</si>
  <si>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</si>
  <si>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</si>
  <si>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</si>
  <si>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</si>
  <si>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</si>
  <si>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</si>
  <si>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</si>
  <si>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</si>
  <si>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</si>
  <si>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</si>
  <si>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</si>
  <si>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</si>
  <si>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MILFORD HEALTH &amp; MEDICAL,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</si>
  <si>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</si>
  <si>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</si>
  <si>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</si>
  <si>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</si>
  <si>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</si>
  <si>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</si>
  <si>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</si>
  <si>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</si>
  <si>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</si>
  <si>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</si>
  <si>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</si>
  <si>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</si>
  <si>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</si>
  <si>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</si>
  <si>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</si>
  <si>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</si>
  <si>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</si>
  <si>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</si>
  <si>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</si>
  <si>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</si>
  <si>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</si>
  <si>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</si>
  <si>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</si>
  <si>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</si>
  <si>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</si>
  <si>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</si>
  <si>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</si>
  <si>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</si>
  <si>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</si>
  <si>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</si>
  <si>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</si>
  <si>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</si>
  <si>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</si>
  <si>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</si>
  <si>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</si>
  <si>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</si>
  <si>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</si>
  <si>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</si>
  <si>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</si>
  <si>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</si>
  <si>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</si>
  <si>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</si>
  <si>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</si>
  <si>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</si>
  <si>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</si>
  <si>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</si>
  <si>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</si>
  <si>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</si>
  <si>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</si>
  <si>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</si>
  <si>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</si>
  <si>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</si>
  <si>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</si>
  <si>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</si>
  <si>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</si>
  <si>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</si>
  <si>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</si>
  <si>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</si>
  <si>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</si>
  <si>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</si>
  <si>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</si>
  <si>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</si>
  <si>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</si>
  <si>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</si>
  <si>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</si>
  <si>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</si>
  <si>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</si>
  <si>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</si>
  <si>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</si>
  <si>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</si>
  <si>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</si>
  <si>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</si>
  <si>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</si>
  <si>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</si>
  <si>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</si>
  <si>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</si>
  <si>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</si>
  <si>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</si>
  <si>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</si>
  <si>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</si>
  <si>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</si>
  <si>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</si>
  <si>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</si>
  <si>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</si>
  <si>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</si>
  <si>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</si>
  <si>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</si>
  <si>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</si>
  <si>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</si>
  <si>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</si>
  <si>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</si>
  <si>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</si>
  <si>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</si>
  <si>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</si>
  <si>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</si>
  <si>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</si>
  <si>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</si>
  <si>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</si>
  <si>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</si>
  <si>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</si>
  <si>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</si>
  <si>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</si>
  <si>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</si>
  <si>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</si>
  <si>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</si>
  <si>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</si>
  <si>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</si>
  <si>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</si>
  <si>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</si>
  <si>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</si>
  <si>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</si>
  <si>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</si>
  <si>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</si>
  <si>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</si>
  <si>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</si>
  <si>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</si>
  <si>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</si>
  <si>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</si>
  <si>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</si>
  <si>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</si>
  <si>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Milford Hospital</t>
  </si>
  <si>
    <t>Total Outpatient Surgical Procedures(A)</t>
  </si>
  <si>
    <t>Total Outpatient Endoscopy Procedures(B)</t>
  </si>
  <si>
    <t>Outpatient Hospital Emergency Room Visits</t>
  </si>
  <si>
    <t>MilfHospBostonPostRd WalkIn Ctr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</si>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</sst>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K33" sqref="K33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404540</v>
      </c>
      <c r="D13" s="22">
        <v>1665016</v>
      </c>
      <c r="E13" s="22">
        <f t="shared" ref="E13:E22" si="0">D13-C13</f>
        <v>1260476</v>
      </c>
      <c r="F13" s="23">
        <f t="shared" ref="F13:F22" si="1">IF(C13=0,0,E13/C13)</f>
        <v>3.1158253819152617</v>
      </c>
    </row>
    <row r="14" spans="1:8" ht="24" customHeight="1" x14ac:dyDescent="0.2">
      <c r="A14" s="20">
        <v>2</v>
      </c>
      <c r="B14" s="21" t="s">
        <v>17</v>
      </c>
      <c r="C14" s="22">
        <v>225160</v>
      </c>
      <c r="D14" s="22">
        <v>110612</v>
      </c>
      <c r="E14" s="22">
        <f t="shared" si="0"/>
        <v>-114548</v>
      </c>
      <c r="F14" s="23">
        <f t="shared" si="1"/>
        <v>-0.50874045123467759</v>
      </c>
    </row>
    <row r="15" spans="1:8" ht="24" customHeight="1" x14ac:dyDescent="0.2">
      <c r="A15" s="20">
        <v>3</v>
      </c>
      <c r="B15" s="21" t="s">
        <v>18</v>
      </c>
      <c r="C15" s="22">
        <v>12293728</v>
      </c>
      <c r="D15" s="22">
        <v>9618035</v>
      </c>
      <c r="E15" s="22">
        <f t="shared" si="0"/>
        <v>-2675693</v>
      </c>
      <c r="F15" s="23">
        <f t="shared" si="1"/>
        <v>-0.21764699853453728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861132</v>
      </c>
      <c r="D19" s="22">
        <v>887860</v>
      </c>
      <c r="E19" s="22">
        <f t="shared" si="0"/>
        <v>26728</v>
      </c>
      <c r="F19" s="23">
        <f t="shared" si="1"/>
        <v>3.1038214814918037E-2</v>
      </c>
    </row>
    <row r="20" spans="1:11" ht="24" customHeight="1" x14ac:dyDescent="0.2">
      <c r="A20" s="20">
        <v>8</v>
      </c>
      <c r="B20" s="21" t="s">
        <v>23</v>
      </c>
      <c r="C20" s="22">
        <v>613086</v>
      </c>
      <c r="D20" s="22">
        <v>1216823</v>
      </c>
      <c r="E20" s="22">
        <f t="shared" si="0"/>
        <v>603737</v>
      </c>
      <c r="F20" s="23">
        <f t="shared" si="1"/>
        <v>0.98475091585846031</v>
      </c>
    </row>
    <row r="21" spans="1:11" ht="24" customHeight="1" x14ac:dyDescent="0.2">
      <c r="A21" s="20">
        <v>9</v>
      </c>
      <c r="B21" s="21" t="s">
        <v>24</v>
      </c>
      <c r="C21" s="22">
        <v>1770456</v>
      </c>
      <c r="D21" s="22">
        <v>1325620</v>
      </c>
      <c r="E21" s="22">
        <f t="shared" si="0"/>
        <v>-444836</v>
      </c>
      <c r="F21" s="23">
        <f t="shared" si="1"/>
        <v>-0.25125504389829512</v>
      </c>
    </row>
    <row r="22" spans="1:11" ht="24" customHeight="1" x14ac:dyDescent="0.25">
      <c r="A22" s="24"/>
      <c r="B22" s="25" t="s">
        <v>25</v>
      </c>
      <c r="C22" s="26">
        <f>SUM(C13:C21)</f>
        <v>16168102</v>
      </c>
      <c r="D22" s="26">
        <f>SUM(D13:D21)</f>
        <v>14823966</v>
      </c>
      <c r="E22" s="26">
        <f t="shared" si="0"/>
        <v>-1344136</v>
      </c>
      <c r="F22" s="27">
        <f t="shared" si="1"/>
        <v>-8.3135051968375756E-2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761871</v>
      </c>
      <c r="D25" s="22">
        <v>894273</v>
      </c>
      <c r="E25" s="22">
        <f>D25-C25</f>
        <v>132402</v>
      </c>
      <c r="F25" s="23">
        <f>IF(C25=0,0,E25/C25)</f>
        <v>0.17378532586225226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919295</v>
      </c>
      <c r="D28" s="22">
        <v>1685728</v>
      </c>
      <c r="E28" s="22">
        <f>D28-C28</f>
        <v>766433</v>
      </c>
      <c r="F28" s="23">
        <f>IF(C28=0,0,E28/C28)</f>
        <v>0.83371822973039122</v>
      </c>
    </row>
    <row r="29" spans="1:11" ht="24" customHeight="1" x14ac:dyDescent="0.25">
      <c r="A29" s="24"/>
      <c r="B29" s="25" t="s">
        <v>32</v>
      </c>
      <c r="C29" s="26">
        <f>SUM(C25:C28)</f>
        <v>1681166</v>
      </c>
      <c r="D29" s="26">
        <f>SUM(D25:D28)</f>
        <v>2580001</v>
      </c>
      <c r="E29" s="26">
        <f>D29-C29</f>
        <v>898835</v>
      </c>
      <c r="F29" s="27">
        <f>IF(C29=0,0,E29/C29)</f>
        <v>0.53464976093972871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789204</v>
      </c>
      <c r="D31" s="22">
        <v>894273</v>
      </c>
      <c r="E31" s="22">
        <f>D31-C31</f>
        <v>105069</v>
      </c>
      <c r="F31" s="23">
        <f>IF(C31=0,0,E31/C31)</f>
        <v>0.1331328781911901</v>
      </c>
    </row>
    <row r="32" spans="1:11" ht="24" customHeight="1" x14ac:dyDescent="0.2">
      <c r="A32" s="20">
        <v>6</v>
      </c>
      <c r="B32" s="21" t="s">
        <v>34</v>
      </c>
      <c r="C32" s="22">
        <v>12311143</v>
      </c>
      <c r="D32" s="22">
        <v>3482913</v>
      </c>
      <c r="E32" s="22">
        <f>D32-C32</f>
        <v>-8828230</v>
      </c>
      <c r="F32" s="23">
        <f>IF(C32=0,0,E32/C32)</f>
        <v>-0.71709263713369265</v>
      </c>
    </row>
    <row r="33" spans="1:8" ht="24" customHeight="1" x14ac:dyDescent="0.2">
      <c r="A33" s="20">
        <v>7</v>
      </c>
      <c r="B33" s="21" t="s">
        <v>35</v>
      </c>
      <c r="C33" s="22">
        <v>3692913</v>
      </c>
      <c r="D33" s="22">
        <v>4434466</v>
      </c>
      <c r="E33" s="22">
        <f>D33-C33</f>
        <v>741553</v>
      </c>
      <c r="F33" s="23">
        <f>IF(C33=0,0,E33/C33)</f>
        <v>0.20080435146996423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72359288</v>
      </c>
      <c r="D36" s="22">
        <v>50192655</v>
      </c>
      <c r="E36" s="22">
        <f>D36-C36</f>
        <v>-22166633</v>
      </c>
      <c r="F36" s="23">
        <f>IF(C36=0,0,E36/C36)</f>
        <v>-0.30634122602201391</v>
      </c>
    </row>
    <row r="37" spans="1:8" ht="24" customHeight="1" x14ac:dyDescent="0.2">
      <c r="A37" s="20">
        <v>2</v>
      </c>
      <c r="B37" s="21" t="s">
        <v>39</v>
      </c>
      <c r="C37" s="22">
        <v>48777136</v>
      </c>
      <c r="D37" s="22">
        <v>28032185</v>
      </c>
      <c r="E37" s="22">
        <f>D37-C37</f>
        <v>-20744951</v>
      </c>
      <c r="F37" s="23">
        <f>IF(C37=0,0,E37/C37)</f>
        <v>-0.42530071876298764</v>
      </c>
    </row>
    <row r="38" spans="1:8" ht="24" customHeight="1" x14ac:dyDescent="0.25">
      <c r="A38" s="24"/>
      <c r="B38" s="25" t="s">
        <v>40</v>
      </c>
      <c r="C38" s="26">
        <f>C36-C37</f>
        <v>23582152</v>
      </c>
      <c r="D38" s="26">
        <f>D36-D37</f>
        <v>22160470</v>
      </c>
      <c r="E38" s="26">
        <f>D38-C38</f>
        <v>-1421682</v>
      </c>
      <c r="F38" s="27">
        <f>IF(C38=0,0,E38/C38)</f>
        <v>-6.0286355545498986E-2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23582152</v>
      </c>
      <c r="D41" s="26">
        <f>+D38+D40</f>
        <v>22160470</v>
      </c>
      <c r="E41" s="26">
        <f>D41-C41</f>
        <v>-1421682</v>
      </c>
      <c r="F41" s="27">
        <f>IF(C41=0,0,E41/C41)</f>
        <v>-6.0286355545498986E-2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58224680</v>
      </c>
      <c r="D43" s="26">
        <f>D22+D29+D31+D32+D33+D41</f>
        <v>48376089</v>
      </c>
      <c r="E43" s="26">
        <f>D43-C43</f>
        <v>-9848591</v>
      </c>
      <c r="F43" s="27">
        <f>IF(C43=0,0,E43/C43)</f>
        <v>-0.16914804855947685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4350123</v>
      </c>
      <c r="D49" s="22">
        <v>5318753</v>
      </c>
      <c r="E49" s="22">
        <f t="shared" ref="E49:E56" si="2">D49-C49</f>
        <v>968630</v>
      </c>
      <c r="F49" s="23">
        <f t="shared" ref="F49:F56" si="3">IF(C49=0,0,E49/C49)</f>
        <v>0.22266726710945875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6702468</v>
      </c>
      <c r="D50" s="22">
        <v>6870249</v>
      </c>
      <c r="E50" s="22">
        <f t="shared" si="2"/>
        <v>167781</v>
      </c>
      <c r="F50" s="23">
        <f t="shared" si="3"/>
        <v>2.5032719290864203E-2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895803</v>
      </c>
      <c r="D51" s="22">
        <v>1691606</v>
      </c>
      <c r="E51" s="22">
        <f t="shared" si="2"/>
        <v>795803</v>
      </c>
      <c r="F51" s="23">
        <f t="shared" si="3"/>
        <v>0.88836831312241638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11500</v>
      </c>
      <c r="D52" s="22">
        <v>20705</v>
      </c>
      <c r="E52" s="22">
        <f t="shared" si="2"/>
        <v>9205</v>
      </c>
      <c r="F52" s="23">
        <f t="shared" si="3"/>
        <v>0.80043478260869561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935367</v>
      </c>
      <c r="D54" s="22">
        <v>0</v>
      </c>
      <c r="E54" s="22">
        <f t="shared" si="2"/>
        <v>-935367</v>
      </c>
      <c r="F54" s="23">
        <f t="shared" si="3"/>
        <v>-1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3299189</v>
      </c>
      <c r="D55" s="22">
        <v>2686057</v>
      </c>
      <c r="E55" s="22">
        <f t="shared" si="2"/>
        <v>-613132</v>
      </c>
      <c r="F55" s="23">
        <f t="shared" si="3"/>
        <v>-0.18584324814371048</v>
      </c>
    </row>
    <row r="56" spans="1:6" ht="24" customHeight="1" x14ac:dyDescent="0.25">
      <c r="A56" s="24"/>
      <c r="B56" s="25" t="s">
        <v>54</v>
      </c>
      <c r="C56" s="26">
        <f>SUM(C49:C55)</f>
        <v>16194450</v>
      </c>
      <c r="D56" s="26">
        <f>SUM(D49:D55)</f>
        <v>16587370</v>
      </c>
      <c r="E56" s="26">
        <f t="shared" si="2"/>
        <v>392920</v>
      </c>
      <c r="F56" s="27">
        <f t="shared" si="3"/>
        <v>2.4262633186060655E-2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29974311</v>
      </c>
      <c r="D63" s="22">
        <v>16549876</v>
      </c>
      <c r="E63" s="22">
        <f>D63-C63</f>
        <v>-13424435</v>
      </c>
      <c r="F63" s="23">
        <f>IF(C63=0,0,E63/C63)</f>
        <v>-0.44786467318631612</v>
      </c>
    </row>
    <row r="64" spans="1:6" ht="24" customHeight="1" x14ac:dyDescent="0.2">
      <c r="A64" s="20">
        <v>4</v>
      </c>
      <c r="B64" s="21" t="s">
        <v>60</v>
      </c>
      <c r="C64" s="22">
        <v>4785456</v>
      </c>
      <c r="D64" s="22">
        <v>6632746</v>
      </c>
      <c r="E64" s="22">
        <f>D64-C64</f>
        <v>1847290</v>
      </c>
      <c r="F64" s="23">
        <f>IF(C64=0,0,E64/C64)</f>
        <v>0.3860217291727267</v>
      </c>
    </row>
    <row r="65" spans="1:6" ht="24" customHeight="1" x14ac:dyDescent="0.25">
      <c r="A65" s="24"/>
      <c r="B65" s="25" t="s">
        <v>61</v>
      </c>
      <c r="C65" s="26">
        <f>SUM(C61:C64)</f>
        <v>34759767</v>
      </c>
      <c r="D65" s="26">
        <f>SUM(D61:D64)</f>
        <v>23182622</v>
      </c>
      <c r="E65" s="26">
        <f>D65-C65</f>
        <v>-11577145</v>
      </c>
      <c r="F65" s="27">
        <f>IF(C65=0,0,E65/C65)</f>
        <v>-0.33306163991260357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5927259</v>
      </c>
      <c r="D70" s="22">
        <v>7157824</v>
      </c>
      <c r="E70" s="22">
        <f>D70-C70</f>
        <v>1230565</v>
      </c>
      <c r="F70" s="23">
        <f>IF(C70=0,0,E70/C70)</f>
        <v>0.20761114032641395</v>
      </c>
    </row>
    <row r="71" spans="1:6" ht="24" customHeight="1" x14ac:dyDescent="0.2">
      <c r="A71" s="20">
        <v>2</v>
      </c>
      <c r="B71" s="21" t="s">
        <v>65</v>
      </c>
      <c r="C71" s="22">
        <v>669441</v>
      </c>
      <c r="D71" s="22">
        <v>774510</v>
      </c>
      <c r="E71" s="22">
        <f>D71-C71</f>
        <v>105069</v>
      </c>
      <c r="F71" s="23">
        <f>IF(C71=0,0,E71/C71)</f>
        <v>0.15695035111383976</v>
      </c>
    </row>
    <row r="72" spans="1:6" ht="24" customHeight="1" x14ac:dyDescent="0.2">
      <c r="A72" s="20">
        <v>3</v>
      </c>
      <c r="B72" s="21" t="s">
        <v>66</v>
      </c>
      <c r="C72" s="22">
        <v>673763</v>
      </c>
      <c r="D72" s="22">
        <v>673763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7270463</v>
      </c>
      <c r="D73" s="26">
        <f>SUM(D70:D72)</f>
        <v>8606097</v>
      </c>
      <c r="E73" s="26">
        <f>D73-C73</f>
        <v>1335634</v>
      </c>
      <c r="F73" s="27">
        <f>IF(C73=0,0,E73/C73)</f>
        <v>0.18370686983758805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58224680</v>
      </c>
      <c r="D75" s="26">
        <f>D56+D65+D67+D73</f>
        <v>48376089</v>
      </c>
      <c r="E75" s="26">
        <f>D75-C75</f>
        <v>-9848591</v>
      </c>
      <c r="F75" s="27">
        <f>IF(C75=0,0,E75/C75)</f>
        <v>-0.16914804855947685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K33" sqref="K33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84946930</v>
      </c>
      <c r="D11" s="76">
        <v>89130320</v>
      </c>
      <c r="E11" s="76">
        <v>74532323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1505504</v>
      </c>
      <c r="D12" s="185">
        <v>3585478</v>
      </c>
      <c r="E12" s="185">
        <v>2729480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86452434</v>
      </c>
      <c r="D13" s="76">
        <f>+D11+D12</f>
        <v>92715798</v>
      </c>
      <c r="E13" s="76">
        <f>+E11+E12</f>
        <v>77261803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93643054</v>
      </c>
      <c r="D14" s="185">
        <v>98072081</v>
      </c>
      <c r="E14" s="185">
        <v>89832916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-7190620</v>
      </c>
      <c r="D15" s="76">
        <f>+D13-D14</f>
        <v>-5356283</v>
      </c>
      <c r="E15" s="76">
        <f>+E13-E14</f>
        <v>-12571113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111096</v>
      </c>
      <c r="D16" s="185">
        <v>2793652</v>
      </c>
      <c r="E16" s="185">
        <v>1654384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-7079524</v>
      </c>
      <c r="D17" s="76">
        <f>D15+D16</f>
        <v>-2562631</v>
      </c>
      <c r="E17" s="76">
        <f>E15+E16</f>
        <v>-10916729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-8.3067545882197738E-2</v>
      </c>
      <c r="D20" s="189">
        <f>IF(+D27=0,0,+D24/+D27)</f>
        <v>-5.6081183589686674E-2</v>
      </c>
      <c r="E20" s="189">
        <f>IF(+E27=0,0,+E24/+E27)</f>
        <v>-0.15929701469230895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1.2834042234645467E-3</v>
      </c>
      <c r="D21" s="189">
        <f>IF(+D27=0,0,+D26/+D27)</f>
        <v>2.9250006151223779E-2</v>
      </c>
      <c r="E21" s="189">
        <f>IF(+E27=0,0,+E26/+E27)</f>
        <v>2.096381063114466E-2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-8.1784141658733184E-2</v>
      </c>
      <c r="D22" s="189">
        <f>IF(+D27=0,0,+D28/+D27)</f>
        <v>-2.6831177438462896E-2</v>
      </c>
      <c r="E22" s="189">
        <f>IF(+E27=0,0,+E28/+E27)</f>
        <v>-0.13833320406116428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-7190620</v>
      </c>
      <c r="D24" s="76">
        <f>+D15</f>
        <v>-5356283</v>
      </c>
      <c r="E24" s="76">
        <f>+E15</f>
        <v>-12571113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86452434</v>
      </c>
      <c r="D25" s="76">
        <f>+D13</f>
        <v>92715798</v>
      </c>
      <c r="E25" s="76">
        <f>+E13</f>
        <v>77261803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111096</v>
      </c>
      <c r="D26" s="76">
        <f>+D16</f>
        <v>2793652</v>
      </c>
      <c r="E26" s="76">
        <f>+E16</f>
        <v>1654384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86563530</v>
      </c>
      <c r="D27" s="76">
        <f>SUM(D25:D26)</f>
        <v>95509450</v>
      </c>
      <c r="E27" s="76">
        <f>SUM(E25:E26)</f>
        <v>78916187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-7079524</v>
      </c>
      <c r="D28" s="76">
        <f>+D17</f>
        <v>-2562631</v>
      </c>
      <c r="E28" s="76">
        <f>+E17</f>
        <v>-10916729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23731621</v>
      </c>
      <c r="D31" s="76">
        <v>15462135</v>
      </c>
      <c r="E31" s="76">
        <v>16895968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25031545</v>
      </c>
      <c r="D32" s="76">
        <v>16805339</v>
      </c>
      <c r="E32" s="76">
        <v>18344241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-11783159</v>
      </c>
      <c r="D33" s="76">
        <f>+D32-C32</f>
        <v>-8226206</v>
      </c>
      <c r="E33" s="76">
        <f>+E32-D32</f>
        <v>1538902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0.67989999999999995</v>
      </c>
      <c r="D34" s="193">
        <f>IF(C32=0,0,+D33/C32)</f>
        <v>-0.32863357016117062</v>
      </c>
      <c r="E34" s="193">
        <f>IF(D32=0,0,+E33/D32)</f>
        <v>9.157220809410628E-2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1.0735962756217052</v>
      </c>
      <c r="D38" s="338">
        <f>IF(+D40=0,0,+D39/+D40)</f>
        <v>1.0589079330353635</v>
      </c>
      <c r="E38" s="338">
        <f>IF(+E40=0,0,+E39/+E40)</f>
        <v>1.0272020222870053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18572828</v>
      </c>
      <c r="D39" s="341">
        <v>18172170</v>
      </c>
      <c r="E39" s="341">
        <v>18163962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17299639</v>
      </c>
      <c r="D40" s="341">
        <v>17161237</v>
      </c>
      <c r="E40" s="341">
        <v>17682950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10.651210187629292</v>
      </c>
      <c r="D42" s="343">
        <f>IF((D48/365)=0,0,+D45/(D48/365))</f>
        <v>6.9473259239080374</v>
      </c>
      <c r="E42" s="343">
        <f>IF((E48/365)=0,0,+E45/(E48/365))</f>
        <v>14.456896097435409</v>
      </c>
    </row>
    <row r="43" spans="1:14" ht="24" customHeight="1" x14ac:dyDescent="0.2">
      <c r="A43" s="339">
        <v>5</v>
      </c>
      <c r="B43" s="344" t="s">
        <v>16</v>
      </c>
      <c r="C43" s="345">
        <v>2404819</v>
      </c>
      <c r="D43" s="345">
        <v>1579650</v>
      </c>
      <c r="E43" s="345">
        <v>3173042</v>
      </c>
    </row>
    <row r="44" spans="1:14" ht="24" customHeight="1" x14ac:dyDescent="0.2">
      <c r="A44" s="339">
        <v>6</v>
      </c>
      <c r="B44" s="346" t="s">
        <v>17</v>
      </c>
      <c r="C44" s="345">
        <v>225915</v>
      </c>
      <c r="D44" s="345">
        <v>226782</v>
      </c>
      <c r="E44" s="345">
        <v>112243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2630734</v>
      </c>
      <c r="D45" s="341">
        <f>+D43+D44</f>
        <v>1806432</v>
      </c>
      <c r="E45" s="341">
        <f>+E43+E44</f>
        <v>3285285</v>
      </c>
    </row>
    <row r="46" spans="1:14" ht="24" customHeight="1" x14ac:dyDescent="0.2">
      <c r="A46" s="339">
        <v>8</v>
      </c>
      <c r="B46" s="340" t="s">
        <v>334</v>
      </c>
      <c r="C46" s="341">
        <f>+C14</f>
        <v>93643054</v>
      </c>
      <c r="D46" s="341">
        <f>+D14</f>
        <v>98072081</v>
      </c>
      <c r="E46" s="341">
        <f>+E14</f>
        <v>89832916</v>
      </c>
    </row>
    <row r="47" spans="1:14" ht="24" customHeight="1" x14ac:dyDescent="0.2">
      <c r="A47" s="339">
        <v>9</v>
      </c>
      <c r="B47" s="340" t="s">
        <v>356</v>
      </c>
      <c r="C47" s="341">
        <v>3491992</v>
      </c>
      <c r="D47" s="341">
        <v>3165395</v>
      </c>
      <c r="E47" s="341">
        <v>6887793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90151062</v>
      </c>
      <c r="D48" s="341">
        <f>+D46-D47</f>
        <v>94906686</v>
      </c>
      <c r="E48" s="341">
        <f>+E46-E47</f>
        <v>82945123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48.446742101215428</v>
      </c>
      <c r="D50" s="350">
        <f>IF((D55/365)=0,0,+D54/(D55/365))</f>
        <v>48.965391182259864</v>
      </c>
      <c r="E50" s="350">
        <f>IF((E55/365)=0,0,+E54/(E55/365))</f>
        <v>41.551817189436051</v>
      </c>
    </row>
    <row r="51" spans="1:5" ht="24" customHeight="1" x14ac:dyDescent="0.2">
      <c r="A51" s="339">
        <v>12</v>
      </c>
      <c r="B51" s="344" t="s">
        <v>359</v>
      </c>
      <c r="C51" s="351">
        <v>13593372</v>
      </c>
      <c r="D51" s="351">
        <v>13057002</v>
      </c>
      <c r="E51" s="351">
        <v>10371729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2318298</v>
      </c>
      <c r="D53" s="341">
        <v>1100013</v>
      </c>
      <c r="E53" s="341">
        <v>1886925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11275074</v>
      </c>
      <c r="D54" s="352">
        <f>+D51+D52-D53</f>
        <v>11956989</v>
      </c>
      <c r="E54" s="352">
        <f>+E51+E52-E53</f>
        <v>8484804</v>
      </c>
    </row>
    <row r="55" spans="1:5" ht="24" customHeight="1" x14ac:dyDescent="0.2">
      <c r="A55" s="339">
        <v>16</v>
      </c>
      <c r="B55" s="340" t="s">
        <v>75</v>
      </c>
      <c r="C55" s="341">
        <f>+C11</f>
        <v>84946930</v>
      </c>
      <c r="D55" s="341">
        <f>+D11</f>
        <v>89130320</v>
      </c>
      <c r="E55" s="341">
        <f>+E11</f>
        <v>74532323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70.042083752712756</v>
      </c>
      <c r="D57" s="355">
        <f>IF((D61/365)=0,0,+D58/(D61/365))</f>
        <v>66.000107779550959</v>
      </c>
      <c r="E57" s="355">
        <f>IF((E61/365)=0,0,+E58/(E61/365))</f>
        <v>77.813818541205848</v>
      </c>
    </row>
    <row r="58" spans="1:5" ht="24" customHeight="1" x14ac:dyDescent="0.2">
      <c r="A58" s="339">
        <v>18</v>
      </c>
      <c r="B58" s="340" t="s">
        <v>54</v>
      </c>
      <c r="C58" s="353">
        <f>+C40</f>
        <v>17299639</v>
      </c>
      <c r="D58" s="353">
        <f>+D40</f>
        <v>17161237</v>
      </c>
      <c r="E58" s="353">
        <f>+E40</f>
        <v>17682950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93643054</v>
      </c>
      <c r="D59" s="353">
        <f t="shared" si="0"/>
        <v>98072081</v>
      </c>
      <c r="E59" s="353">
        <f t="shared" si="0"/>
        <v>89832916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3491992</v>
      </c>
      <c r="D60" s="356">
        <f t="shared" si="0"/>
        <v>3165395</v>
      </c>
      <c r="E60" s="356">
        <f t="shared" si="0"/>
        <v>6887793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90151062</v>
      </c>
      <c r="D61" s="353">
        <f>+D59-D60</f>
        <v>94906686</v>
      </c>
      <c r="E61" s="353">
        <f>+E59-E60</f>
        <v>82945123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30.477297002286875</v>
      </c>
      <c r="D65" s="357">
        <f>IF(D67=0,0,(D66/D67)*100)</f>
        <v>22.260393586020506</v>
      </c>
      <c r="E65" s="357">
        <f>IF(E67=0,0,(E66/E67)*100)</f>
        <v>24.654702949138972</v>
      </c>
    </row>
    <row r="66" spans="1:5" ht="24" customHeight="1" x14ac:dyDescent="0.2">
      <c r="A66" s="339">
        <v>2</v>
      </c>
      <c r="B66" s="340" t="s">
        <v>67</v>
      </c>
      <c r="C66" s="353">
        <f>+C32</f>
        <v>25031545</v>
      </c>
      <c r="D66" s="353">
        <f>+D32</f>
        <v>16805339</v>
      </c>
      <c r="E66" s="353">
        <f>+E32</f>
        <v>18344241</v>
      </c>
    </row>
    <row r="67" spans="1:5" ht="24" customHeight="1" x14ac:dyDescent="0.2">
      <c r="A67" s="339">
        <v>3</v>
      </c>
      <c r="B67" s="340" t="s">
        <v>43</v>
      </c>
      <c r="C67" s="353">
        <v>82131775</v>
      </c>
      <c r="D67" s="353">
        <v>75494348</v>
      </c>
      <c r="E67" s="353">
        <v>74404632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-14.276777912582963</v>
      </c>
      <c r="D69" s="357">
        <f>IF(D75=0,0,(D72/D75)*100)</f>
        <v>2.5189431407814755</v>
      </c>
      <c r="E69" s="357">
        <f>IF(E75=0,0,(E72/E75)*100)</f>
        <v>-16.567910782048653</v>
      </c>
    </row>
    <row r="70" spans="1:5" ht="24" customHeight="1" x14ac:dyDescent="0.2">
      <c r="A70" s="339">
        <v>5</v>
      </c>
      <c r="B70" s="340" t="s">
        <v>366</v>
      </c>
      <c r="C70" s="353">
        <f>+C28</f>
        <v>-7079524</v>
      </c>
      <c r="D70" s="353">
        <f>+D28</f>
        <v>-2562631</v>
      </c>
      <c r="E70" s="353">
        <f>+E28</f>
        <v>-10916729</v>
      </c>
    </row>
    <row r="71" spans="1:5" ht="24" customHeight="1" x14ac:dyDescent="0.2">
      <c r="A71" s="339">
        <v>6</v>
      </c>
      <c r="B71" s="340" t="s">
        <v>356</v>
      </c>
      <c r="C71" s="356">
        <f>+C47</f>
        <v>3491992</v>
      </c>
      <c r="D71" s="356">
        <f>+D47</f>
        <v>3165395</v>
      </c>
      <c r="E71" s="356">
        <f>+E47</f>
        <v>6887793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-3587532</v>
      </c>
      <c r="D72" s="353">
        <f>+D70+D71</f>
        <v>602764</v>
      </c>
      <c r="E72" s="353">
        <f>+E70+E71</f>
        <v>-4028936</v>
      </c>
    </row>
    <row r="73" spans="1:5" ht="24" customHeight="1" x14ac:dyDescent="0.2">
      <c r="A73" s="339">
        <v>8</v>
      </c>
      <c r="B73" s="340" t="s">
        <v>54</v>
      </c>
      <c r="C73" s="341">
        <f>+C40</f>
        <v>17299639</v>
      </c>
      <c r="D73" s="341">
        <f>+D40</f>
        <v>17161237</v>
      </c>
      <c r="E73" s="341">
        <f>+E40</f>
        <v>17682950</v>
      </c>
    </row>
    <row r="74" spans="1:5" ht="24" customHeight="1" x14ac:dyDescent="0.2">
      <c r="A74" s="339">
        <v>9</v>
      </c>
      <c r="B74" s="340" t="s">
        <v>58</v>
      </c>
      <c r="C74" s="353">
        <v>7828804</v>
      </c>
      <c r="D74" s="353">
        <v>6768005</v>
      </c>
      <c r="E74" s="353">
        <v>6634757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25128443</v>
      </c>
      <c r="D75" s="341">
        <f>+D73+D74</f>
        <v>23929242</v>
      </c>
      <c r="E75" s="341">
        <f>+E73+E74</f>
        <v>24317707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23.824470032256809</v>
      </c>
      <c r="D77" s="359">
        <f>IF(D80=0,0,(D78/D80)*100)</f>
        <v>28.710415459088029</v>
      </c>
      <c r="E77" s="359">
        <f>IF(E80=0,0,(E78/E80)*100)</f>
        <v>26.561341651894928</v>
      </c>
    </row>
    <row r="78" spans="1:5" ht="24" customHeight="1" x14ac:dyDescent="0.2">
      <c r="A78" s="339">
        <v>12</v>
      </c>
      <c r="B78" s="340" t="s">
        <v>58</v>
      </c>
      <c r="C78" s="341">
        <f>+C74</f>
        <v>7828804</v>
      </c>
      <c r="D78" s="341">
        <f>+D74</f>
        <v>6768005</v>
      </c>
      <c r="E78" s="341">
        <f>+E74</f>
        <v>6634757</v>
      </c>
    </row>
    <row r="79" spans="1:5" ht="24" customHeight="1" x14ac:dyDescent="0.2">
      <c r="A79" s="339">
        <v>13</v>
      </c>
      <c r="B79" s="340" t="s">
        <v>67</v>
      </c>
      <c r="C79" s="341">
        <f>+C32</f>
        <v>25031545</v>
      </c>
      <c r="D79" s="341">
        <f>+D32</f>
        <v>16805339</v>
      </c>
      <c r="E79" s="341">
        <f>+E32</f>
        <v>18344241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32860349</v>
      </c>
      <c r="D80" s="341">
        <f>+D78+D79</f>
        <v>23573344</v>
      </c>
      <c r="E80" s="341">
        <f>+E78+E79</f>
        <v>24978998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K33" sqref="K33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11402</v>
      </c>
      <c r="D11" s="376">
        <v>3156</v>
      </c>
      <c r="E11" s="376">
        <v>3153</v>
      </c>
      <c r="F11" s="377">
        <v>32</v>
      </c>
      <c r="G11" s="377">
        <v>78</v>
      </c>
      <c r="H11" s="378">
        <f>IF(F11=0,0,$C11/(F11*365))</f>
        <v>0.97619863013698627</v>
      </c>
      <c r="I11" s="378">
        <f>IF(G11=0,0,$C11/(G11*365))</f>
        <v>0.40049174569722518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1593</v>
      </c>
      <c r="D13" s="376">
        <v>137</v>
      </c>
      <c r="E13" s="376">
        <v>0</v>
      </c>
      <c r="F13" s="377">
        <v>6</v>
      </c>
      <c r="G13" s="377">
        <v>10</v>
      </c>
      <c r="H13" s="378">
        <f>IF(F13=0,0,$C13/(F13*365))</f>
        <v>0.72739726027397256</v>
      </c>
      <c r="I13" s="378">
        <f>IF(G13=0,0,$C13/(G13*365))</f>
        <v>0.43643835616438353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312</v>
      </c>
      <c r="D21" s="376">
        <v>100</v>
      </c>
      <c r="E21" s="376">
        <v>103</v>
      </c>
      <c r="F21" s="377">
        <v>4</v>
      </c>
      <c r="G21" s="377">
        <v>12</v>
      </c>
      <c r="H21" s="378">
        <f>IF(F21=0,0,$C21/(F21*365))</f>
        <v>0.21369863013698631</v>
      </c>
      <c r="I21" s="378">
        <f>IF(G21=0,0,$C21/(G21*365))</f>
        <v>7.1232876712328766E-2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296</v>
      </c>
      <c r="D23" s="376">
        <v>92</v>
      </c>
      <c r="E23" s="376">
        <v>95</v>
      </c>
      <c r="F23" s="377">
        <v>4</v>
      </c>
      <c r="G23" s="377">
        <v>12</v>
      </c>
      <c r="H23" s="378">
        <f>IF(F23=0,0,$C23/(F23*365))</f>
        <v>0.20273972602739726</v>
      </c>
      <c r="I23" s="378">
        <f>IF(G23=0,0,$C23/(G23*365))</f>
        <v>6.7579908675799091E-2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6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13307</v>
      </c>
      <c r="D31" s="384">
        <f>SUM(D10:D29)-D13-D17-D23</f>
        <v>3256</v>
      </c>
      <c r="E31" s="384">
        <f>SUM(E10:E29)-E17-E23</f>
        <v>3256</v>
      </c>
      <c r="F31" s="384">
        <f>SUM(F10:F29)-F17-F23</f>
        <v>42</v>
      </c>
      <c r="G31" s="384">
        <f>SUM(G10:G29)-G17-G23</f>
        <v>106</v>
      </c>
      <c r="H31" s="385">
        <f>IF(F31=0,0,$C31/(F31*365))</f>
        <v>0.86803652968036527</v>
      </c>
      <c r="I31" s="385">
        <f>IF(G31=0,0,$C31/(G31*365))</f>
        <v>0.34393900232618246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13603</v>
      </c>
      <c r="D33" s="384">
        <f>SUM(D10:D29)-D13-D17</f>
        <v>3348</v>
      </c>
      <c r="E33" s="384">
        <f>SUM(E10:E29)-E17</f>
        <v>3351</v>
      </c>
      <c r="F33" s="384">
        <f>SUM(F10:F29)-F17</f>
        <v>46</v>
      </c>
      <c r="G33" s="384">
        <f>SUM(G10:G29)-G17</f>
        <v>118</v>
      </c>
      <c r="H33" s="385">
        <f>IF(F33=0,0,$C33/(F33*365))</f>
        <v>0.81018463371054195</v>
      </c>
      <c r="I33" s="385">
        <f>IF(G33=0,0,$C33/(G33*365))</f>
        <v>0.31583468771766893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13603</v>
      </c>
      <c r="D36" s="384">
        <f t="shared" si="1"/>
        <v>3348</v>
      </c>
      <c r="E36" s="384">
        <f t="shared" si="1"/>
        <v>3351</v>
      </c>
      <c r="F36" s="384">
        <f t="shared" si="1"/>
        <v>46</v>
      </c>
      <c r="G36" s="384">
        <f t="shared" si="1"/>
        <v>118</v>
      </c>
      <c r="H36" s="387">
        <f t="shared" si="1"/>
        <v>0.81018463371054195</v>
      </c>
      <c r="I36" s="387">
        <f t="shared" si="1"/>
        <v>0.31583468771766893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14756</v>
      </c>
      <c r="D37" s="384">
        <v>3580</v>
      </c>
      <c r="E37" s="384">
        <v>3578</v>
      </c>
      <c r="F37" s="386">
        <v>47</v>
      </c>
      <c r="G37" s="386">
        <v>118</v>
      </c>
      <c r="H37" s="385">
        <f>IF(F37=0,0,$C37/(F37*365))</f>
        <v>0.8601573885164675</v>
      </c>
      <c r="I37" s="385">
        <f>IF(G37=0,0,$C37/(G37*365))</f>
        <v>0.34260506152774556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-1153</v>
      </c>
      <c r="D38" s="384">
        <f t="shared" si="2"/>
        <v>-232</v>
      </c>
      <c r="E38" s="384">
        <f t="shared" si="2"/>
        <v>-227</v>
      </c>
      <c r="F38" s="384">
        <f t="shared" si="2"/>
        <v>-1</v>
      </c>
      <c r="G38" s="384">
        <f t="shared" si="2"/>
        <v>0</v>
      </c>
      <c r="H38" s="387">
        <f t="shared" si="2"/>
        <v>-4.9972754805925557E-2</v>
      </c>
      <c r="I38" s="387">
        <f t="shared" si="2"/>
        <v>-2.6770373810076631E-2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-7.8137706695581455E-2</v>
      </c>
      <c r="D40" s="389">
        <f t="shared" si="3"/>
        <v>-6.4804469273743018E-2</v>
      </c>
      <c r="E40" s="389">
        <f t="shared" si="3"/>
        <v>-6.3443264393515927E-2</v>
      </c>
      <c r="F40" s="389">
        <f t="shared" si="3"/>
        <v>-2.1276595744680851E-2</v>
      </c>
      <c r="G40" s="389">
        <f t="shared" si="3"/>
        <v>0</v>
      </c>
      <c r="H40" s="389">
        <f t="shared" si="3"/>
        <v>-5.8097222058528936E-2</v>
      </c>
      <c r="I40" s="389">
        <f t="shared" si="3"/>
        <v>-7.8137706695581483E-2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K33" sqref="K3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628</v>
      </c>
      <c r="D12" s="409">
        <v>611</v>
      </c>
      <c r="E12" s="409">
        <f>+D12-C12</f>
        <v>-17</v>
      </c>
      <c r="F12" s="410">
        <f>IF(C12=0,0,+E12/C12)</f>
        <v>-2.7070063694267517E-2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1622</v>
      </c>
      <c r="D13" s="409">
        <v>1498</v>
      </c>
      <c r="E13" s="409">
        <f>+D13-C13</f>
        <v>-124</v>
      </c>
      <c r="F13" s="410">
        <f>IF(C13=0,0,+E13/C13)</f>
        <v>-7.6448828606658442E-2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5887</v>
      </c>
      <c r="D14" s="409">
        <v>6160</v>
      </c>
      <c r="E14" s="409">
        <f>+D14-C14</f>
        <v>273</v>
      </c>
      <c r="F14" s="410">
        <f>IF(C14=0,0,+E14/C14)</f>
        <v>4.6373365041617119E-2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8137</v>
      </c>
      <c r="D16" s="401">
        <f>SUM(D12:D15)</f>
        <v>8269</v>
      </c>
      <c r="E16" s="401">
        <f>+D16-C16</f>
        <v>132</v>
      </c>
      <c r="F16" s="402">
        <f>IF(C16=0,0,+E16/C16)</f>
        <v>1.6222194912129777E-2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258</v>
      </c>
      <c r="D19" s="409">
        <v>192</v>
      </c>
      <c r="E19" s="409">
        <f>+D19-C19</f>
        <v>-66</v>
      </c>
      <c r="F19" s="410">
        <f>IF(C19=0,0,+E19/C19)</f>
        <v>-0.2558139534883721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1794</v>
      </c>
      <c r="D20" s="409">
        <v>1717</v>
      </c>
      <c r="E20" s="409">
        <f>+D20-C20</f>
        <v>-77</v>
      </c>
      <c r="F20" s="410">
        <f>IF(C20=0,0,+E20/C20)</f>
        <v>-4.2920847268673352E-2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75</v>
      </c>
      <c r="D21" s="409">
        <v>105</v>
      </c>
      <c r="E21" s="409">
        <f>+D21-C21</f>
        <v>30</v>
      </c>
      <c r="F21" s="410">
        <f>IF(C21=0,0,+E21/C21)</f>
        <v>0.4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2127</v>
      </c>
      <c r="D23" s="401">
        <f>SUM(D19:D22)</f>
        <v>2014</v>
      </c>
      <c r="E23" s="401">
        <f>+D23-C23</f>
        <v>-113</v>
      </c>
      <c r="F23" s="402">
        <f>IF(C23=0,0,+E23/C23)</f>
        <v>-5.3126469205453691E-2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68</v>
      </c>
      <c r="D27" s="409">
        <v>57</v>
      </c>
      <c r="E27" s="409">
        <f>+D27-C27</f>
        <v>-11</v>
      </c>
      <c r="F27" s="410">
        <f>IF(C27=0,0,+E27/C27)</f>
        <v>-0.16176470588235295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68</v>
      </c>
      <c r="D30" s="401">
        <f>SUM(D26:D29)</f>
        <v>57</v>
      </c>
      <c r="E30" s="401">
        <f>+D30-C30</f>
        <v>-11</v>
      </c>
      <c r="F30" s="402">
        <f>IF(C30=0,0,+E30/C30)</f>
        <v>-0.16176470588235295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1091</v>
      </c>
      <c r="D63" s="409">
        <v>1081</v>
      </c>
      <c r="E63" s="409">
        <f>+D63-C63</f>
        <v>-10</v>
      </c>
      <c r="F63" s="410">
        <f>IF(C63=0,0,+E63/C63)</f>
        <v>-9.1659028414298807E-3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1936</v>
      </c>
      <c r="D64" s="409">
        <v>1836</v>
      </c>
      <c r="E64" s="409">
        <f>+D64-C64</f>
        <v>-100</v>
      </c>
      <c r="F64" s="410">
        <f>IF(C64=0,0,+E64/C64)</f>
        <v>-5.1652892561983473E-2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3027</v>
      </c>
      <c r="D65" s="401">
        <f>SUM(D63:D64)</f>
        <v>2917</v>
      </c>
      <c r="E65" s="401">
        <f>+D65-C65</f>
        <v>-110</v>
      </c>
      <c r="F65" s="402">
        <f>IF(C65=0,0,+E65/C65)</f>
        <v>-3.6339610175090846E-2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245</v>
      </c>
      <c r="D68" s="409">
        <v>236</v>
      </c>
      <c r="E68" s="409">
        <f>+D68-C68</f>
        <v>-9</v>
      </c>
      <c r="F68" s="410">
        <f>IF(C68=0,0,+E68/C68)</f>
        <v>-3.6734693877551024E-2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2363</v>
      </c>
      <c r="D69" s="409">
        <v>1659</v>
      </c>
      <c r="E69" s="409">
        <f>+D69-C69</f>
        <v>-704</v>
      </c>
      <c r="F69" s="412">
        <f>IF(C69=0,0,+E69/C69)</f>
        <v>-0.29792636479052054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2608</v>
      </c>
      <c r="D70" s="401">
        <f>SUM(D68:D69)</f>
        <v>1895</v>
      </c>
      <c r="E70" s="401">
        <f>+D70-C70</f>
        <v>-713</v>
      </c>
      <c r="F70" s="402">
        <f>IF(C70=0,0,+E70/C70)</f>
        <v>-0.27338957055214724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3025</v>
      </c>
      <c r="D73" s="376">
        <v>3065</v>
      </c>
      <c r="E73" s="409">
        <f>+D73-C73</f>
        <v>40</v>
      </c>
      <c r="F73" s="410">
        <f>IF(C73=0,0,+E73/C73)</f>
        <v>1.3223140495867768E-2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33427</v>
      </c>
      <c r="D74" s="376">
        <v>32175</v>
      </c>
      <c r="E74" s="409">
        <f>+D74-C74</f>
        <v>-1252</v>
      </c>
      <c r="F74" s="410">
        <f>IF(C74=0,0,+E74/C74)</f>
        <v>-3.7454752146468422E-2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36452</v>
      </c>
      <c r="D75" s="401">
        <f>SUM(D73:D74)</f>
        <v>35240</v>
      </c>
      <c r="E75" s="401">
        <f>SUM(E73:E74)</f>
        <v>-1212</v>
      </c>
      <c r="F75" s="402">
        <f>IF(C75=0,0,+E75/C75)</f>
        <v>-3.3249204433227257E-2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23926</v>
      </c>
      <c r="D99" s="414">
        <v>21955</v>
      </c>
      <c r="E99" s="409">
        <f t="shared" si="2"/>
        <v>-1971</v>
      </c>
      <c r="F99" s="410">
        <f t="shared" si="3"/>
        <v>-8.2379001922594661E-2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23926</v>
      </c>
      <c r="D100" s="381">
        <f>SUM(D95:D99)</f>
        <v>21955</v>
      </c>
      <c r="E100" s="401">
        <f t="shared" si="2"/>
        <v>-1971</v>
      </c>
      <c r="F100" s="402">
        <f t="shared" si="3"/>
        <v>-8.2379001922594661E-2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195</v>
      </c>
      <c r="D104" s="416">
        <v>170.7</v>
      </c>
      <c r="E104" s="417">
        <f>+D104-C104</f>
        <v>-24.300000000000011</v>
      </c>
      <c r="F104" s="410">
        <f>IF(C104=0,0,+E104/C104)</f>
        <v>-0.12461538461538467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18</v>
      </c>
      <c r="D105" s="416">
        <v>20.6</v>
      </c>
      <c r="E105" s="417">
        <f>+D105-C105</f>
        <v>2.6000000000000014</v>
      </c>
      <c r="F105" s="410">
        <f>IF(C105=0,0,+E105/C105)</f>
        <v>0.14444444444444451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294</v>
      </c>
      <c r="D106" s="416">
        <v>307.3</v>
      </c>
      <c r="E106" s="417">
        <f>+D106-C106</f>
        <v>13.300000000000011</v>
      </c>
      <c r="F106" s="410">
        <f>IF(C106=0,0,+E106/C106)</f>
        <v>4.5238095238095279E-2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507</v>
      </c>
      <c r="D107" s="418">
        <f>SUM(D104:D106)</f>
        <v>498.6</v>
      </c>
      <c r="E107" s="418">
        <f>+D107-C107</f>
        <v>-8.3999999999999773</v>
      </c>
      <c r="F107" s="402">
        <f>IF(C107=0,0,+E107/C107)</f>
        <v>-1.6568047337278062E-2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K33" sqref="K33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1936</v>
      </c>
      <c r="D12" s="409">
        <v>1836</v>
      </c>
      <c r="E12" s="409">
        <f>+D12-C12</f>
        <v>-100</v>
      </c>
      <c r="F12" s="410">
        <f>IF(C12=0,0,+E12/C12)</f>
        <v>-5.1652892561983473E-2</v>
      </c>
    </row>
    <row r="13" spans="1:6" ht="15.75" customHeight="1" x14ac:dyDescent="0.25">
      <c r="A13" s="374"/>
      <c r="B13" s="399" t="s">
        <v>622</v>
      </c>
      <c r="C13" s="401">
        <f>SUM(C11:C12)</f>
        <v>1936</v>
      </c>
      <c r="D13" s="401">
        <f>SUM(D11:D12)</f>
        <v>1836</v>
      </c>
      <c r="E13" s="401">
        <f>+D13-C13</f>
        <v>-100</v>
      </c>
      <c r="F13" s="402">
        <f>IF(C13=0,0,+E13/C13)</f>
        <v>-5.1652892561983473E-2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2363</v>
      </c>
      <c r="D16" s="409">
        <v>1659</v>
      </c>
      <c r="E16" s="409">
        <f>+D16-C16</f>
        <v>-704</v>
      </c>
      <c r="F16" s="410">
        <f>IF(C16=0,0,+E16/C16)</f>
        <v>-0.29792636479052054</v>
      </c>
    </row>
    <row r="17" spans="1:6" ht="15.75" customHeight="1" x14ac:dyDescent="0.25">
      <c r="A17" s="374"/>
      <c r="B17" s="399" t="s">
        <v>623</v>
      </c>
      <c r="C17" s="401">
        <f>SUM(C15:C16)</f>
        <v>2363</v>
      </c>
      <c r="D17" s="401">
        <f>SUM(D15:D16)</f>
        <v>1659</v>
      </c>
      <c r="E17" s="401">
        <f>+D17-C17</f>
        <v>-704</v>
      </c>
      <c r="F17" s="402">
        <f>IF(C17=0,0,+E17/C17)</f>
        <v>-0.29792636479052054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12783</v>
      </c>
      <c r="D20" s="409">
        <v>12199</v>
      </c>
      <c r="E20" s="409">
        <f>+D20-C20</f>
        <v>-584</v>
      </c>
      <c r="F20" s="410">
        <f>IF(C20=0,0,+E20/C20)</f>
        <v>-4.5685676288821093E-2</v>
      </c>
    </row>
    <row r="21" spans="1:6" ht="15.75" customHeight="1" x14ac:dyDescent="0.2">
      <c r="A21" s="374">
        <v>2</v>
      </c>
      <c r="B21" s="408" t="s">
        <v>621</v>
      </c>
      <c r="C21" s="409">
        <v>20644</v>
      </c>
      <c r="D21" s="409">
        <v>19976</v>
      </c>
      <c r="E21" s="409">
        <f>+D21-C21</f>
        <v>-668</v>
      </c>
      <c r="F21" s="410">
        <f>IF(C21=0,0,+E21/C21)</f>
        <v>-3.2358070141445455E-2</v>
      </c>
    </row>
    <row r="22" spans="1:6" ht="15.75" customHeight="1" x14ac:dyDescent="0.25">
      <c r="A22" s="374"/>
      <c r="B22" s="399" t="s">
        <v>626</v>
      </c>
      <c r="C22" s="401">
        <f>SUM(C19:C21)</f>
        <v>33427</v>
      </c>
      <c r="D22" s="401">
        <f>SUM(D19:D21)</f>
        <v>32175</v>
      </c>
      <c r="E22" s="401">
        <f>+D22-C22</f>
        <v>-1252</v>
      </c>
      <c r="F22" s="402">
        <f>IF(C22=0,0,+E22/C22)</f>
        <v>-3.7454752146468422E-2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K33" sqref="K33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61030757</v>
      </c>
      <c r="D15" s="448">
        <v>64511512</v>
      </c>
      <c r="E15" s="448">
        <f t="shared" ref="E15:E24" si="0">D15-C15</f>
        <v>3480755</v>
      </c>
      <c r="F15" s="449">
        <f t="shared" ref="F15:F24" si="1">IF(C15=0,0,E15/C15)</f>
        <v>5.7032800690969637E-2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21772310</v>
      </c>
      <c r="D16" s="448">
        <v>20627247</v>
      </c>
      <c r="E16" s="448">
        <f t="shared" si="0"/>
        <v>-1145063</v>
      </c>
      <c r="F16" s="449">
        <f t="shared" si="1"/>
        <v>-5.2592627975625923E-2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0.35674324013382303</v>
      </c>
      <c r="D17" s="453">
        <f>IF(LN_IA1=0,0,LN_IA2/LN_IA1)</f>
        <v>0.31974521074626183</v>
      </c>
      <c r="E17" s="454">
        <f t="shared" si="0"/>
        <v>-3.6998029387561193E-2</v>
      </c>
      <c r="F17" s="449">
        <f t="shared" si="1"/>
        <v>-0.10371052685870751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1986</v>
      </c>
      <c r="D18" s="456">
        <v>2011</v>
      </c>
      <c r="E18" s="456">
        <f t="shared" si="0"/>
        <v>25</v>
      </c>
      <c r="F18" s="449">
        <f t="shared" si="1"/>
        <v>1.2588116817724069E-2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1.4881899999999999</v>
      </c>
      <c r="D19" s="459">
        <v>1.4765999999999999</v>
      </c>
      <c r="E19" s="460">
        <f t="shared" si="0"/>
        <v>-1.1589999999999989E-2</v>
      </c>
      <c r="F19" s="449">
        <f t="shared" si="1"/>
        <v>-7.7879840611749778E-3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2955.5453399999997</v>
      </c>
      <c r="D20" s="463">
        <f>LN_IA4*LN_IA5</f>
        <v>2969.4425999999999</v>
      </c>
      <c r="E20" s="463">
        <f t="shared" si="0"/>
        <v>13.897260000000188</v>
      </c>
      <c r="F20" s="449">
        <f t="shared" si="1"/>
        <v>4.7020967034125047E-3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7366.5965144693073</v>
      </c>
      <c r="D21" s="465">
        <f>IF(LN_IA6=0,0,LN_IA2/LN_IA6)</f>
        <v>6946.5047076511937</v>
      </c>
      <c r="E21" s="465">
        <f t="shared" si="0"/>
        <v>-420.09180681811358</v>
      </c>
      <c r="F21" s="449">
        <f t="shared" si="1"/>
        <v>-5.7026580184346795E-2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9198</v>
      </c>
      <c r="D22" s="456">
        <v>9202</v>
      </c>
      <c r="E22" s="456">
        <f t="shared" si="0"/>
        <v>4</v>
      </c>
      <c r="F22" s="449">
        <f t="shared" si="1"/>
        <v>4.3487714720591431E-4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2367.0700152207</v>
      </c>
      <c r="D23" s="465">
        <f>IF(LN_IA8=0,0,LN_IA2/LN_IA8)</f>
        <v>2241.6047598348187</v>
      </c>
      <c r="E23" s="465">
        <f t="shared" si="0"/>
        <v>-125.46525538588139</v>
      </c>
      <c r="F23" s="449">
        <f t="shared" si="1"/>
        <v>-5.3004454696783991E-2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4.6314199395770395</v>
      </c>
      <c r="D24" s="466">
        <f>IF(LN_IA4=0,0,LN_IA8/LN_IA4)</f>
        <v>4.5758329189457978</v>
      </c>
      <c r="E24" s="466">
        <f t="shared" si="0"/>
        <v>-5.5587020631241657E-2</v>
      </c>
      <c r="F24" s="449">
        <f t="shared" si="1"/>
        <v>-1.2002155139557069E-2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29160897</v>
      </c>
      <c r="D27" s="448">
        <v>31444255</v>
      </c>
      <c r="E27" s="448">
        <f t="shared" ref="E27:E32" si="2">D27-C27</f>
        <v>2283358</v>
      </c>
      <c r="F27" s="449">
        <f t="shared" ref="F27:F32" si="3">IF(C27=0,0,E27/C27)</f>
        <v>7.8302049487709524E-2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7860506</v>
      </c>
      <c r="D28" s="448">
        <v>7503025</v>
      </c>
      <c r="E28" s="448">
        <f t="shared" si="2"/>
        <v>-357481</v>
      </c>
      <c r="F28" s="449">
        <f t="shared" si="3"/>
        <v>-4.5478115530984901E-2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0.2695563857312071</v>
      </c>
      <c r="D29" s="453">
        <f>IF(LN_IA11=0,0,LN_IA12/LN_IA11)</f>
        <v>0.23861354005684027</v>
      </c>
      <c r="E29" s="454">
        <f t="shared" si="2"/>
        <v>-3.0942845674366837E-2</v>
      </c>
      <c r="F29" s="449">
        <f t="shared" si="3"/>
        <v>-0.11479173676568746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0.4778065754616152</v>
      </c>
      <c r="D30" s="453">
        <f>IF(LN_IA1=0,0,LN_IA11/LN_IA1)</f>
        <v>0.48742083428458477</v>
      </c>
      <c r="E30" s="454">
        <f t="shared" si="2"/>
        <v>9.614258822969568E-3</v>
      </c>
      <c r="F30" s="449">
        <f t="shared" si="3"/>
        <v>2.0121654486820545E-2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948.92385886676777</v>
      </c>
      <c r="D31" s="463">
        <f>LN_IA14*LN_IA4</f>
        <v>980.2032977463</v>
      </c>
      <c r="E31" s="463">
        <f t="shared" si="2"/>
        <v>31.279438879532222</v>
      </c>
      <c r="F31" s="449">
        <f t="shared" si="3"/>
        <v>3.2963065041790633E-2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8283.6003400602058</v>
      </c>
      <c r="D32" s="465">
        <f>IF(LN_IA15=0,0,LN_IA12/LN_IA15)</f>
        <v>7654.5600461160275</v>
      </c>
      <c r="E32" s="465">
        <f t="shared" si="2"/>
        <v>-629.0402939441783</v>
      </c>
      <c r="F32" s="449">
        <f t="shared" si="3"/>
        <v>-7.5938030339547546E-2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90191654</v>
      </c>
      <c r="D35" s="448">
        <f>LN_IA1+LN_IA11</f>
        <v>95955767</v>
      </c>
      <c r="E35" s="448">
        <f>D35-C35</f>
        <v>5764113</v>
      </c>
      <c r="F35" s="449">
        <f>IF(C35=0,0,E35/C35)</f>
        <v>6.3909605205820924E-2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29632816</v>
      </c>
      <c r="D36" s="448">
        <f>LN_IA2+LN_IA12</f>
        <v>28130272</v>
      </c>
      <c r="E36" s="448">
        <f>D36-C36</f>
        <v>-1502544</v>
      </c>
      <c r="F36" s="449">
        <f>IF(C36=0,0,E36/C36)</f>
        <v>-5.0705407140516107E-2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60558838</v>
      </c>
      <c r="D37" s="448">
        <f>LN_IA17-LN_IA18</f>
        <v>67825495</v>
      </c>
      <c r="E37" s="448">
        <f>D37-C37</f>
        <v>7266657</v>
      </c>
      <c r="F37" s="449">
        <f>IF(C37=0,0,E37/C37)</f>
        <v>0.11999333606764384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30011039</v>
      </c>
      <c r="D42" s="448">
        <v>28238434</v>
      </c>
      <c r="E42" s="448">
        <f t="shared" ref="E42:E53" si="4">D42-C42</f>
        <v>-1772605</v>
      </c>
      <c r="F42" s="449">
        <f t="shared" ref="F42:F53" si="5">IF(C42=0,0,E42/C42)</f>
        <v>-5.9065099345610793E-2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12471918</v>
      </c>
      <c r="D43" s="448">
        <v>12445409</v>
      </c>
      <c r="E43" s="448">
        <f t="shared" si="4"/>
        <v>-26509</v>
      </c>
      <c r="F43" s="449">
        <f t="shared" si="5"/>
        <v>-2.1254950521643902E-3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0.41557768126588351</v>
      </c>
      <c r="D44" s="453">
        <f>IF(LN_IB1=0,0,LN_IB2/LN_IB1)</f>
        <v>0.44072589152783753</v>
      </c>
      <c r="E44" s="454">
        <f t="shared" si="4"/>
        <v>2.5148210261954018E-2</v>
      </c>
      <c r="F44" s="449">
        <f t="shared" si="5"/>
        <v>6.0513861536910546E-2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1240</v>
      </c>
      <c r="D45" s="456">
        <v>1068</v>
      </c>
      <c r="E45" s="456">
        <f t="shared" si="4"/>
        <v>-172</v>
      </c>
      <c r="F45" s="449">
        <f t="shared" si="5"/>
        <v>-0.13870967741935483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1.3326</v>
      </c>
      <c r="D46" s="459">
        <v>1.3443000000000001</v>
      </c>
      <c r="E46" s="460">
        <f t="shared" si="4"/>
        <v>1.1700000000000044E-2</v>
      </c>
      <c r="F46" s="449">
        <f t="shared" si="5"/>
        <v>8.7798289058982765E-3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1652.424</v>
      </c>
      <c r="D47" s="463">
        <f>LN_IB4*LN_IB5</f>
        <v>1435.7124000000001</v>
      </c>
      <c r="E47" s="463">
        <f t="shared" si="4"/>
        <v>-216.71159999999986</v>
      </c>
      <c r="F47" s="449">
        <f t="shared" si="5"/>
        <v>-0.13114769574879079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7547.6499978213824</v>
      </c>
      <c r="D48" s="465">
        <f>IF(LN_IB6=0,0,LN_IB2/LN_IB6)</f>
        <v>8668.4554650360333</v>
      </c>
      <c r="E48" s="465">
        <f t="shared" si="4"/>
        <v>1120.8054672146509</v>
      </c>
      <c r="F48" s="449">
        <f t="shared" si="5"/>
        <v>0.14849727630960227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-181.05348335207509</v>
      </c>
      <c r="D49" s="465">
        <f>LN_IA7-LN_IB7</f>
        <v>-1721.9507573848396</v>
      </c>
      <c r="E49" s="465">
        <f t="shared" si="4"/>
        <v>-1540.8972740327645</v>
      </c>
      <c r="F49" s="449">
        <f t="shared" si="5"/>
        <v>8.5107297882601269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-299177.1211745693</v>
      </c>
      <c r="D50" s="479">
        <f>LN_IB8*LN_IB6</f>
        <v>-2472226.0545668057</v>
      </c>
      <c r="E50" s="479">
        <f t="shared" si="4"/>
        <v>-2173048.9333922365</v>
      </c>
      <c r="F50" s="449">
        <f t="shared" si="5"/>
        <v>7.2634194916404269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4297</v>
      </c>
      <c r="D51" s="456">
        <v>3457</v>
      </c>
      <c r="E51" s="456">
        <f t="shared" si="4"/>
        <v>-840</v>
      </c>
      <c r="F51" s="449">
        <f t="shared" si="5"/>
        <v>-0.19548522224808004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2902.4710262974168</v>
      </c>
      <c r="D52" s="465">
        <f>IF(LN_IB10=0,0,LN_IB2/LN_IB10)</f>
        <v>3600.0604570436794</v>
      </c>
      <c r="E52" s="465">
        <f t="shared" si="4"/>
        <v>697.58943074626268</v>
      </c>
      <c r="F52" s="449">
        <f t="shared" si="5"/>
        <v>0.24034328833116853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3.4653225806451613</v>
      </c>
      <c r="D53" s="466">
        <f>IF(LN_IB4=0,0,LN_IB10/LN_IB4)</f>
        <v>3.2368913857677901</v>
      </c>
      <c r="E53" s="466">
        <f t="shared" si="4"/>
        <v>-0.22843119487737118</v>
      </c>
      <c r="F53" s="449">
        <f t="shared" si="5"/>
        <v>-6.5919171898519965E-2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49192603</v>
      </c>
      <c r="D56" s="448">
        <v>50175134</v>
      </c>
      <c r="E56" s="448">
        <f t="shared" ref="E56:E63" si="6">D56-C56</f>
        <v>982531</v>
      </c>
      <c r="F56" s="449">
        <f t="shared" ref="F56:F63" si="7">IF(C56=0,0,E56/C56)</f>
        <v>1.9973145149485179E-2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23031817</v>
      </c>
      <c r="D57" s="448">
        <v>21653767</v>
      </c>
      <c r="E57" s="448">
        <f t="shared" si="6"/>
        <v>-1378050</v>
      </c>
      <c r="F57" s="449">
        <f t="shared" si="7"/>
        <v>-5.9832448304013533E-2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0.4681967530768803</v>
      </c>
      <c r="D58" s="453">
        <f>IF(LN_IB13=0,0,LN_IB14/LN_IB13)</f>
        <v>0.43156371042277636</v>
      </c>
      <c r="E58" s="454">
        <f t="shared" si="6"/>
        <v>-3.6633042654103942E-2</v>
      </c>
      <c r="F58" s="449">
        <f t="shared" si="7"/>
        <v>-7.8242837895308101E-2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1.63915028066839</v>
      </c>
      <c r="D59" s="453">
        <f>IF(LN_IB1=0,0,LN_IB13/LN_IB1)</f>
        <v>1.7768384039993153</v>
      </c>
      <c r="E59" s="454">
        <f t="shared" si="6"/>
        <v>0.13768812333092528</v>
      </c>
      <c r="F59" s="449">
        <f t="shared" si="7"/>
        <v>8.399969481430386E-2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2032.5463480288035</v>
      </c>
      <c r="D60" s="463">
        <f>LN_IB16*LN_IB4</f>
        <v>1897.6634154712688</v>
      </c>
      <c r="E60" s="463">
        <f t="shared" si="6"/>
        <v>-134.88293255753479</v>
      </c>
      <c r="F60" s="449">
        <f t="shared" si="7"/>
        <v>-6.6361553176067276E-2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11331.508884083569</v>
      </c>
      <c r="D61" s="465">
        <f>IF(LN_IB17=0,0,LN_IB14/LN_IB17)</f>
        <v>11410.752203715994</v>
      </c>
      <c r="E61" s="465">
        <f t="shared" si="6"/>
        <v>79.243319632425482</v>
      </c>
      <c r="F61" s="449">
        <f t="shared" si="7"/>
        <v>6.9931833829942986E-3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-3047.908544023363</v>
      </c>
      <c r="D62" s="465">
        <f>LN_IA16-LN_IB18</f>
        <v>-3756.1921575999668</v>
      </c>
      <c r="E62" s="465">
        <f t="shared" si="6"/>
        <v>-708.28361357660378</v>
      </c>
      <c r="F62" s="449">
        <f t="shared" si="7"/>
        <v>0.23238348636328854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-6195015.3802804742</v>
      </c>
      <c r="D63" s="448">
        <f>LN_IB19*LN_IB17</f>
        <v>-7127988.4389575468</v>
      </c>
      <c r="E63" s="448">
        <f t="shared" si="6"/>
        <v>-932973.05867707264</v>
      </c>
      <c r="F63" s="449">
        <f t="shared" si="7"/>
        <v>0.15060060409968393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79203642</v>
      </c>
      <c r="D66" s="448">
        <f>LN_IB1+LN_IB13</f>
        <v>78413568</v>
      </c>
      <c r="E66" s="448">
        <f>D66-C66</f>
        <v>-790074</v>
      </c>
      <c r="F66" s="449">
        <f>IF(C66=0,0,E66/C66)</f>
        <v>-9.9752231090585453E-3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35503735</v>
      </c>
      <c r="D67" s="448">
        <f>LN_IB2+LN_IB14</f>
        <v>34099176</v>
      </c>
      <c r="E67" s="448">
        <f>D67-C67</f>
        <v>-1404559</v>
      </c>
      <c r="F67" s="449">
        <f>IF(C67=0,0,E67/C67)</f>
        <v>-3.9560880003188394E-2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43699907</v>
      </c>
      <c r="D68" s="448">
        <f>LN_IB21-LN_IB22</f>
        <v>44314392</v>
      </c>
      <c r="E68" s="448">
        <f>D68-C68</f>
        <v>614485</v>
      </c>
      <c r="F68" s="449">
        <f>IF(C68=0,0,E68/C68)</f>
        <v>1.4061471572468107E-2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-6494192.5014550434</v>
      </c>
      <c r="D70" s="441">
        <f>LN_IB9+LN_IB20</f>
        <v>-9600214.4935243521</v>
      </c>
      <c r="E70" s="448">
        <f>D70-C70</f>
        <v>-3106021.9920693086</v>
      </c>
      <c r="F70" s="449">
        <f>IF(C70=0,0,E70/C70)</f>
        <v>0.47827685911272189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69988341</v>
      </c>
      <c r="D73" s="488">
        <v>68766683</v>
      </c>
      <c r="E73" s="488">
        <f>D73-C73</f>
        <v>-1221658</v>
      </c>
      <c r="F73" s="489">
        <f>IF(C73=0,0,E73/C73)</f>
        <v>-1.74551644251719E-2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35620019</v>
      </c>
      <c r="D74" s="488">
        <v>25786529</v>
      </c>
      <c r="E74" s="488">
        <f>D74-C74</f>
        <v>-9833490</v>
      </c>
      <c r="F74" s="489">
        <f>IF(C74=0,0,E74/C74)</f>
        <v>-0.27606638839805225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34368322</v>
      </c>
      <c r="D76" s="441">
        <f>LN_IB32-LN_IB33</f>
        <v>42980154</v>
      </c>
      <c r="E76" s="488">
        <f>D76-C76</f>
        <v>8611832</v>
      </c>
      <c r="F76" s="489">
        <f>IF(E76=0,0,E76/C76)</f>
        <v>0.25057470073749893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0.49105781775853208</v>
      </c>
      <c r="D77" s="453">
        <f>IF(LN_IB32=0,0,LN_IB34/LN_IB32)</f>
        <v>0.62501420927922324</v>
      </c>
      <c r="E77" s="493">
        <f>D77-C77</f>
        <v>0.13395639152069116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1735686</v>
      </c>
      <c r="D83" s="448">
        <v>1363537</v>
      </c>
      <c r="E83" s="448">
        <f t="shared" ref="E83:E95" si="8">D83-C83</f>
        <v>-372149</v>
      </c>
      <c r="F83" s="449">
        <f t="shared" ref="F83:F95" si="9">IF(C83=0,0,E83/C83)</f>
        <v>-0.21441032536991136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77021</v>
      </c>
      <c r="D84" s="448">
        <v>14362</v>
      </c>
      <c r="E84" s="448">
        <f t="shared" si="8"/>
        <v>-62659</v>
      </c>
      <c r="F84" s="449">
        <f t="shared" si="9"/>
        <v>-0.81353137456018487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4.4374961830653703E-2</v>
      </c>
      <c r="D85" s="453">
        <f>IF(LN_IC1=0,0,LN_IC2/LN_IC1)</f>
        <v>1.0532900830707197E-2</v>
      </c>
      <c r="E85" s="454">
        <f t="shared" si="8"/>
        <v>-3.3842060999946508E-2</v>
      </c>
      <c r="F85" s="449">
        <f t="shared" si="9"/>
        <v>-0.76263865035189304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63</v>
      </c>
      <c r="D86" s="456">
        <v>50</v>
      </c>
      <c r="E86" s="456">
        <f t="shared" si="8"/>
        <v>-13</v>
      </c>
      <c r="F86" s="449">
        <f t="shared" si="9"/>
        <v>-0.20634920634920634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1.3215399999999999</v>
      </c>
      <c r="D87" s="459">
        <v>0.94562000000000002</v>
      </c>
      <c r="E87" s="460">
        <f t="shared" si="8"/>
        <v>-0.37591999999999992</v>
      </c>
      <c r="F87" s="449">
        <f t="shared" si="9"/>
        <v>-0.28445601343886673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83.257019999999997</v>
      </c>
      <c r="D88" s="463">
        <f>LN_IC4*LN_IC5</f>
        <v>47.280999999999999</v>
      </c>
      <c r="E88" s="463">
        <f t="shared" si="8"/>
        <v>-35.976019999999998</v>
      </c>
      <c r="F88" s="449">
        <f t="shared" si="9"/>
        <v>-0.43210794717370377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925.09916881483389</v>
      </c>
      <c r="D89" s="465">
        <f>IF(LN_IC6=0,0,LN_IC2/LN_IC6)</f>
        <v>303.7583807449081</v>
      </c>
      <c r="E89" s="465">
        <f t="shared" si="8"/>
        <v>-621.34078806992579</v>
      </c>
      <c r="F89" s="449">
        <f t="shared" si="9"/>
        <v>-0.67164776384562097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6622.5508290065482</v>
      </c>
      <c r="D90" s="465">
        <f>LN_IB7-LN_IC7</f>
        <v>8364.6970842911251</v>
      </c>
      <c r="E90" s="465">
        <f t="shared" si="8"/>
        <v>1742.1462552845769</v>
      </c>
      <c r="F90" s="449">
        <f t="shared" si="9"/>
        <v>0.26306272315103046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6441.4973456544731</v>
      </c>
      <c r="D91" s="465">
        <f>LN_IA7-LN_IC7</f>
        <v>6642.7463269062855</v>
      </c>
      <c r="E91" s="465">
        <f t="shared" si="8"/>
        <v>201.24898125181244</v>
      </c>
      <c r="F91" s="449">
        <f t="shared" si="9"/>
        <v>3.1242577688490068E-2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536299.87333710131</v>
      </c>
      <c r="D92" s="441">
        <f>LN_IC9*LN_IC6</f>
        <v>314075.68908245605</v>
      </c>
      <c r="E92" s="441">
        <f t="shared" si="8"/>
        <v>-222224.18425464525</v>
      </c>
      <c r="F92" s="449">
        <f t="shared" si="9"/>
        <v>-0.4143655355946021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252</v>
      </c>
      <c r="D93" s="456">
        <v>175</v>
      </c>
      <c r="E93" s="456">
        <f t="shared" si="8"/>
        <v>-77</v>
      </c>
      <c r="F93" s="449">
        <f t="shared" si="9"/>
        <v>-0.30555555555555558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305.63888888888891</v>
      </c>
      <c r="D94" s="499">
        <f>IF(LN_IC11=0,0,LN_IC2/LN_IC11)</f>
        <v>82.068571428571431</v>
      </c>
      <c r="E94" s="499">
        <f t="shared" si="8"/>
        <v>-223.57031746031748</v>
      </c>
      <c r="F94" s="449">
        <f t="shared" si="9"/>
        <v>-0.73148517936666624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</v>
      </c>
      <c r="D95" s="466">
        <f>IF(LN_IC4=0,0,LN_IC11/LN_IC4)</f>
        <v>3.5</v>
      </c>
      <c r="E95" s="466">
        <f t="shared" si="8"/>
        <v>-0.5</v>
      </c>
      <c r="F95" s="449">
        <f t="shared" si="9"/>
        <v>-0.125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3892808</v>
      </c>
      <c r="D98" s="448">
        <v>5507937</v>
      </c>
      <c r="E98" s="448">
        <f t="shared" ref="E98:E106" si="10">D98-C98</f>
        <v>1615129</v>
      </c>
      <c r="F98" s="449">
        <f t="shared" ref="F98:F106" si="11">IF(C98=0,0,E98/C98)</f>
        <v>0.41490076058207853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172743</v>
      </c>
      <c r="D99" s="448">
        <v>63231</v>
      </c>
      <c r="E99" s="448">
        <f t="shared" si="10"/>
        <v>-109512</v>
      </c>
      <c r="F99" s="449">
        <f t="shared" si="11"/>
        <v>-0.63395911845921393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4.4374908806188232E-2</v>
      </c>
      <c r="D100" s="453">
        <f>IF(LN_IC14=0,0,LN_IC15/LN_IC14)</f>
        <v>1.1479978801500453E-2</v>
      </c>
      <c r="E100" s="454">
        <f t="shared" si="10"/>
        <v>-3.2894930004687781E-2</v>
      </c>
      <c r="F100" s="449">
        <f t="shared" si="11"/>
        <v>-0.74129572070468053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2.2428065905929988</v>
      </c>
      <c r="D101" s="453">
        <f>IF(LN_IC1=0,0,LN_IC14/LN_IC1)</f>
        <v>4.0394481411212162</v>
      </c>
      <c r="E101" s="454">
        <f t="shared" si="10"/>
        <v>1.7966415505282174</v>
      </c>
      <c r="F101" s="449">
        <f t="shared" si="11"/>
        <v>0.80106842830936431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141.29681520735892</v>
      </c>
      <c r="D102" s="463">
        <f>LN_IC17*LN_IC4</f>
        <v>201.9724070560608</v>
      </c>
      <c r="E102" s="463">
        <f t="shared" si="10"/>
        <v>60.675591848701885</v>
      </c>
      <c r="F102" s="449">
        <f t="shared" si="11"/>
        <v>0.42941938754711451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1222.5540947012323</v>
      </c>
      <c r="D103" s="465">
        <f>IF(LN_IC18=0,0,LN_IC15/LN_IC18)</f>
        <v>313.06751710123046</v>
      </c>
      <c r="E103" s="465">
        <f t="shared" si="10"/>
        <v>-909.48657760000185</v>
      </c>
      <c r="F103" s="449">
        <f t="shared" si="11"/>
        <v>-0.74392338264775282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10108.954789382336</v>
      </c>
      <c r="D104" s="465">
        <f>LN_IB18-LN_IC19</f>
        <v>11097.684686614764</v>
      </c>
      <c r="E104" s="465">
        <f t="shared" si="10"/>
        <v>988.7298972324279</v>
      </c>
      <c r="F104" s="449">
        <f t="shared" si="11"/>
        <v>9.780733199745964E-2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7061.0462453589735</v>
      </c>
      <c r="D105" s="465">
        <f>LN_IA16-LN_IC19</f>
        <v>7341.4925290147967</v>
      </c>
      <c r="E105" s="465">
        <f t="shared" si="10"/>
        <v>280.44628365582321</v>
      </c>
      <c r="F105" s="449">
        <f t="shared" si="11"/>
        <v>3.9717383785746005E-2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997703.34650110244</v>
      </c>
      <c r="D106" s="448">
        <f>LN_IC21*LN_IC18</f>
        <v>1482778.9174692058</v>
      </c>
      <c r="E106" s="448">
        <f t="shared" si="10"/>
        <v>485075.57096810336</v>
      </c>
      <c r="F106" s="449">
        <f t="shared" si="11"/>
        <v>0.4861921859531092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5628494</v>
      </c>
      <c r="D109" s="448">
        <f>LN_IC1+LN_IC14</f>
        <v>6871474</v>
      </c>
      <c r="E109" s="448">
        <f>D109-C109</f>
        <v>1242980</v>
      </c>
      <c r="F109" s="449">
        <f>IF(C109=0,0,E109/C109)</f>
        <v>0.22083704806294543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249764</v>
      </c>
      <c r="D110" s="448">
        <f>LN_IC2+LN_IC15</f>
        <v>77593</v>
      </c>
      <c r="E110" s="448">
        <f>D110-C110</f>
        <v>-172171</v>
      </c>
      <c r="F110" s="449">
        <f>IF(C110=0,0,E110/C110)</f>
        <v>-0.68933473198699569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5378730</v>
      </c>
      <c r="D111" s="448">
        <f>LN_IC23-LN_IC24</f>
        <v>6793881</v>
      </c>
      <c r="E111" s="448">
        <f>D111-C111</f>
        <v>1415151</v>
      </c>
      <c r="F111" s="449">
        <f>IF(C111=0,0,E111/C111)</f>
        <v>0.26310132689315135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1534003.2198382039</v>
      </c>
      <c r="D113" s="448">
        <f>LN_IC10+LN_IC22</f>
        <v>1796854.6065516619</v>
      </c>
      <c r="E113" s="448">
        <f>D113-C113</f>
        <v>262851.38671345799</v>
      </c>
      <c r="F113" s="449">
        <f>IF(C113=0,0,E113/C113)</f>
        <v>0.17134995762341473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5450784</v>
      </c>
      <c r="D118" s="448">
        <v>5224360</v>
      </c>
      <c r="E118" s="448">
        <f t="shared" ref="E118:E130" si="12">D118-C118</f>
        <v>-226424</v>
      </c>
      <c r="F118" s="449">
        <f t="shared" ref="F118:F130" si="13">IF(C118=0,0,E118/C118)</f>
        <v>-4.1539712452373825E-2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1206486</v>
      </c>
      <c r="D119" s="448">
        <v>1168773</v>
      </c>
      <c r="E119" s="448">
        <f t="shared" si="12"/>
        <v>-37713</v>
      </c>
      <c r="F119" s="449">
        <f t="shared" si="13"/>
        <v>-3.1258547550489603E-2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0.22134173726201589</v>
      </c>
      <c r="D120" s="453">
        <f>IF(LN_ID1=0,0,LN_1D2/LN_ID1)</f>
        <v>0.22371601497599705</v>
      </c>
      <c r="E120" s="454">
        <f t="shared" si="12"/>
        <v>2.3742777139811599E-3</v>
      </c>
      <c r="F120" s="449">
        <f t="shared" si="13"/>
        <v>1.0726751056311538E-2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349</v>
      </c>
      <c r="D121" s="456">
        <v>258</v>
      </c>
      <c r="E121" s="456">
        <f t="shared" si="12"/>
        <v>-91</v>
      </c>
      <c r="F121" s="449">
        <f t="shared" si="13"/>
        <v>-0.26074498567335241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0.96408000000000005</v>
      </c>
      <c r="D122" s="459">
        <v>1.2069000000000001</v>
      </c>
      <c r="E122" s="460">
        <f t="shared" si="12"/>
        <v>0.24282000000000004</v>
      </c>
      <c r="F122" s="449">
        <f t="shared" si="13"/>
        <v>0.25186706497386113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336.46392000000003</v>
      </c>
      <c r="D123" s="463">
        <f>LN_ID4*LN_ID5</f>
        <v>311.3802</v>
      </c>
      <c r="E123" s="463">
        <f t="shared" si="12"/>
        <v>-25.083720000000028</v>
      </c>
      <c r="F123" s="449">
        <f t="shared" si="13"/>
        <v>-7.4550994947690158E-2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3585.7812035239913</v>
      </c>
      <c r="D124" s="465">
        <f>IF(LN_ID6=0,0,LN_1D2/LN_ID6)</f>
        <v>3753.523827141225</v>
      </c>
      <c r="E124" s="465">
        <f t="shared" si="12"/>
        <v>167.74262361723368</v>
      </c>
      <c r="F124" s="449">
        <f t="shared" si="13"/>
        <v>4.6779938344364565E-2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3961.8687942973911</v>
      </c>
      <c r="D125" s="465">
        <f>LN_IB7-LN_ID7</f>
        <v>4914.9316378948079</v>
      </c>
      <c r="E125" s="465">
        <f t="shared" si="12"/>
        <v>953.06284359741676</v>
      </c>
      <c r="F125" s="449">
        <f t="shared" si="13"/>
        <v>0.24055891123129322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3780.815310945316</v>
      </c>
      <c r="D126" s="465">
        <f>LN_IA7-LN_ID7</f>
        <v>3192.9808805099688</v>
      </c>
      <c r="E126" s="465">
        <f t="shared" si="12"/>
        <v>-587.83443043534726</v>
      </c>
      <c r="F126" s="449">
        <f t="shared" si="13"/>
        <v>-0.15547821887347657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1272107.9403166801</v>
      </c>
      <c r="D127" s="479">
        <f>LN_ID9*LN_ID6</f>
        <v>994231.02516937023</v>
      </c>
      <c r="E127" s="479">
        <f t="shared" si="12"/>
        <v>-277876.91514730989</v>
      </c>
      <c r="F127" s="449">
        <f t="shared" si="13"/>
        <v>-0.21843815791145432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1247</v>
      </c>
      <c r="D128" s="456">
        <v>911</v>
      </c>
      <c r="E128" s="456">
        <f t="shared" si="12"/>
        <v>-336</v>
      </c>
      <c r="F128" s="449">
        <f t="shared" si="13"/>
        <v>-0.26944667201283079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967.51082598235769</v>
      </c>
      <c r="D129" s="465">
        <f>IF(LN_ID11=0,0,LN_1D2/LN_ID11)</f>
        <v>1282.9560922063665</v>
      </c>
      <c r="E129" s="465">
        <f t="shared" si="12"/>
        <v>315.44526622400883</v>
      </c>
      <c r="F129" s="449">
        <f t="shared" si="13"/>
        <v>0.32603797058676104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3.5730659025787967</v>
      </c>
      <c r="D130" s="466">
        <f>IF(LN_ID4=0,0,LN_ID11/LN_ID4)</f>
        <v>3.5310077519379846</v>
      </c>
      <c r="E130" s="466">
        <f t="shared" si="12"/>
        <v>-4.2058150640812197E-2</v>
      </c>
      <c r="F130" s="449">
        <f t="shared" si="13"/>
        <v>-1.177088578479828E-2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14131391</v>
      </c>
      <c r="D133" s="448">
        <v>14684173</v>
      </c>
      <c r="E133" s="448">
        <f t="shared" ref="E133:E141" si="14">D133-C133</f>
        <v>552782</v>
      </c>
      <c r="F133" s="449">
        <f t="shared" ref="F133:F141" si="15">IF(C133=0,0,E133/C133)</f>
        <v>3.9117309824630853E-2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3971009</v>
      </c>
      <c r="D134" s="448">
        <v>4021519</v>
      </c>
      <c r="E134" s="448">
        <f t="shared" si="14"/>
        <v>50510</v>
      </c>
      <c r="F134" s="449">
        <f t="shared" si="15"/>
        <v>1.2719689126869266E-2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0.2810062363995165</v>
      </c>
      <c r="D135" s="453">
        <f>IF(LN_ID14=0,0,LN_ID15/LN_ID14)</f>
        <v>0.27386758518848831</v>
      </c>
      <c r="E135" s="454">
        <f t="shared" si="14"/>
        <v>-7.1386512110281908E-3</v>
      </c>
      <c r="F135" s="449">
        <f t="shared" si="15"/>
        <v>-2.540388890472494E-2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2.5925428342051346</v>
      </c>
      <c r="D136" s="453">
        <f>IF(LN_ID1=0,0,LN_ID14/LN_ID1)</f>
        <v>2.8107123169153732</v>
      </c>
      <c r="E136" s="454">
        <f t="shared" si="14"/>
        <v>0.2181694827102385</v>
      </c>
      <c r="F136" s="449">
        <f t="shared" si="15"/>
        <v>8.4152701290711202E-2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904.79744913759203</v>
      </c>
      <c r="D137" s="463">
        <f>LN_ID17*LN_ID4</f>
        <v>725.1637777641663</v>
      </c>
      <c r="E137" s="463">
        <f t="shared" si="14"/>
        <v>-179.63367137342573</v>
      </c>
      <c r="F137" s="449">
        <f t="shared" si="15"/>
        <v>-0.19853467927506163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4388.8375279848196</v>
      </c>
      <c r="D138" s="465">
        <f>IF(LN_ID18=0,0,LN_ID15/LN_ID18)</f>
        <v>5545.6699897493445</v>
      </c>
      <c r="E138" s="465">
        <f t="shared" si="14"/>
        <v>1156.8324617645249</v>
      </c>
      <c r="F138" s="449">
        <f t="shared" si="15"/>
        <v>0.26358516449700897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6942.6713560987491</v>
      </c>
      <c r="D139" s="465">
        <f>LN_IB18-LN_ID19</f>
        <v>5865.0822139666498</v>
      </c>
      <c r="E139" s="465">
        <f t="shared" si="14"/>
        <v>-1077.5891421320994</v>
      </c>
      <c r="F139" s="449">
        <f t="shared" si="15"/>
        <v>-0.1552124660467325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3894.7628120753861</v>
      </c>
      <c r="D140" s="465">
        <f>LN_IA16-LN_ID19</f>
        <v>2108.890056366683</v>
      </c>
      <c r="E140" s="465">
        <f t="shared" si="14"/>
        <v>-1785.8727557087032</v>
      </c>
      <c r="F140" s="449">
        <f t="shared" si="15"/>
        <v>-0.45853183926162439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3523971.4573617643</v>
      </c>
      <c r="D141" s="441">
        <f>LN_ID21*LN_ID18</f>
        <v>1529290.6801641495</v>
      </c>
      <c r="E141" s="441">
        <f t="shared" si="14"/>
        <v>-1994680.7771976148</v>
      </c>
      <c r="F141" s="449">
        <f t="shared" si="15"/>
        <v>-0.56603204689147535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19582175</v>
      </c>
      <c r="D144" s="448">
        <f>LN_ID1+LN_ID14</f>
        <v>19908533</v>
      </c>
      <c r="E144" s="448">
        <f>D144-C144</f>
        <v>326358</v>
      </c>
      <c r="F144" s="449">
        <f>IF(C144=0,0,E144/C144)</f>
        <v>1.6666075142316928E-2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5177495</v>
      </c>
      <c r="D145" s="448">
        <f>LN_1D2+LN_ID15</f>
        <v>5190292</v>
      </c>
      <c r="E145" s="448">
        <f>D145-C145</f>
        <v>12797</v>
      </c>
      <c r="F145" s="449">
        <f>IF(C145=0,0,E145/C145)</f>
        <v>2.4716585916548447E-3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14404680</v>
      </c>
      <c r="D146" s="448">
        <f>LN_ID23-LN_ID24</f>
        <v>14718241</v>
      </c>
      <c r="E146" s="448">
        <f>D146-C146</f>
        <v>313561</v>
      </c>
      <c r="F146" s="449">
        <f>IF(C146=0,0,E146/C146)</f>
        <v>2.1767994846119455E-2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4796079.3976784442</v>
      </c>
      <c r="D148" s="448">
        <f>LN_ID10+LN_ID22</f>
        <v>2523521.7053335197</v>
      </c>
      <c r="E148" s="448">
        <f>D148-C148</f>
        <v>-2272557.6923449244</v>
      </c>
      <c r="F148" s="503">
        <f>IF(C148=0,0,E148/C148)</f>
        <v>-0.4738365452091895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26850</v>
      </c>
      <c r="D153" s="448">
        <v>31334</v>
      </c>
      <c r="E153" s="448">
        <f t="shared" ref="E153:E165" si="16">D153-C153</f>
        <v>4484</v>
      </c>
      <c r="F153" s="449">
        <f t="shared" ref="F153:F165" si="17">IF(C153=0,0,E153/C153)</f>
        <v>0.16700186219739294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6495</v>
      </c>
      <c r="D154" s="448">
        <v>6063</v>
      </c>
      <c r="E154" s="448">
        <f t="shared" si="16"/>
        <v>-432</v>
      </c>
      <c r="F154" s="449">
        <f t="shared" si="17"/>
        <v>-6.6512702078521946E-2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0.24189944134078212</v>
      </c>
      <c r="D155" s="453">
        <f>IF(LN_IE1=0,0,LN_IE2/LN_IE1)</f>
        <v>0.19349588306631774</v>
      </c>
      <c r="E155" s="454">
        <f t="shared" si="16"/>
        <v>-4.8403558274464381E-2</v>
      </c>
      <c r="F155" s="449">
        <f t="shared" si="17"/>
        <v>-0.20009785060344398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</v>
      </c>
      <c r="D156" s="506">
        <v>1</v>
      </c>
      <c r="E156" s="506">
        <f t="shared" si="16"/>
        <v>-1</v>
      </c>
      <c r="F156" s="449">
        <f t="shared" si="17"/>
        <v>-0.5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1.5387</v>
      </c>
      <c r="D157" s="459">
        <v>1.8418000000000001</v>
      </c>
      <c r="E157" s="460">
        <f t="shared" si="16"/>
        <v>0.30310000000000015</v>
      </c>
      <c r="F157" s="449">
        <f t="shared" si="17"/>
        <v>0.19698446740755193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3.0773999999999999</v>
      </c>
      <c r="D158" s="463">
        <f>LN_IE4*LN_IE5</f>
        <v>1.8418000000000001</v>
      </c>
      <c r="E158" s="463">
        <f t="shared" si="16"/>
        <v>-1.2355999999999998</v>
      </c>
      <c r="F158" s="449">
        <f t="shared" si="17"/>
        <v>-0.40150776629622403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2110.5478650809127</v>
      </c>
      <c r="D159" s="465">
        <f>IF(LN_IE6=0,0,LN_IE2/LN_IE6)</f>
        <v>3291.8883700727547</v>
      </c>
      <c r="E159" s="465">
        <f t="shared" si="16"/>
        <v>1181.340504991842</v>
      </c>
      <c r="F159" s="449">
        <f t="shared" si="17"/>
        <v>0.55973168130283202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5437.1021327404696</v>
      </c>
      <c r="D160" s="465">
        <f>LN_IB7-LN_IE7</f>
        <v>5376.5670949632786</v>
      </c>
      <c r="E160" s="465">
        <f t="shared" si="16"/>
        <v>-60.535037777191064</v>
      </c>
      <c r="F160" s="449">
        <f t="shared" si="17"/>
        <v>-1.1133695174248918E-2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5256.0486493883946</v>
      </c>
      <c r="D161" s="465">
        <f>LN_IA7-LN_IE7</f>
        <v>3654.616337578439</v>
      </c>
      <c r="E161" s="465">
        <f t="shared" si="16"/>
        <v>-1601.4323118099555</v>
      </c>
      <c r="F161" s="449">
        <f t="shared" si="17"/>
        <v>-0.30468369275773383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16174.964113627844</v>
      </c>
      <c r="D162" s="479">
        <f>LN_IE9*LN_IE6</f>
        <v>6731.0723705519695</v>
      </c>
      <c r="E162" s="479">
        <f t="shared" si="16"/>
        <v>-9443.8917430758738</v>
      </c>
      <c r="F162" s="449">
        <f t="shared" si="17"/>
        <v>-0.58385859014791508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5</v>
      </c>
      <c r="D163" s="456">
        <v>6</v>
      </c>
      <c r="E163" s="506">
        <f t="shared" si="16"/>
        <v>1</v>
      </c>
      <c r="F163" s="449">
        <f t="shared" si="17"/>
        <v>0.2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1299</v>
      </c>
      <c r="D164" s="465">
        <f>IF(LN_IE11=0,0,LN_IE2/LN_IE11)</f>
        <v>1010.5</v>
      </c>
      <c r="E164" s="465">
        <f t="shared" si="16"/>
        <v>-288.5</v>
      </c>
      <c r="F164" s="449">
        <f t="shared" si="17"/>
        <v>-0.22209391839876827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2.5</v>
      </c>
      <c r="D165" s="466">
        <f>IF(LN_IE4=0,0,LN_IE11/LN_IE4)</f>
        <v>6</v>
      </c>
      <c r="E165" s="466">
        <f t="shared" si="16"/>
        <v>3.5</v>
      </c>
      <c r="F165" s="449">
        <f t="shared" si="17"/>
        <v>1.4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196919</v>
      </c>
      <c r="D168" s="511">
        <v>198761</v>
      </c>
      <c r="E168" s="511">
        <f t="shared" ref="E168:E176" si="18">D168-C168</f>
        <v>1842</v>
      </c>
      <c r="F168" s="449">
        <f t="shared" ref="F168:F176" si="19">IF(C168=0,0,E168/C168)</f>
        <v>9.3540999090996804E-3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47480</v>
      </c>
      <c r="D169" s="511">
        <v>37428</v>
      </c>
      <c r="E169" s="511">
        <f t="shared" si="18"/>
        <v>-10052</v>
      </c>
      <c r="F169" s="449">
        <f t="shared" si="19"/>
        <v>-0.21171019376579611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0.24111436682087559</v>
      </c>
      <c r="D170" s="453">
        <f>IF(LN_IE14=0,0,LN_IE15/LN_IE14)</f>
        <v>0.18830655913383409</v>
      </c>
      <c r="E170" s="454">
        <f t="shared" si="18"/>
        <v>-5.2807807687041491E-2</v>
      </c>
      <c r="F170" s="449">
        <f t="shared" si="19"/>
        <v>-0.21901559987204136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7.3340409683426442</v>
      </c>
      <c r="D171" s="453">
        <f>IF(LN_IE1=0,0,LN_IE14/LN_IE1)</f>
        <v>6.343301206357312</v>
      </c>
      <c r="E171" s="454">
        <f t="shared" si="18"/>
        <v>-0.9907397619853322</v>
      </c>
      <c r="F171" s="449">
        <f t="shared" si="19"/>
        <v>-0.13508784124084608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14.668081936685288</v>
      </c>
      <c r="D172" s="463">
        <f>LN_IE17*LN_IE4</f>
        <v>6.343301206357312</v>
      </c>
      <c r="E172" s="463">
        <f t="shared" si="18"/>
        <v>-8.3247807303279764</v>
      </c>
      <c r="F172" s="449">
        <f t="shared" si="19"/>
        <v>-0.56754392062042303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3236.9603745702548</v>
      </c>
      <c r="D173" s="465">
        <f>IF(LN_IE18=0,0,LN_IE15/LN_IE18)</f>
        <v>5900.3977238995576</v>
      </c>
      <c r="E173" s="465">
        <f t="shared" si="18"/>
        <v>2663.4373493293028</v>
      </c>
      <c r="F173" s="449">
        <f t="shared" si="19"/>
        <v>0.8228204985928832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8094.5485095133135</v>
      </c>
      <c r="D174" s="465">
        <f>LN_IB18-LN_IE19</f>
        <v>5510.3544798164367</v>
      </c>
      <c r="E174" s="465">
        <f t="shared" si="18"/>
        <v>-2584.1940296968769</v>
      </c>
      <c r="F174" s="449">
        <f t="shared" si="19"/>
        <v>-0.31925116350340488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5046.6399654899506</v>
      </c>
      <c r="D175" s="465">
        <f>LN_IA16-LN_IE19</f>
        <v>1754.1623222164699</v>
      </c>
      <c r="E175" s="465">
        <f t="shared" si="18"/>
        <v>-3292.4776432734807</v>
      </c>
      <c r="F175" s="449">
        <f t="shared" si="19"/>
        <v>-0.65240985403915819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74024.528518757215</v>
      </c>
      <c r="D176" s="441">
        <f>LN_IE21*LN_IE18</f>
        <v>11127.179974662276</v>
      </c>
      <c r="E176" s="441">
        <f t="shared" si="18"/>
        <v>-62897.348544094937</v>
      </c>
      <c r="F176" s="449">
        <f t="shared" si="19"/>
        <v>-0.84968252824679946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223769</v>
      </c>
      <c r="D179" s="448">
        <f>LN_IE1+LN_IE14</f>
        <v>230095</v>
      </c>
      <c r="E179" s="448">
        <f>D179-C179</f>
        <v>6326</v>
      </c>
      <c r="F179" s="449">
        <f>IF(C179=0,0,E179/C179)</f>
        <v>2.8270225098203951E-2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53975</v>
      </c>
      <c r="D180" s="448">
        <f>LN_IE15+LN_IE2</f>
        <v>43491</v>
      </c>
      <c r="E180" s="448">
        <f>D180-C180</f>
        <v>-10484</v>
      </c>
      <c r="F180" s="449">
        <f>IF(C180=0,0,E180/C180)</f>
        <v>-0.19423807318202871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169794</v>
      </c>
      <c r="D181" s="448">
        <f>LN_IE23-LN_IE24</f>
        <v>186604</v>
      </c>
      <c r="E181" s="448">
        <f>D181-C181</f>
        <v>16810</v>
      </c>
      <c r="F181" s="449">
        <f>IF(C181=0,0,E181/C181)</f>
        <v>9.9002320458909027E-2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90199.492632385052</v>
      </c>
      <c r="D183" s="448">
        <f>LN_IE10+LN_IE22</f>
        <v>17858.252345214245</v>
      </c>
      <c r="E183" s="441">
        <f>D183-C183</f>
        <v>-72341.240287170804</v>
      </c>
      <c r="F183" s="449">
        <f>IF(C183=0,0,E183/C183)</f>
        <v>-0.80201382708440583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5477634</v>
      </c>
      <c r="D188" s="448">
        <f>LN_ID1+LN_IE1</f>
        <v>5255694</v>
      </c>
      <c r="E188" s="448">
        <f t="shared" ref="E188:E200" si="20">D188-C188</f>
        <v>-221940</v>
      </c>
      <c r="F188" s="449">
        <f t="shared" ref="F188:F200" si="21">IF(C188=0,0,E188/C188)</f>
        <v>-4.0517493501756416E-2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1212981</v>
      </c>
      <c r="D189" s="448">
        <f>LN_1D2+LN_IE2</f>
        <v>1174836</v>
      </c>
      <c r="E189" s="448">
        <f t="shared" si="20"/>
        <v>-38145</v>
      </c>
      <c r="F189" s="449">
        <f t="shared" si="21"/>
        <v>-3.1447318630712269E-2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0.22144250601628368</v>
      </c>
      <c r="D190" s="453">
        <f>IF(LN_IF1=0,0,LN_IF2/LN_IF1)</f>
        <v>0.2235358451234033</v>
      </c>
      <c r="E190" s="454">
        <f t="shared" si="20"/>
        <v>2.0933391071196183E-3</v>
      </c>
      <c r="F190" s="449">
        <f t="shared" si="21"/>
        <v>9.4531946227418753E-3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351</v>
      </c>
      <c r="D191" s="456">
        <f>LN_ID4+LN_IE4</f>
        <v>259</v>
      </c>
      <c r="E191" s="456">
        <f t="shared" si="20"/>
        <v>-92</v>
      </c>
      <c r="F191" s="449">
        <f t="shared" si="21"/>
        <v>-0.2621082621082621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0.96735418803418816</v>
      </c>
      <c r="D192" s="459">
        <f>IF((LN_ID4+LN_IE4)=0,0,(LN_ID6+LN_IE6)/(LN_ID4+LN_IE4))</f>
        <v>1.2093513513513512</v>
      </c>
      <c r="E192" s="460">
        <f t="shared" si="20"/>
        <v>0.24199716331716303</v>
      </c>
      <c r="F192" s="449">
        <f t="shared" si="21"/>
        <v>0.25016396921683703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339.54132000000004</v>
      </c>
      <c r="D193" s="463">
        <f>LN_IF4*LN_IF5</f>
        <v>313.22199999999998</v>
      </c>
      <c r="E193" s="463">
        <f t="shared" si="20"/>
        <v>-26.319320000000062</v>
      </c>
      <c r="F193" s="449">
        <f t="shared" si="21"/>
        <v>-7.7514336104954937E-2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3572.4105684692508</v>
      </c>
      <c r="D194" s="465">
        <f>IF(LN_IF6=0,0,LN_IF2/LN_IF6)</f>
        <v>3750.8093301236827</v>
      </c>
      <c r="E194" s="465">
        <f t="shared" si="20"/>
        <v>178.39876165443184</v>
      </c>
      <c r="F194" s="449">
        <f t="shared" si="21"/>
        <v>4.9937922373484149E-2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3975.2394293521315</v>
      </c>
      <c r="D195" s="465">
        <f>LN_IB7-LN_IF7</f>
        <v>4917.646134912351</v>
      </c>
      <c r="E195" s="465">
        <f t="shared" si="20"/>
        <v>942.40670556021951</v>
      </c>
      <c r="F195" s="449">
        <f t="shared" si="21"/>
        <v>0.23706916836297559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3794.1859460000564</v>
      </c>
      <c r="D196" s="465">
        <f>LN_IA7-LN_IF7</f>
        <v>3195.695377527511</v>
      </c>
      <c r="E196" s="465">
        <f t="shared" si="20"/>
        <v>-598.49056847254542</v>
      </c>
      <c r="F196" s="449">
        <f t="shared" si="21"/>
        <v>-0.15773886071753862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1288282.9044303079</v>
      </c>
      <c r="D197" s="479">
        <f>LN_IF9*LN_IF6</f>
        <v>1000962.097539922</v>
      </c>
      <c r="E197" s="479">
        <f t="shared" si="20"/>
        <v>-287320.80689038592</v>
      </c>
      <c r="F197" s="449">
        <f t="shared" si="21"/>
        <v>-0.22302617375602152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1252</v>
      </c>
      <c r="D198" s="456">
        <f>LN_ID11+LN_IE11</f>
        <v>917</v>
      </c>
      <c r="E198" s="456">
        <f t="shared" si="20"/>
        <v>-335</v>
      </c>
      <c r="F198" s="449">
        <f t="shared" si="21"/>
        <v>-0.26757188498402557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968.83466453674123</v>
      </c>
      <c r="D199" s="519">
        <f>IF(LN_IF11=0,0,LN_IF2/LN_IF11)</f>
        <v>1281.1733914940021</v>
      </c>
      <c r="E199" s="519">
        <f t="shared" si="20"/>
        <v>312.33872695726086</v>
      </c>
      <c r="F199" s="449">
        <f t="shared" si="21"/>
        <v>0.32238599462851486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3.566951566951567</v>
      </c>
      <c r="D200" s="466">
        <f>IF(LN_IF4=0,0,LN_IF11/LN_IF4)</f>
        <v>3.5405405405405403</v>
      </c>
      <c r="E200" s="466">
        <f t="shared" si="20"/>
        <v>-2.6411026411026661E-2</v>
      </c>
      <c r="F200" s="449">
        <f t="shared" si="21"/>
        <v>-7.4043692254555571E-3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14328310</v>
      </c>
      <c r="D203" s="448">
        <f>LN_ID14+LN_IE14</f>
        <v>14882934</v>
      </c>
      <c r="E203" s="448">
        <f t="shared" ref="E203:E211" si="22">D203-C203</f>
        <v>554624</v>
      </c>
      <c r="F203" s="449">
        <f t="shared" ref="F203:F211" si="23">IF(C203=0,0,E203/C203)</f>
        <v>3.8708263570511804E-2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4018489</v>
      </c>
      <c r="D204" s="448">
        <f>LN_ID15+LN_IE15</f>
        <v>4058947</v>
      </c>
      <c r="E204" s="448">
        <f t="shared" si="22"/>
        <v>40458</v>
      </c>
      <c r="F204" s="449">
        <f t="shared" si="23"/>
        <v>1.006796335637599E-2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0.28045798841594022</v>
      </c>
      <c r="D205" s="453">
        <f>IF(LN_IF14=0,0,LN_IF15/LN_IF14)</f>
        <v>0.27272492104043461</v>
      </c>
      <c r="E205" s="454">
        <f t="shared" si="22"/>
        <v>-7.733067375505609E-3</v>
      </c>
      <c r="F205" s="449">
        <f t="shared" si="23"/>
        <v>-2.7572997364713643E-2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2.6157844792112801</v>
      </c>
      <c r="D206" s="453">
        <f>IF(LN_IF1=0,0,LN_IF14/LN_IF1)</f>
        <v>2.8317733110032663</v>
      </c>
      <c r="E206" s="454">
        <f t="shared" si="22"/>
        <v>0.21598883179198625</v>
      </c>
      <c r="F206" s="449">
        <f t="shared" si="23"/>
        <v>8.2571340838107549E-2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919.46553107427735</v>
      </c>
      <c r="D207" s="463">
        <f>LN_ID18+LN_IE18</f>
        <v>731.50707897052359</v>
      </c>
      <c r="E207" s="463">
        <f t="shared" si="22"/>
        <v>-187.95845210375376</v>
      </c>
      <c r="F207" s="449">
        <f t="shared" si="23"/>
        <v>-0.204421422828269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4370.461821776953</v>
      </c>
      <c r="D208" s="465">
        <f>IF(LN_IF18=0,0,LN_IF15/LN_IF18)</f>
        <v>5548.7460295152623</v>
      </c>
      <c r="E208" s="465">
        <f t="shared" si="22"/>
        <v>1178.2842077383093</v>
      </c>
      <c r="F208" s="449">
        <f t="shared" si="23"/>
        <v>0.26960176196190627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6961.0470623066158</v>
      </c>
      <c r="D209" s="465">
        <f>LN_IB18-LN_IF19</f>
        <v>5862.0061742007319</v>
      </c>
      <c r="E209" s="465">
        <f t="shared" si="22"/>
        <v>-1099.0408881058838</v>
      </c>
      <c r="F209" s="449">
        <f t="shared" si="23"/>
        <v>-0.15788442144818729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3913.1385182832528</v>
      </c>
      <c r="D210" s="465">
        <f>LN_IA16-LN_IF19</f>
        <v>2105.8140166007652</v>
      </c>
      <c r="E210" s="465">
        <f t="shared" si="22"/>
        <v>-1807.3245016824876</v>
      </c>
      <c r="F210" s="449">
        <f t="shared" si="23"/>
        <v>-0.46186059942375501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3597995.9858805216</v>
      </c>
      <c r="D211" s="441">
        <f>LN_IF21*LN_IF18</f>
        <v>1540417.8601388114</v>
      </c>
      <c r="E211" s="441">
        <f t="shared" si="22"/>
        <v>-2057578.1257417102</v>
      </c>
      <c r="F211" s="449">
        <f t="shared" si="23"/>
        <v>-0.57186782136950276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19805944</v>
      </c>
      <c r="D214" s="448">
        <f>LN_IF1+LN_IF14</f>
        <v>20138628</v>
      </c>
      <c r="E214" s="448">
        <f>D214-C214</f>
        <v>332684</v>
      </c>
      <c r="F214" s="449">
        <f>IF(C214=0,0,E214/C214)</f>
        <v>1.6797179674950105E-2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5231470</v>
      </c>
      <c r="D215" s="448">
        <f>LN_IF2+LN_IF15</f>
        <v>5233783</v>
      </c>
      <c r="E215" s="448">
        <f>D215-C215</f>
        <v>2313</v>
      </c>
      <c r="F215" s="449">
        <f>IF(C215=0,0,E215/C215)</f>
        <v>4.4213194379400054E-4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14574474</v>
      </c>
      <c r="D216" s="448">
        <f>LN_IF23-LN_IF24</f>
        <v>14904845</v>
      </c>
      <c r="E216" s="448">
        <f>D216-C216</f>
        <v>330371</v>
      </c>
      <c r="F216" s="449">
        <f>IF(C216=0,0,E216/C216)</f>
        <v>2.2667782041396484E-2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27348</v>
      </c>
      <c r="D221" s="448">
        <v>174774</v>
      </c>
      <c r="E221" s="448">
        <f t="shared" ref="E221:E230" si="24">D221-C221</f>
        <v>147426</v>
      </c>
      <c r="F221" s="449">
        <f t="shared" ref="F221:F230" si="25">IF(C221=0,0,E221/C221)</f>
        <v>5.3907415533128562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9678</v>
      </c>
      <c r="D222" s="448">
        <v>63596</v>
      </c>
      <c r="E222" s="448">
        <f t="shared" si="24"/>
        <v>53918</v>
      </c>
      <c r="F222" s="449">
        <f t="shared" si="25"/>
        <v>5.5711923951229592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0.35388328214129006</v>
      </c>
      <c r="D223" s="453">
        <f>IF(LN_IG1=0,0,LN_IG2/LN_IG1)</f>
        <v>0.36387563367548947</v>
      </c>
      <c r="E223" s="454">
        <f t="shared" si="24"/>
        <v>9.9923515341994174E-3</v>
      </c>
      <c r="F223" s="449">
        <f t="shared" si="25"/>
        <v>2.8236291564092339E-2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</v>
      </c>
      <c r="D224" s="456">
        <v>10</v>
      </c>
      <c r="E224" s="456">
        <f t="shared" si="24"/>
        <v>7</v>
      </c>
      <c r="F224" s="449">
        <f t="shared" si="25"/>
        <v>2.3333333333333335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0.57979999999999998</v>
      </c>
      <c r="D225" s="459">
        <v>1.2652000000000001</v>
      </c>
      <c r="E225" s="460">
        <f t="shared" si="24"/>
        <v>0.68540000000000012</v>
      </c>
      <c r="F225" s="449">
        <f t="shared" si="25"/>
        <v>1.1821317695757161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1.7393999999999998</v>
      </c>
      <c r="D226" s="463">
        <f>LN_IG3*LN_IG4</f>
        <v>12.652000000000001</v>
      </c>
      <c r="E226" s="463">
        <f t="shared" si="24"/>
        <v>10.912600000000001</v>
      </c>
      <c r="F226" s="449">
        <f t="shared" si="25"/>
        <v>6.2737725652523872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5563.9875819248018</v>
      </c>
      <c r="D227" s="465">
        <f>IF(LN_IG5=0,0,LN_IG2/LN_IG5)</f>
        <v>5026.5570660765088</v>
      </c>
      <c r="E227" s="465">
        <f t="shared" si="24"/>
        <v>-537.430515848293</v>
      </c>
      <c r="F227" s="449">
        <f t="shared" si="25"/>
        <v>-9.6590890604104238E-2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</v>
      </c>
      <c r="D228" s="456">
        <v>27</v>
      </c>
      <c r="E228" s="456">
        <f t="shared" si="24"/>
        <v>18</v>
      </c>
      <c r="F228" s="449">
        <f t="shared" si="25"/>
        <v>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1075.3333333333333</v>
      </c>
      <c r="D229" s="465">
        <f>IF(LN_IG6=0,0,LN_IG2/LN_IG6)</f>
        <v>2355.4074074074074</v>
      </c>
      <c r="E229" s="465">
        <f t="shared" si="24"/>
        <v>1280.0740740740741</v>
      </c>
      <c r="F229" s="449">
        <f t="shared" si="25"/>
        <v>1.1903974650409865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</v>
      </c>
      <c r="D230" s="466">
        <f>IF(LN_IG3=0,0,LN_IG6/LN_IG3)</f>
        <v>2.7</v>
      </c>
      <c r="E230" s="466">
        <f t="shared" si="24"/>
        <v>-0.29999999999999982</v>
      </c>
      <c r="F230" s="449">
        <f t="shared" si="25"/>
        <v>-9.9999999999999936E-2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193576</v>
      </c>
      <c r="D233" s="448">
        <v>231144</v>
      </c>
      <c r="E233" s="448">
        <f>D233-C233</f>
        <v>37568</v>
      </c>
      <c r="F233" s="449">
        <f>IF(C233=0,0,E233/C233)</f>
        <v>0.19407364549324296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61535</v>
      </c>
      <c r="D234" s="448">
        <v>61532</v>
      </c>
      <c r="E234" s="448">
        <f>D234-C234</f>
        <v>-3</v>
      </c>
      <c r="F234" s="449">
        <f>IF(C234=0,0,E234/C234)</f>
        <v>-4.8752742341756727E-5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220924</v>
      </c>
      <c r="D237" s="448">
        <f>LN_IG1+LN_IG9</f>
        <v>405918</v>
      </c>
      <c r="E237" s="448">
        <f>D237-C237</f>
        <v>184994</v>
      </c>
      <c r="F237" s="449">
        <f>IF(C237=0,0,E237/C237)</f>
        <v>0.83736488566203759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71213</v>
      </c>
      <c r="D238" s="448">
        <f>LN_IG2+LN_IG10</f>
        <v>125128</v>
      </c>
      <c r="E238" s="448">
        <f>D238-C238</f>
        <v>53915</v>
      </c>
      <c r="F238" s="449">
        <f>IF(C238=0,0,E238/C238)</f>
        <v>0.75709491244576133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149711</v>
      </c>
      <c r="D239" s="448">
        <f>LN_IG13-LN_IG14</f>
        <v>280790</v>
      </c>
      <c r="E239" s="448">
        <f>D239-C239</f>
        <v>131079</v>
      </c>
      <c r="F239" s="449">
        <f>IF(C239=0,0,E239/C239)</f>
        <v>0.87554688700229111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2505143</v>
      </c>
      <c r="D243" s="448">
        <v>1449445</v>
      </c>
      <c r="E243" s="441">
        <f>D243-C243</f>
        <v>-1055698</v>
      </c>
      <c r="F243" s="503">
        <f>IF(C243=0,0,E243/C243)</f>
        <v>-0.42141227067676373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90685854</v>
      </c>
      <c r="D244" s="448">
        <v>80117246</v>
      </c>
      <c r="E244" s="441">
        <f>D244-C244</f>
        <v>-10568608</v>
      </c>
      <c r="F244" s="503">
        <f>IF(C244=0,0,E244/C244)</f>
        <v>-0.11654086645090203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192533</v>
      </c>
      <c r="D248" s="441">
        <v>643601</v>
      </c>
      <c r="E248" s="441">
        <f>D248-C248</f>
        <v>451068</v>
      </c>
      <c r="F248" s="449">
        <f>IF(C248=0,0,E248/C248)</f>
        <v>2.3428087652506324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7028914</v>
      </c>
      <c r="D249" s="441">
        <v>6456481</v>
      </c>
      <c r="E249" s="441">
        <f>D249-C249</f>
        <v>-572433</v>
      </c>
      <c r="F249" s="449">
        <f>IF(C249=0,0,E249/C249)</f>
        <v>-8.1439750152014947E-2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7221447</v>
      </c>
      <c r="D250" s="441">
        <f>LN_IH4+LN_IH5</f>
        <v>7100082</v>
      </c>
      <c r="E250" s="441">
        <f>D250-C250</f>
        <v>-121365</v>
      </c>
      <c r="F250" s="449">
        <f>IF(C250=0,0,E250/C250)</f>
        <v>-1.6806188565809593E-2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2696757.0413322644</v>
      </c>
      <c r="D251" s="441">
        <f>LN_IH6*LN_III10</f>
        <v>2192238.333350481</v>
      </c>
      <c r="E251" s="441">
        <f>D251-C251</f>
        <v>-504518.70798178343</v>
      </c>
      <c r="F251" s="449">
        <f>IF(C251=0,0,E251/C251)</f>
        <v>-0.1870834859237222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19805944</v>
      </c>
      <c r="D254" s="441">
        <f>LN_IF23</f>
        <v>20138628</v>
      </c>
      <c r="E254" s="441">
        <f>D254-C254</f>
        <v>332684</v>
      </c>
      <c r="F254" s="449">
        <f>IF(C254=0,0,E254/C254)</f>
        <v>1.6797179674950105E-2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5231470</v>
      </c>
      <c r="D255" s="441">
        <f>LN_IF24</f>
        <v>5233783</v>
      </c>
      <c r="E255" s="441">
        <f>D255-C255</f>
        <v>2313</v>
      </c>
      <c r="F255" s="449">
        <f>IF(C255=0,0,E255/C255)</f>
        <v>4.4213194379400054E-4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7396276.5277142543</v>
      </c>
      <c r="D256" s="441">
        <f>LN_IH8*LN_III10</f>
        <v>6218051.0426056106</v>
      </c>
      <c r="E256" s="441">
        <f>D256-C256</f>
        <v>-1178225.4851086438</v>
      </c>
      <c r="F256" s="449">
        <f>IF(C256=0,0,E256/C256)</f>
        <v>-0.15929981534543336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2164806.5277142543</v>
      </c>
      <c r="D257" s="441">
        <f>LN_IH10-LN_IH9</f>
        <v>984268.04260561056</v>
      </c>
      <c r="E257" s="441">
        <f>D257-C257</f>
        <v>-1180538.4851086438</v>
      </c>
      <c r="F257" s="449">
        <f>IF(C257=0,0,E257/C257)</f>
        <v>-0.54533209780882097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96546778</v>
      </c>
      <c r="D261" s="448">
        <f>LN_IA1+LN_IB1+LN_IF1+LN_IG1</f>
        <v>98180414</v>
      </c>
      <c r="E261" s="448">
        <f t="shared" ref="E261:E274" si="26">D261-C261</f>
        <v>1633636</v>
      </c>
      <c r="F261" s="503">
        <f t="shared" ref="F261:F274" si="27">IF(C261=0,0,E261/C261)</f>
        <v>1.6920668238146693E-2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35466887</v>
      </c>
      <c r="D262" s="448">
        <f>+LN_IA2+LN_IB2+LN_IF2+LN_IG2</f>
        <v>34311088</v>
      </c>
      <c r="E262" s="448">
        <f t="shared" si="26"/>
        <v>-1155799</v>
      </c>
      <c r="F262" s="503">
        <f t="shared" si="27"/>
        <v>-3.2588115218569927E-2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0.36735443413761565</v>
      </c>
      <c r="D263" s="453">
        <f>IF(LN_IIA1=0,0,LN_IIA2/LN_IIA1)</f>
        <v>0.34946978325025191</v>
      </c>
      <c r="E263" s="454">
        <f t="shared" si="26"/>
        <v>-1.788465088736374E-2</v>
      </c>
      <c r="F263" s="458">
        <f t="shared" si="27"/>
        <v>-4.8685000711503383E-2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3580</v>
      </c>
      <c r="D264" s="456">
        <f>LN_IA4+LN_IB4+LN_IF4+LN_IG3</f>
        <v>3348</v>
      </c>
      <c r="E264" s="456">
        <f t="shared" si="26"/>
        <v>-232</v>
      </c>
      <c r="F264" s="503">
        <f t="shared" si="27"/>
        <v>-6.4804469273743018E-2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1.3824720837988829</v>
      </c>
      <c r="D265" s="525">
        <f>IF(LN_IIA4=0,0,LN_IIA6/LN_IIA4)</f>
        <v>1.4130910991636796</v>
      </c>
      <c r="E265" s="525">
        <f t="shared" si="26"/>
        <v>3.061901536479672E-2</v>
      </c>
      <c r="F265" s="503">
        <f t="shared" si="27"/>
        <v>2.2148017109075359E-2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4949.2500600000003</v>
      </c>
      <c r="D266" s="463">
        <f>LN_IA6+LN_IB6+LN_IF6+LN_IG5</f>
        <v>4731.0289999999995</v>
      </c>
      <c r="E266" s="463">
        <f t="shared" si="26"/>
        <v>-218.22106000000076</v>
      </c>
      <c r="F266" s="503">
        <f t="shared" si="27"/>
        <v>-4.4091742658886941E-2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92875386</v>
      </c>
      <c r="D267" s="448">
        <f>LN_IA11+LN_IB13+LN_IF14+LN_IG9</f>
        <v>96733467</v>
      </c>
      <c r="E267" s="448">
        <f t="shared" si="26"/>
        <v>3858081</v>
      </c>
      <c r="F267" s="503">
        <f t="shared" si="27"/>
        <v>4.1540403396008493E-2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0.96197292052563366</v>
      </c>
      <c r="D268" s="453">
        <f>IF(LN_IIA1=0,0,LN_IIA7/LN_IIA1)</f>
        <v>0.98526236607639484</v>
      </c>
      <c r="E268" s="454">
        <f t="shared" si="26"/>
        <v>2.3289445550761179E-2</v>
      </c>
      <c r="F268" s="458">
        <f t="shared" si="27"/>
        <v>2.4210084352515395E-2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34972347</v>
      </c>
      <c r="D269" s="448">
        <f>LN_IA12+LN_IB14+LN_IF15+LN_IG10</f>
        <v>33277271</v>
      </c>
      <c r="E269" s="448">
        <f t="shared" si="26"/>
        <v>-1695076</v>
      </c>
      <c r="F269" s="503">
        <f t="shared" si="27"/>
        <v>-4.8469037551297313E-2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0.3765512963789997</v>
      </c>
      <c r="D270" s="453">
        <f>IF(LN_IIA7=0,0,LN_IIA9/LN_IIA7)</f>
        <v>0.34400990713999735</v>
      </c>
      <c r="E270" s="454">
        <f t="shared" si="26"/>
        <v>-3.254138923900235E-2</v>
      </c>
      <c r="F270" s="458">
        <f t="shared" si="27"/>
        <v>-8.6419538458445175E-2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189422164</v>
      </c>
      <c r="D271" s="441">
        <f>LN_IIA1+LN_IIA7</f>
        <v>194913881</v>
      </c>
      <c r="E271" s="441">
        <f t="shared" si="26"/>
        <v>5491717</v>
      </c>
      <c r="F271" s="503">
        <f t="shared" si="27"/>
        <v>2.8991945208692686E-2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70439234</v>
      </c>
      <c r="D272" s="441">
        <f>LN_IIA2+LN_IIA9</f>
        <v>67588359</v>
      </c>
      <c r="E272" s="441">
        <f t="shared" si="26"/>
        <v>-2850875</v>
      </c>
      <c r="F272" s="503">
        <f t="shared" si="27"/>
        <v>-4.0472827969707907E-2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0.37186373818430246</v>
      </c>
      <c r="D273" s="453">
        <f>IF(LN_IIA11=0,0,LN_IIA12/LN_IIA11)</f>
        <v>0.34676011094356074</v>
      </c>
      <c r="E273" s="454">
        <f t="shared" si="26"/>
        <v>-2.5103627240741722E-2</v>
      </c>
      <c r="F273" s="458">
        <f t="shared" si="27"/>
        <v>-6.7507596635571668E-2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14756</v>
      </c>
      <c r="D274" s="508">
        <f>LN_IA8+LN_IB10+LN_IF11+LN_IG6</f>
        <v>13603</v>
      </c>
      <c r="E274" s="528">
        <f t="shared" si="26"/>
        <v>-1153</v>
      </c>
      <c r="F274" s="458">
        <f t="shared" si="27"/>
        <v>-7.8137706695581455E-2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66535739</v>
      </c>
      <c r="D277" s="448">
        <f>LN_IA1+LN_IF1+LN_IG1</f>
        <v>69941980</v>
      </c>
      <c r="E277" s="448">
        <f t="shared" ref="E277:E291" si="28">D277-C277</f>
        <v>3406241</v>
      </c>
      <c r="F277" s="503">
        <f t="shared" ref="F277:F291" si="29">IF(C277=0,0,E277/C277)</f>
        <v>5.1194155970823441E-2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22994969</v>
      </c>
      <c r="D278" s="448">
        <f>LN_IA2+LN_IF2+LN_IG2</f>
        <v>21865679</v>
      </c>
      <c r="E278" s="448">
        <f t="shared" si="28"/>
        <v>-1129290</v>
      </c>
      <c r="F278" s="503">
        <f t="shared" si="29"/>
        <v>-4.9110307563363098E-2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0.34560327044687966</v>
      </c>
      <c r="D279" s="453">
        <f>IF(D277=0,0,LN_IIB2/D277)</f>
        <v>0.3126259651213763</v>
      </c>
      <c r="E279" s="454">
        <f t="shared" si="28"/>
        <v>-3.2977305325503359E-2</v>
      </c>
      <c r="F279" s="458">
        <f t="shared" si="29"/>
        <v>-9.5419540685660484E-2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2340</v>
      </c>
      <c r="D280" s="456">
        <f>LN_IA4+LN_IF4+LN_IG3</f>
        <v>2280</v>
      </c>
      <c r="E280" s="456">
        <f t="shared" si="28"/>
        <v>-60</v>
      </c>
      <c r="F280" s="503">
        <f t="shared" si="29"/>
        <v>-2.564102564102564E-2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1.4089000256410256</v>
      </c>
      <c r="D281" s="525">
        <f>IF(LN_IIB4=0,0,LN_IIB6/LN_IIB4)</f>
        <v>1.4453142982456142</v>
      </c>
      <c r="E281" s="525">
        <f t="shared" si="28"/>
        <v>3.6414272604588627E-2</v>
      </c>
      <c r="F281" s="503">
        <f t="shared" si="29"/>
        <v>2.5845888240381535E-2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3296.8260599999999</v>
      </c>
      <c r="D282" s="463">
        <f>LN_IA6+LN_IF6+LN_IG5</f>
        <v>3295.3166000000001</v>
      </c>
      <c r="E282" s="463">
        <f t="shared" si="28"/>
        <v>-1.5094599999997627</v>
      </c>
      <c r="F282" s="503">
        <f t="shared" si="29"/>
        <v>-4.5785248373090171E-4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43682783</v>
      </c>
      <c r="D283" s="448">
        <f>LN_IA11+LN_IF14+LN_IG9</f>
        <v>46558333</v>
      </c>
      <c r="E283" s="448">
        <f t="shared" si="28"/>
        <v>2875550</v>
      </c>
      <c r="F283" s="503">
        <f t="shared" si="29"/>
        <v>6.5827994521319766E-2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0.65653111630728267</v>
      </c>
      <c r="D284" s="453">
        <f>IF(D277=0,0,LN_IIB7/D277)</f>
        <v>0.66567078884526865</v>
      </c>
      <c r="E284" s="454">
        <f t="shared" si="28"/>
        <v>9.1396725379859767E-3</v>
      </c>
      <c r="F284" s="458">
        <f t="shared" si="29"/>
        <v>1.3921156683925164E-2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11940530</v>
      </c>
      <c r="D285" s="448">
        <f>LN_IA12+LN_IF15+LN_IG10</f>
        <v>11623504</v>
      </c>
      <c r="E285" s="448">
        <f t="shared" si="28"/>
        <v>-317026</v>
      </c>
      <c r="F285" s="503">
        <f t="shared" si="29"/>
        <v>-2.6550412753872734E-2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0.27334636623312208</v>
      </c>
      <c r="D286" s="453">
        <f>IF(LN_IIB7=0,0,LN_IIB9/LN_IIB7)</f>
        <v>0.24965464291859418</v>
      </c>
      <c r="E286" s="454">
        <f t="shared" si="28"/>
        <v>-2.3691723314527902E-2</v>
      </c>
      <c r="F286" s="458">
        <f t="shared" si="29"/>
        <v>-8.6672903836309032E-2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110218522</v>
      </c>
      <c r="D287" s="441">
        <f>D277+LN_IIB7</f>
        <v>116500313</v>
      </c>
      <c r="E287" s="441">
        <f t="shared" si="28"/>
        <v>6281791</v>
      </c>
      <c r="F287" s="503">
        <f t="shared" si="29"/>
        <v>5.6993968763253786E-2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34935499</v>
      </c>
      <c r="D288" s="441">
        <f>LN_IIB2+LN_IIB9</f>
        <v>33489183</v>
      </c>
      <c r="E288" s="441">
        <f t="shared" si="28"/>
        <v>-1446316</v>
      </c>
      <c r="F288" s="503">
        <f t="shared" si="29"/>
        <v>-4.139960903377965E-2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0.316965772776376</v>
      </c>
      <c r="D289" s="453">
        <f>IF(LN_IIB11=0,0,LN_IIB12/LN_IIB11)</f>
        <v>0.28746002596576714</v>
      </c>
      <c r="E289" s="454">
        <f t="shared" si="28"/>
        <v>-2.9505746810608857E-2</v>
      </c>
      <c r="F289" s="458">
        <f t="shared" si="29"/>
        <v>-9.3088116587987546E-2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10459</v>
      </c>
      <c r="D290" s="508">
        <f>LN_IA8+LN_IF11+LN_IG6</f>
        <v>10146</v>
      </c>
      <c r="E290" s="528">
        <f t="shared" si="28"/>
        <v>-313</v>
      </c>
      <c r="F290" s="458">
        <f t="shared" si="29"/>
        <v>-2.9926379194951717E-2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75283023</v>
      </c>
      <c r="D291" s="516">
        <f>LN_IIB11-LN_IIB12</f>
        <v>83011130</v>
      </c>
      <c r="E291" s="441">
        <f t="shared" si="28"/>
        <v>7728107</v>
      </c>
      <c r="F291" s="503">
        <f t="shared" si="29"/>
        <v>0.10265404724781044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4.6314199395770395</v>
      </c>
      <c r="D294" s="466">
        <f>IF(LN_IA4=0,0,LN_IA8/LN_IA4)</f>
        <v>4.5758329189457978</v>
      </c>
      <c r="E294" s="466">
        <f t="shared" ref="E294:E300" si="30">D294-C294</f>
        <v>-5.5587020631241657E-2</v>
      </c>
      <c r="F294" s="503">
        <f t="shared" ref="F294:F300" si="31">IF(C294=0,0,E294/C294)</f>
        <v>-1.2002155139557069E-2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3.4653225806451613</v>
      </c>
      <c r="D295" s="466">
        <f>IF(LN_IB4=0,0,(LN_IB10)/(LN_IB4))</f>
        <v>3.2368913857677901</v>
      </c>
      <c r="E295" s="466">
        <f t="shared" si="30"/>
        <v>-0.22843119487737118</v>
      </c>
      <c r="F295" s="503">
        <f t="shared" si="31"/>
        <v>-6.5919171898519965E-2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</v>
      </c>
      <c r="D296" s="466">
        <f>IF(LN_IC4=0,0,LN_IC11/LN_IC4)</f>
        <v>3.5</v>
      </c>
      <c r="E296" s="466">
        <f t="shared" si="30"/>
        <v>-0.5</v>
      </c>
      <c r="F296" s="503">
        <f t="shared" si="31"/>
        <v>-0.125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3.5730659025787967</v>
      </c>
      <c r="D297" s="466">
        <f>IF(LN_ID4=0,0,LN_ID11/LN_ID4)</f>
        <v>3.5310077519379846</v>
      </c>
      <c r="E297" s="466">
        <f t="shared" si="30"/>
        <v>-4.2058150640812197E-2</v>
      </c>
      <c r="F297" s="503">
        <f t="shared" si="31"/>
        <v>-1.177088578479828E-2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2.5</v>
      </c>
      <c r="D298" s="466">
        <f>IF(LN_IE4=0,0,LN_IE11/LN_IE4)</f>
        <v>6</v>
      </c>
      <c r="E298" s="466">
        <f t="shared" si="30"/>
        <v>3.5</v>
      </c>
      <c r="F298" s="503">
        <f t="shared" si="31"/>
        <v>1.4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</v>
      </c>
      <c r="D299" s="466">
        <f>IF(LN_IG3=0,0,LN_IG6/LN_IG3)</f>
        <v>2.7</v>
      </c>
      <c r="E299" s="466">
        <f t="shared" si="30"/>
        <v>-0.29999999999999982</v>
      </c>
      <c r="F299" s="503">
        <f t="shared" si="31"/>
        <v>-9.9999999999999936E-2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4.1217877094972071</v>
      </c>
      <c r="D300" s="466">
        <f>IF(LN_IIA4=0,0,LN_IIA14/LN_IIA4)</f>
        <v>4.0630227001194745</v>
      </c>
      <c r="E300" s="466">
        <f t="shared" si="30"/>
        <v>-5.8765009377732547E-2</v>
      </c>
      <c r="F300" s="503">
        <f t="shared" si="31"/>
        <v>-1.4257165463017247E-2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189422164</v>
      </c>
      <c r="D304" s="441">
        <f>LN_IIA11</f>
        <v>194913881</v>
      </c>
      <c r="E304" s="441">
        <f t="shared" ref="E304:E316" si="32">D304-C304</f>
        <v>5491717</v>
      </c>
      <c r="F304" s="449">
        <f>IF(C304=0,0,E304/C304)</f>
        <v>2.8991945208692686E-2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75283023</v>
      </c>
      <c r="D305" s="441">
        <f>LN_IIB14</f>
        <v>83011130</v>
      </c>
      <c r="E305" s="441">
        <f t="shared" si="32"/>
        <v>7728107</v>
      </c>
      <c r="F305" s="449">
        <f>IF(C305=0,0,E305/C305)</f>
        <v>0.10265404724781044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7221447</v>
      </c>
      <c r="D306" s="441">
        <f>LN_IH6</f>
        <v>7100082</v>
      </c>
      <c r="E306" s="441">
        <f t="shared" si="32"/>
        <v>-121365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34368322</v>
      </c>
      <c r="D307" s="441">
        <f>LN_IB32-LN_IB33</f>
        <v>42980154</v>
      </c>
      <c r="E307" s="441">
        <f t="shared" si="32"/>
        <v>8611832</v>
      </c>
      <c r="F307" s="449">
        <f t="shared" ref="F307:F316" si="33">IF(C307=0,0,E307/C307)</f>
        <v>0.25057470073749893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1812087</v>
      </c>
      <c r="D308" s="441">
        <v>1640438</v>
      </c>
      <c r="E308" s="441">
        <f t="shared" si="32"/>
        <v>-171649</v>
      </c>
      <c r="F308" s="449">
        <f t="shared" si="33"/>
        <v>-9.47244806678708E-2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118684879</v>
      </c>
      <c r="D309" s="441">
        <f>LN_III2+LN_III3+LN_III4+LN_III5</f>
        <v>134731804</v>
      </c>
      <c r="E309" s="441">
        <f t="shared" si="32"/>
        <v>16046925</v>
      </c>
      <c r="F309" s="449">
        <f t="shared" si="33"/>
        <v>0.1352061453422386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70737285</v>
      </c>
      <c r="D310" s="441">
        <f>LN_III1-LN_III6</f>
        <v>60182077</v>
      </c>
      <c r="E310" s="441">
        <f t="shared" si="32"/>
        <v>-10555208</v>
      </c>
      <c r="F310" s="449">
        <f t="shared" si="33"/>
        <v>-0.14921703596625174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70737285</v>
      </c>
      <c r="D312" s="441">
        <f>LN_III7+LN_III8</f>
        <v>60182077</v>
      </c>
      <c r="E312" s="441">
        <f t="shared" si="32"/>
        <v>-10555208</v>
      </c>
      <c r="F312" s="449">
        <f t="shared" si="33"/>
        <v>-0.14921703596625174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0.37343721297577404</v>
      </c>
      <c r="D313" s="532">
        <f>IF(LN_III1=0,0,LN_III9/LN_III1)</f>
        <v>0.30876239645548897</v>
      </c>
      <c r="E313" s="532">
        <f t="shared" si="32"/>
        <v>-6.4674816520285061E-2</v>
      </c>
      <c r="F313" s="449">
        <f t="shared" si="33"/>
        <v>-0.17318792630471111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2696757.0413322644</v>
      </c>
      <c r="D314" s="441">
        <f>D313*LN_III5</f>
        <v>2192238.333350481</v>
      </c>
      <c r="E314" s="441">
        <f t="shared" si="32"/>
        <v>-504518.70798178343</v>
      </c>
      <c r="F314" s="449">
        <f t="shared" si="33"/>
        <v>-0.1870834859237222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2164806.5277142543</v>
      </c>
      <c r="D315" s="441">
        <f>D313*LN_IH8-LN_IH9</f>
        <v>984268.04260561056</v>
      </c>
      <c r="E315" s="441">
        <f t="shared" si="32"/>
        <v>-1180538.4851086438</v>
      </c>
      <c r="F315" s="449">
        <f t="shared" si="33"/>
        <v>-0.54533209780882097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4861563.5690465188</v>
      </c>
      <c r="D318" s="441">
        <f>D314+D315+D316</f>
        <v>3176506.3759560916</v>
      </c>
      <c r="E318" s="441">
        <f>D318-C318</f>
        <v>-1685057.1930904272</v>
      </c>
      <c r="F318" s="449">
        <f>IF(C318=0,0,E318/C318)</f>
        <v>-0.34660807560332108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3523971.4573617643</v>
      </c>
      <c r="D322" s="441">
        <f>LN_ID22</f>
        <v>1529290.6801641495</v>
      </c>
      <c r="E322" s="441">
        <f>LN_IV2-C322</f>
        <v>-1994680.7771976148</v>
      </c>
      <c r="F322" s="449">
        <f>IF(C322=0,0,E322/C322)</f>
        <v>-0.56603204689147535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90199.492632385052</v>
      </c>
      <c r="D323" s="441">
        <f>LN_IE10+LN_IE22</f>
        <v>17858.252345214245</v>
      </c>
      <c r="E323" s="441">
        <f>LN_IV3-C323</f>
        <v>-72341.240287170804</v>
      </c>
      <c r="F323" s="449">
        <f>IF(C323=0,0,E323/C323)</f>
        <v>-0.80201382708440583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1534003.2198382039</v>
      </c>
      <c r="D324" s="441">
        <f>LN_IC10+LN_IC22</f>
        <v>1796854.6065516619</v>
      </c>
      <c r="E324" s="441">
        <f>LN_IV1-C324</f>
        <v>262851.38671345799</v>
      </c>
      <c r="F324" s="449">
        <f>IF(C324=0,0,E324/C324)</f>
        <v>0.17134995762341473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5148174.1698323535</v>
      </c>
      <c r="D325" s="516">
        <f>LN_IV1+LN_IV2+LN_IV3</f>
        <v>3344003.5390610253</v>
      </c>
      <c r="E325" s="441">
        <f>LN_IV4-C325</f>
        <v>-1804170.6307713282</v>
      </c>
      <c r="F325" s="449">
        <f>IF(C325=0,0,E325/C325)</f>
        <v>-0.35044863892592037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3586807</v>
      </c>
      <c r="D329" s="518">
        <v>2775412</v>
      </c>
      <c r="E329" s="518">
        <f t="shared" ref="E329:E335" si="34">D329-C329</f>
        <v>-811395</v>
      </c>
      <c r="F329" s="542">
        <f t="shared" ref="F329:F335" si="35">IF(C329=0,0,E329/C329)</f>
        <v>-0.22621652071048148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14012479</v>
      </c>
      <c r="D330" s="516">
        <v>2314956</v>
      </c>
      <c r="E330" s="518">
        <f t="shared" si="34"/>
        <v>-11697523</v>
      </c>
      <c r="F330" s="543">
        <f t="shared" si="35"/>
        <v>-0.83479325820934325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84451715</v>
      </c>
      <c r="D331" s="516">
        <v>69903315</v>
      </c>
      <c r="E331" s="518">
        <f t="shared" si="34"/>
        <v>-14548400</v>
      </c>
      <c r="F331" s="542">
        <f t="shared" si="35"/>
        <v>-0.172268852089031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189422163</v>
      </c>
      <c r="D333" s="516">
        <v>194913879</v>
      </c>
      <c r="E333" s="518">
        <f t="shared" si="34"/>
        <v>5491716</v>
      </c>
      <c r="F333" s="542">
        <f t="shared" si="35"/>
        <v>2.899194008253406E-2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7221447</v>
      </c>
      <c r="D335" s="516">
        <v>7100082</v>
      </c>
      <c r="E335" s="516">
        <f t="shared" si="34"/>
        <v>-121365</v>
      </c>
      <c r="F335" s="542">
        <f t="shared" si="35"/>
        <v>-1.6806188565809593E-2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K33" sqref="K33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30011039</v>
      </c>
      <c r="D14" s="589">
        <v>28238434</v>
      </c>
      <c r="E14" s="590">
        <f t="shared" ref="E14:E22" si="0">D14-C14</f>
        <v>-1772605</v>
      </c>
    </row>
    <row r="15" spans="1:5" s="421" customFormat="1" x14ac:dyDescent="0.2">
      <c r="A15" s="588">
        <v>2</v>
      </c>
      <c r="B15" s="587" t="s">
        <v>636</v>
      </c>
      <c r="C15" s="589">
        <v>61030757</v>
      </c>
      <c r="D15" s="591">
        <v>64511512</v>
      </c>
      <c r="E15" s="590">
        <f t="shared" si="0"/>
        <v>3480755</v>
      </c>
    </row>
    <row r="16" spans="1:5" s="421" customFormat="1" x14ac:dyDescent="0.2">
      <c r="A16" s="588">
        <v>3</v>
      </c>
      <c r="B16" s="587" t="s">
        <v>778</v>
      </c>
      <c r="C16" s="589">
        <v>5477634</v>
      </c>
      <c r="D16" s="591">
        <v>5255694</v>
      </c>
      <c r="E16" s="590">
        <f t="shared" si="0"/>
        <v>-221940</v>
      </c>
    </row>
    <row r="17" spans="1:5" s="421" customFormat="1" x14ac:dyDescent="0.2">
      <c r="A17" s="588">
        <v>4</v>
      </c>
      <c r="B17" s="587" t="s">
        <v>115</v>
      </c>
      <c r="C17" s="589">
        <v>5450784</v>
      </c>
      <c r="D17" s="591">
        <v>5224360</v>
      </c>
      <c r="E17" s="590">
        <f t="shared" si="0"/>
        <v>-226424</v>
      </c>
    </row>
    <row r="18" spans="1:5" s="421" customFormat="1" x14ac:dyDescent="0.2">
      <c r="A18" s="588">
        <v>5</v>
      </c>
      <c r="B18" s="587" t="s">
        <v>744</v>
      </c>
      <c r="C18" s="589">
        <v>26850</v>
      </c>
      <c r="D18" s="591">
        <v>31334</v>
      </c>
      <c r="E18" s="590">
        <f t="shared" si="0"/>
        <v>4484</v>
      </c>
    </row>
    <row r="19" spans="1:5" s="421" customFormat="1" x14ac:dyDescent="0.2">
      <c r="A19" s="588">
        <v>6</v>
      </c>
      <c r="B19" s="587" t="s">
        <v>424</v>
      </c>
      <c r="C19" s="589">
        <v>27348</v>
      </c>
      <c r="D19" s="591">
        <v>174774</v>
      </c>
      <c r="E19" s="590">
        <f t="shared" si="0"/>
        <v>147426</v>
      </c>
    </row>
    <row r="20" spans="1:5" s="421" customFormat="1" x14ac:dyDescent="0.2">
      <c r="A20" s="588">
        <v>7</v>
      </c>
      <c r="B20" s="587" t="s">
        <v>759</v>
      </c>
      <c r="C20" s="589">
        <v>1735686</v>
      </c>
      <c r="D20" s="591">
        <v>1363537</v>
      </c>
      <c r="E20" s="590">
        <f t="shared" si="0"/>
        <v>-372149</v>
      </c>
    </row>
    <row r="21" spans="1:5" s="421" customFormat="1" x14ac:dyDescent="0.2">
      <c r="A21" s="588"/>
      <c r="B21" s="592" t="s">
        <v>779</v>
      </c>
      <c r="C21" s="593">
        <f>SUM(C15+C16+C19)</f>
        <v>66535739</v>
      </c>
      <c r="D21" s="593">
        <f>SUM(D15+D16+D19)</f>
        <v>69941980</v>
      </c>
      <c r="E21" s="593">
        <f t="shared" si="0"/>
        <v>3406241</v>
      </c>
    </row>
    <row r="22" spans="1:5" s="421" customFormat="1" x14ac:dyDescent="0.2">
      <c r="A22" s="588"/>
      <c r="B22" s="592" t="s">
        <v>465</v>
      </c>
      <c r="C22" s="593">
        <f>SUM(C14+C21)</f>
        <v>96546778</v>
      </c>
      <c r="D22" s="593">
        <f>SUM(D14+D21)</f>
        <v>98180414</v>
      </c>
      <c r="E22" s="593">
        <f t="shared" si="0"/>
        <v>1633636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49192603</v>
      </c>
      <c r="D25" s="589">
        <v>50175134</v>
      </c>
      <c r="E25" s="590">
        <f t="shared" ref="E25:E33" si="1">D25-C25</f>
        <v>982531</v>
      </c>
    </row>
    <row r="26" spans="1:5" s="421" customFormat="1" x14ac:dyDescent="0.2">
      <c r="A26" s="588">
        <v>2</v>
      </c>
      <c r="B26" s="587" t="s">
        <v>636</v>
      </c>
      <c r="C26" s="589">
        <v>29160897</v>
      </c>
      <c r="D26" s="591">
        <v>31444255</v>
      </c>
      <c r="E26" s="590">
        <f t="shared" si="1"/>
        <v>2283358</v>
      </c>
    </row>
    <row r="27" spans="1:5" s="421" customFormat="1" x14ac:dyDescent="0.2">
      <c r="A27" s="588">
        <v>3</v>
      </c>
      <c r="B27" s="587" t="s">
        <v>778</v>
      </c>
      <c r="C27" s="589">
        <v>14328310</v>
      </c>
      <c r="D27" s="591">
        <v>14882934</v>
      </c>
      <c r="E27" s="590">
        <f t="shared" si="1"/>
        <v>554624</v>
      </c>
    </row>
    <row r="28" spans="1:5" s="421" customFormat="1" x14ac:dyDescent="0.2">
      <c r="A28" s="588">
        <v>4</v>
      </c>
      <c r="B28" s="587" t="s">
        <v>115</v>
      </c>
      <c r="C28" s="589">
        <v>14131391</v>
      </c>
      <c r="D28" s="591">
        <v>14684173</v>
      </c>
      <c r="E28" s="590">
        <f t="shared" si="1"/>
        <v>552782</v>
      </c>
    </row>
    <row r="29" spans="1:5" s="421" customFormat="1" x14ac:dyDescent="0.2">
      <c r="A29" s="588">
        <v>5</v>
      </c>
      <c r="B29" s="587" t="s">
        <v>744</v>
      </c>
      <c r="C29" s="589">
        <v>196919</v>
      </c>
      <c r="D29" s="591">
        <v>198761</v>
      </c>
      <c r="E29" s="590">
        <f t="shared" si="1"/>
        <v>1842</v>
      </c>
    </row>
    <row r="30" spans="1:5" s="421" customFormat="1" x14ac:dyDescent="0.2">
      <c r="A30" s="588">
        <v>6</v>
      </c>
      <c r="B30" s="587" t="s">
        <v>424</v>
      </c>
      <c r="C30" s="589">
        <v>193576</v>
      </c>
      <c r="D30" s="591">
        <v>231144</v>
      </c>
      <c r="E30" s="590">
        <f t="shared" si="1"/>
        <v>37568</v>
      </c>
    </row>
    <row r="31" spans="1:5" s="421" customFormat="1" x14ac:dyDescent="0.2">
      <c r="A31" s="588">
        <v>7</v>
      </c>
      <c r="B31" s="587" t="s">
        <v>759</v>
      </c>
      <c r="C31" s="590">
        <v>3892808</v>
      </c>
      <c r="D31" s="594">
        <v>5507937</v>
      </c>
      <c r="E31" s="590">
        <f t="shared" si="1"/>
        <v>1615129</v>
      </c>
    </row>
    <row r="32" spans="1:5" s="421" customFormat="1" x14ac:dyDescent="0.2">
      <c r="A32" s="588"/>
      <c r="B32" s="592" t="s">
        <v>781</v>
      </c>
      <c r="C32" s="593">
        <f>SUM(C26+C27+C30)</f>
        <v>43682783</v>
      </c>
      <c r="D32" s="593">
        <f>SUM(D26+D27+D30)</f>
        <v>46558333</v>
      </c>
      <c r="E32" s="593">
        <f t="shared" si="1"/>
        <v>2875550</v>
      </c>
    </row>
    <row r="33" spans="1:5" s="421" customFormat="1" x14ac:dyDescent="0.2">
      <c r="A33" s="588"/>
      <c r="B33" s="592" t="s">
        <v>467</v>
      </c>
      <c r="C33" s="593">
        <f>SUM(C25+C32)</f>
        <v>92875386</v>
      </c>
      <c r="D33" s="593">
        <f>SUM(D25+D32)</f>
        <v>96733467</v>
      </c>
      <c r="E33" s="593">
        <f t="shared" si="1"/>
        <v>3858081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79203642</v>
      </c>
      <c r="D36" s="590">
        <f t="shared" si="2"/>
        <v>78413568</v>
      </c>
      <c r="E36" s="590">
        <f t="shared" ref="E36:E44" si="3">D36-C36</f>
        <v>-790074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90191654</v>
      </c>
      <c r="D37" s="590">
        <f t="shared" si="2"/>
        <v>95955767</v>
      </c>
      <c r="E37" s="590">
        <f t="shared" si="3"/>
        <v>5764113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19805944</v>
      </c>
      <c r="D38" s="590">
        <f t="shared" si="2"/>
        <v>20138628</v>
      </c>
      <c r="E38" s="590">
        <f t="shared" si="3"/>
        <v>332684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19582175</v>
      </c>
      <c r="D39" s="590">
        <f t="shared" si="2"/>
        <v>19908533</v>
      </c>
      <c r="E39" s="590">
        <f t="shared" si="3"/>
        <v>326358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223769</v>
      </c>
      <c r="D40" s="590">
        <f t="shared" si="2"/>
        <v>230095</v>
      </c>
      <c r="E40" s="590">
        <f t="shared" si="3"/>
        <v>6326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220924</v>
      </c>
      <c r="D41" s="590">
        <f t="shared" si="2"/>
        <v>405918</v>
      </c>
      <c r="E41" s="590">
        <f t="shared" si="3"/>
        <v>184994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5628494</v>
      </c>
      <c r="D42" s="590">
        <f t="shared" si="2"/>
        <v>6871474</v>
      </c>
      <c r="E42" s="590">
        <f t="shared" si="3"/>
        <v>1242980</v>
      </c>
    </row>
    <row r="43" spans="1:5" s="421" customFormat="1" x14ac:dyDescent="0.2">
      <c r="A43" s="588"/>
      <c r="B43" s="592" t="s">
        <v>789</v>
      </c>
      <c r="C43" s="593">
        <f>SUM(C37+C38+C41)</f>
        <v>110218522</v>
      </c>
      <c r="D43" s="593">
        <f>SUM(D37+D38+D41)</f>
        <v>116500313</v>
      </c>
      <c r="E43" s="593">
        <f t="shared" si="3"/>
        <v>6281791</v>
      </c>
    </row>
    <row r="44" spans="1:5" s="421" customFormat="1" x14ac:dyDescent="0.2">
      <c r="A44" s="588"/>
      <c r="B44" s="592" t="s">
        <v>726</v>
      </c>
      <c r="C44" s="593">
        <f>SUM(C36+C43)</f>
        <v>189422164</v>
      </c>
      <c r="D44" s="593">
        <f>SUM(D36+D43)</f>
        <v>194913881</v>
      </c>
      <c r="E44" s="593">
        <f t="shared" si="3"/>
        <v>5491717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12471918</v>
      </c>
      <c r="D47" s="589">
        <v>12445409</v>
      </c>
      <c r="E47" s="590">
        <f t="shared" ref="E47:E55" si="4">D47-C47</f>
        <v>-26509</v>
      </c>
    </row>
    <row r="48" spans="1:5" s="421" customFormat="1" x14ac:dyDescent="0.2">
      <c r="A48" s="588">
        <v>2</v>
      </c>
      <c r="B48" s="587" t="s">
        <v>636</v>
      </c>
      <c r="C48" s="589">
        <v>21772310</v>
      </c>
      <c r="D48" s="591">
        <v>20627247</v>
      </c>
      <c r="E48" s="590">
        <f t="shared" si="4"/>
        <v>-1145063</v>
      </c>
    </row>
    <row r="49" spans="1:5" s="421" customFormat="1" x14ac:dyDescent="0.2">
      <c r="A49" s="588">
        <v>3</v>
      </c>
      <c r="B49" s="587" t="s">
        <v>778</v>
      </c>
      <c r="C49" s="589">
        <v>1212981</v>
      </c>
      <c r="D49" s="591">
        <v>1174836</v>
      </c>
      <c r="E49" s="590">
        <f t="shared" si="4"/>
        <v>-38145</v>
      </c>
    </row>
    <row r="50" spans="1:5" s="421" customFormat="1" x14ac:dyDescent="0.2">
      <c r="A50" s="588">
        <v>4</v>
      </c>
      <c r="B50" s="587" t="s">
        <v>115</v>
      </c>
      <c r="C50" s="589">
        <v>1206486</v>
      </c>
      <c r="D50" s="591">
        <v>1168773</v>
      </c>
      <c r="E50" s="590">
        <f t="shared" si="4"/>
        <v>-37713</v>
      </c>
    </row>
    <row r="51" spans="1:5" s="421" customFormat="1" x14ac:dyDescent="0.2">
      <c r="A51" s="588">
        <v>5</v>
      </c>
      <c r="B51" s="587" t="s">
        <v>744</v>
      </c>
      <c r="C51" s="589">
        <v>6495</v>
      </c>
      <c r="D51" s="591">
        <v>6063</v>
      </c>
      <c r="E51" s="590">
        <f t="shared" si="4"/>
        <v>-432</v>
      </c>
    </row>
    <row r="52" spans="1:5" s="421" customFormat="1" x14ac:dyDescent="0.2">
      <c r="A52" s="588">
        <v>6</v>
      </c>
      <c r="B52" s="587" t="s">
        <v>424</v>
      </c>
      <c r="C52" s="589">
        <v>9678</v>
      </c>
      <c r="D52" s="591">
        <v>63596</v>
      </c>
      <c r="E52" s="590">
        <f t="shared" si="4"/>
        <v>53918</v>
      </c>
    </row>
    <row r="53" spans="1:5" s="421" customFormat="1" x14ac:dyDescent="0.2">
      <c r="A53" s="588">
        <v>7</v>
      </c>
      <c r="B53" s="587" t="s">
        <v>759</v>
      </c>
      <c r="C53" s="589">
        <v>77021</v>
      </c>
      <c r="D53" s="591">
        <v>14362</v>
      </c>
      <c r="E53" s="590">
        <f t="shared" si="4"/>
        <v>-62659</v>
      </c>
    </row>
    <row r="54" spans="1:5" s="421" customFormat="1" x14ac:dyDescent="0.2">
      <c r="A54" s="588"/>
      <c r="B54" s="592" t="s">
        <v>791</v>
      </c>
      <c r="C54" s="593">
        <f>SUM(C48+C49+C52)</f>
        <v>22994969</v>
      </c>
      <c r="D54" s="593">
        <f>SUM(D48+D49+D52)</f>
        <v>21865679</v>
      </c>
      <c r="E54" s="593">
        <f t="shared" si="4"/>
        <v>-1129290</v>
      </c>
    </row>
    <row r="55" spans="1:5" s="421" customFormat="1" x14ac:dyDescent="0.2">
      <c r="A55" s="588"/>
      <c r="B55" s="592" t="s">
        <v>466</v>
      </c>
      <c r="C55" s="593">
        <f>SUM(C47+C54)</f>
        <v>35466887</v>
      </c>
      <c r="D55" s="593">
        <f>SUM(D47+D54)</f>
        <v>34311088</v>
      </c>
      <c r="E55" s="593">
        <f t="shared" si="4"/>
        <v>-1155799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23031817</v>
      </c>
      <c r="D58" s="589">
        <v>21653767</v>
      </c>
      <c r="E58" s="590">
        <f t="shared" ref="E58:E66" si="5">D58-C58</f>
        <v>-1378050</v>
      </c>
    </row>
    <row r="59" spans="1:5" s="421" customFormat="1" x14ac:dyDescent="0.2">
      <c r="A59" s="588">
        <v>2</v>
      </c>
      <c r="B59" s="587" t="s">
        <v>636</v>
      </c>
      <c r="C59" s="589">
        <v>7860506</v>
      </c>
      <c r="D59" s="591">
        <v>7503025</v>
      </c>
      <c r="E59" s="590">
        <f t="shared" si="5"/>
        <v>-357481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4018489</v>
      </c>
      <c r="D60" s="591">
        <f>D61+D62</f>
        <v>4058947</v>
      </c>
      <c r="E60" s="590">
        <f t="shared" si="5"/>
        <v>40458</v>
      </c>
    </row>
    <row r="61" spans="1:5" s="421" customFormat="1" x14ac:dyDescent="0.2">
      <c r="A61" s="588">
        <v>4</v>
      </c>
      <c r="B61" s="587" t="s">
        <v>115</v>
      </c>
      <c r="C61" s="589">
        <v>3971009</v>
      </c>
      <c r="D61" s="591">
        <v>4021519</v>
      </c>
      <c r="E61" s="590">
        <f t="shared" si="5"/>
        <v>50510</v>
      </c>
    </row>
    <row r="62" spans="1:5" s="421" customFormat="1" x14ac:dyDescent="0.2">
      <c r="A62" s="588">
        <v>5</v>
      </c>
      <c r="B62" s="587" t="s">
        <v>744</v>
      </c>
      <c r="C62" s="589">
        <v>47480</v>
      </c>
      <c r="D62" s="591">
        <v>37428</v>
      </c>
      <c r="E62" s="590">
        <f t="shared" si="5"/>
        <v>-10052</v>
      </c>
    </row>
    <row r="63" spans="1:5" s="421" customFormat="1" x14ac:dyDescent="0.2">
      <c r="A63" s="588">
        <v>6</v>
      </c>
      <c r="B63" s="587" t="s">
        <v>424</v>
      </c>
      <c r="C63" s="589">
        <v>61535</v>
      </c>
      <c r="D63" s="591">
        <v>61532</v>
      </c>
      <c r="E63" s="590">
        <f t="shared" si="5"/>
        <v>-3</v>
      </c>
    </row>
    <row r="64" spans="1:5" s="421" customFormat="1" x14ac:dyDescent="0.2">
      <c r="A64" s="588">
        <v>7</v>
      </c>
      <c r="B64" s="587" t="s">
        <v>759</v>
      </c>
      <c r="C64" s="589">
        <v>172743</v>
      </c>
      <c r="D64" s="591">
        <v>63231</v>
      </c>
      <c r="E64" s="590">
        <f t="shared" si="5"/>
        <v>-109512</v>
      </c>
    </row>
    <row r="65" spans="1:5" s="421" customFormat="1" x14ac:dyDescent="0.2">
      <c r="A65" s="588"/>
      <c r="B65" s="592" t="s">
        <v>793</v>
      </c>
      <c r="C65" s="593">
        <f>SUM(C59+C60+C63)</f>
        <v>11940530</v>
      </c>
      <c r="D65" s="593">
        <f>SUM(D59+D60+D63)</f>
        <v>11623504</v>
      </c>
      <c r="E65" s="593">
        <f t="shared" si="5"/>
        <v>-317026</v>
      </c>
    </row>
    <row r="66" spans="1:5" s="421" customFormat="1" x14ac:dyDescent="0.2">
      <c r="A66" s="588"/>
      <c r="B66" s="592" t="s">
        <v>468</v>
      </c>
      <c r="C66" s="593">
        <f>SUM(C58+C65)</f>
        <v>34972347</v>
      </c>
      <c r="D66" s="593">
        <f>SUM(D58+D65)</f>
        <v>33277271</v>
      </c>
      <c r="E66" s="593">
        <f t="shared" si="5"/>
        <v>-1695076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35503735</v>
      </c>
      <c r="D69" s="590">
        <f t="shared" si="6"/>
        <v>34099176</v>
      </c>
      <c r="E69" s="590">
        <f t="shared" ref="E69:E77" si="7">D69-C69</f>
        <v>-1404559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29632816</v>
      </c>
      <c r="D70" s="590">
        <f t="shared" si="6"/>
        <v>28130272</v>
      </c>
      <c r="E70" s="590">
        <f t="shared" si="7"/>
        <v>-1502544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5231470</v>
      </c>
      <c r="D71" s="590">
        <f t="shared" si="6"/>
        <v>5233783</v>
      </c>
      <c r="E71" s="590">
        <f t="shared" si="7"/>
        <v>2313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5177495</v>
      </c>
      <c r="D72" s="590">
        <f t="shared" si="6"/>
        <v>5190292</v>
      </c>
      <c r="E72" s="590">
        <f t="shared" si="7"/>
        <v>12797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53975</v>
      </c>
      <c r="D73" s="590">
        <f t="shared" si="6"/>
        <v>43491</v>
      </c>
      <c r="E73" s="590">
        <f t="shared" si="7"/>
        <v>-10484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71213</v>
      </c>
      <c r="D74" s="590">
        <f t="shared" si="6"/>
        <v>125128</v>
      </c>
      <c r="E74" s="590">
        <f t="shared" si="7"/>
        <v>53915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249764</v>
      </c>
      <c r="D75" s="590">
        <f t="shared" si="6"/>
        <v>77593</v>
      </c>
      <c r="E75" s="590">
        <f t="shared" si="7"/>
        <v>-172171</v>
      </c>
    </row>
    <row r="76" spans="1:5" s="421" customFormat="1" x14ac:dyDescent="0.2">
      <c r="A76" s="588"/>
      <c r="B76" s="592" t="s">
        <v>794</v>
      </c>
      <c r="C76" s="593">
        <f>SUM(C70+C71+C74)</f>
        <v>34935499</v>
      </c>
      <c r="D76" s="593">
        <f>SUM(D70+D71+D74)</f>
        <v>33489183</v>
      </c>
      <c r="E76" s="593">
        <f t="shared" si="7"/>
        <v>-1446316</v>
      </c>
    </row>
    <row r="77" spans="1:5" s="421" customFormat="1" x14ac:dyDescent="0.2">
      <c r="A77" s="588"/>
      <c r="B77" s="592" t="s">
        <v>727</v>
      </c>
      <c r="C77" s="593">
        <f>SUM(C69+C76)</f>
        <v>70439234</v>
      </c>
      <c r="D77" s="593">
        <f>SUM(D69+D76)</f>
        <v>67588359</v>
      </c>
      <c r="E77" s="593">
        <f t="shared" si="7"/>
        <v>-2850875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0.15843467504679126</v>
      </c>
      <c r="D83" s="599">
        <f t="shared" si="8"/>
        <v>0.14487646469878665</v>
      </c>
      <c r="E83" s="599">
        <f t="shared" ref="E83:E91" si="9">D83-C83</f>
        <v>-1.3558210348004612E-2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0.3221943816458564</v>
      </c>
      <c r="D84" s="599">
        <f t="shared" si="8"/>
        <v>0.33097443685911726</v>
      </c>
      <c r="E84" s="599">
        <f t="shared" si="9"/>
        <v>8.7800552132608622E-3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2.8917598048346656E-2</v>
      </c>
      <c r="D85" s="599">
        <f t="shared" si="8"/>
        <v>2.6964185275239583E-2</v>
      </c>
      <c r="E85" s="599">
        <f t="shared" si="9"/>
        <v>-1.953412773107073E-3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2.8775851172305265E-2</v>
      </c>
      <c r="D86" s="599">
        <f t="shared" si="8"/>
        <v>2.6803427099171044E-2</v>
      </c>
      <c r="E86" s="599">
        <f t="shared" si="9"/>
        <v>-1.9724240731342213E-3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1.4174687604139082E-4</v>
      </c>
      <c r="D87" s="599">
        <f t="shared" si="8"/>
        <v>1.6075817606853767E-4</v>
      </c>
      <c r="E87" s="599">
        <f t="shared" si="9"/>
        <v>1.9011300027146856E-5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1.4437592424506354E-4</v>
      </c>
      <c r="D88" s="599">
        <f t="shared" si="8"/>
        <v>8.9667292602931654E-4</v>
      </c>
      <c r="E88" s="599">
        <f t="shared" si="9"/>
        <v>7.5229700178425295E-4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9.163056547068062E-3</v>
      </c>
      <c r="D89" s="599">
        <f t="shared" si="8"/>
        <v>6.9955869382129846E-3</v>
      </c>
      <c r="E89" s="599">
        <f t="shared" si="9"/>
        <v>-2.1674696088550775E-3</v>
      </c>
    </row>
    <row r="90" spans="1:5" s="421" customFormat="1" x14ac:dyDescent="0.2">
      <c r="A90" s="588"/>
      <c r="B90" s="592" t="s">
        <v>797</v>
      </c>
      <c r="C90" s="600">
        <f>SUM(C84+C85+C88)</f>
        <v>0.35125635561844809</v>
      </c>
      <c r="D90" s="600">
        <f>SUM(D84+D85+D88)</f>
        <v>0.35883529506038614</v>
      </c>
      <c r="E90" s="601">
        <f t="shared" si="9"/>
        <v>7.5789394419380485E-3</v>
      </c>
    </row>
    <row r="91" spans="1:5" s="421" customFormat="1" x14ac:dyDescent="0.2">
      <c r="A91" s="588"/>
      <c r="B91" s="592" t="s">
        <v>798</v>
      </c>
      <c r="C91" s="600">
        <f>SUM(C83+C90)</f>
        <v>0.50969103066523935</v>
      </c>
      <c r="D91" s="600">
        <f>SUM(D83+D90)</f>
        <v>0.50371175975917282</v>
      </c>
      <c r="E91" s="601">
        <f t="shared" si="9"/>
        <v>-5.9792709060665361E-3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0.25969824207055303</v>
      </c>
      <c r="D95" s="599">
        <f t="shared" si="10"/>
        <v>0.25742206631245518</v>
      </c>
      <c r="E95" s="599">
        <f t="shared" ref="E95:E103" si="11">D95-C95</f>
        <v>-2.2761757580978537E-3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0.15394659412717934</v>
      </c>
      <c r="D96" s="599">
        <f t="shared" si="10"/>
        <v>0.16132383614074156</v>
      </c>
      <c r="E96" s="599">
        <f t="shared" si="11"/>
        <v>7.377242013562213E-3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7.5642204150935574E-2</v>
      </c>
      <c r="D97" s="599">
        <f t="shared" si="10"/>
        <v>7.6356460215370708E-2</v>
      </c>
      <c r="E97" s="599">
        <f t="shared" si="11"/>
        <v>7.1425606443513423E-4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7.4602626754913429E-2</v>
      </c>
      <c r="D98" s="599">
        <f t="shared" si="10"/>
        <v>7.5336722683183352E-2</v>
      </c>
      <c r="E98" s="599">
        <f t="shared" si="11"/>
        <v>7.3409592826992331E-4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1.0395773960221466E-3</v>
      </c>
      <c r="D99" s="599">
        <f t="shared" si="10"/>
        <v>1.0197375321873562E-3</v>
      </c>
      <c r="E99" s="599">
        <f t="shared" si="11"/>
        <v>-1.9839863834790385E-5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1.0219289860926729E-3</v>
      </c>
      <c r="D100" s="599">
        <f t="shared" si="10"/>
        <v>1.1858775722597202E-3</v>
      </c>
      <c r="E100" s="599">
        <f t="shared" si="11"/>
        <v>1.6394858616704732E-4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2.0550963613740574E-2</v>
      </c>
      <c r="D101" s="599">
        <f t="shared" si="10"/>
        <v>2.8258310653616302E-2</v>
      </c>
      <c r="E101" s="599">
        <f t="shared" si="11"/>
        <v>7.7073470398757275E-3</v>
      </c>
    </row>
    <row r="102" spans="1:5" s="421" customFormat="1" x14ac:dyDescent="0.2">
      <c r="A102" s="588"/>
      <c r="B102" s="592" t="s">
        <v>800</v>
      </c>
      <c r="C102" s="600">
        <f>SUM(C96+C97+C100)</f>
        <v>0.23061072726420759</v>
      </c>
      <c r="D102" s="600">
        <f>SUM(D96+D97+D100)</f>
        <v>0.23886617392837198</v>
      </c>
      <c r="E102" s="601">
        <f t="shared" si="11"/>
        <v>8.2554466641643898E-3</v>
      </c>
    </row>
    <row r="103" spans="1:5" s="421" customFormat="1" x14ac:dyDescent="0.2">
      <c r="A103" s="588"/>
      <c r="B103" s="592" t="s">
        <v>801</v>
      </c>
      <c r="C103" s="600">
        <f>SUM(C95+C102)</f>
        <v>0.49030896933476065</v>
      </c>
      <c r="D103" s="600">
        <f>SUM(D95+D102)</f>
        <v>0.49628824024082718</v>
      </c>
      <c r="E103" s="601">
        <f t="shared" si="11"/>
        <v>5.9792709060665361E-3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0.17705925081468091</v>
      </c>
      <c r="D109" s="599">
        <f t="shared" si="12"/>
        <v>0.18413539230919929</v>
      </c>
      <c r="E109" s="599">
        <f t="shared" ref="E109:E117" si="13">D109-C109</f>
        <v>7.0761414945183787E-3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0.30909350888171216</v>
      </c>
      <c r="D110" s="599">
        <f t="shared" si="12"/>
        <v>0.30518934481010257</v>
      </c>
      <c r="E110" s="599">
        <f t="shared" si="13"/>
        <v>-3.9041640716095949E-3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1.7220246886841501E-2</v>
      </c>
      <c r="D111" s="599">
        <f t="shared" si="12"/>
        <v>1.7382224060211317E-2</v>
      </c>
      <c r="E111" s="599">
        <f t="shared" si="13"/>
        <v>1.6197717336981568E-4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1.712803975125567E-2</v>
      </c>
      <c r="D112" s="599">
        <f t="shared" si="12"/>
        <v>1.7292519263561349E-2</v>
      </c>
      <c r="E112" s="599">
        <f t="shared" si="13"/>
        <v>1.6447951230567914E-4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9.220713558582991E-5</v>
      </c>
      <c r="D113" s="599">
        <f t="shared" si="12"/>
        <v>8.9704796649967491E-5</v>
      </c>
      <c r="E113" s="599">
        <f t="shared" si="13"/>
        <v>-2.5023389358624194E-6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1.3739502050803107E-4</v>
      </c>
      <c r="D114" s="599">
        <f t="shared" si="12"/>
        <v>9.4093126303007298E-4</v>
      </c>
      <c r="E114" s="599">
        <f t="shared" si="13"/>
        <v>8.0353624252204193E-4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1.0934389207014944E-3</v>
      </c>
      <c r="D115" s="599">
        <f t="shared" si="12"/>
        <v>2.1249221334105774E-4</v>
      </c>
      <c r="E115" s="599">
        <f t="shared" si="13"/>
        <v>-8.8094670736043668E-4</v>
      </c>
    </row>
    <row r="116" spans="1:5" s="421" customFormat="1" x14ac:dyDescent="0.2">
      <c r="A116" s="588"/>
      <c r="B116" s="592" t="s">
        <v>797</v>
      </c>
      <c r="C116" s="600">
        <f>SUM(C110+C111+C114)</f>
        <v>0.32645115078906167</v>
      </c>
      <c r="D116" s="600">
        <f>SUM(D110+D111+D114)</f>
        <v>0.32351250013334398</v>
      </c>
      <c r="E116" s="601">
        <f t="shared" si="13"/>
        <v>-2.9386506557176895E-3</v>
      </c>
    </row>
    <row r="117" spans="1:5" s="421" customFormat="1" x14ac:dyDescent="0.2">
      <c r="A117" s="588"/>
      <c r="B117" s="592" t="s">
        <v>798</v>
      </c>
      <c r="C117" s="600">
        <f>SUM(C109+C116)</f>
        <v>0.50351040160374261</v>
      </c>
      <c r="D117" s="600">
        <f>SUM(D109+D116)</f>
        <v>0.50764789244254327</v>
      </c>
      <c r="E117" s="601">
        <f t="shared" si="13"/>
        <v>4.1374908388006615E-3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0.32697426834596183</v>
      </c>
      <c r="D121" s="599">
        <f t="shared" si="14"/>
        <v>0.32037716731663807</v>
      </c>
      <c r="E121" s="599">
        <f t="shared" ref="E121:E129" si="15">D121-C121</f>
        <v>-6.5971010293237597E-3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0.11159272402082056</v>
      </c>
      <c r="D122" s="599">
        <f t="shared" si="14"/>
        <v>0.11101061056978762</v>
      </c>
      <c r="E122" s="599">
        <f t="shared" si="15"/>
        <v>-5.8211345103294232E-4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5.7049016177546735E-2</v>
      </c>
      <c r="D123" s="599">
        <f t="shared" si="14"/>
        <v>6.0053936211115884E-2</v>
      </c>
      <c r="E123" s="599">
        <f t="shared" si="15"/>
        <v>3.0049200335691487E-3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5.6374960011632155E-2</v>
      </c>
      <c r="D124" s="599">
        <f t="shared" si="14"/>
        <v>5.9500172211608214E-2</v>
      </c>
      <c r="E124" s="599">
        <f t="shared" si="15"/>
        <v>3.1252121999760588E-3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6.7405616591458104E-4</v>
      </c>
      <c r="D125" s="599">
        <f t="shared" si="14"/>
        <v>5.5376399950766671E-4</v>
      </c>
      <c r="E125" s="599">
        <f t="shared" si="15"/>
        <v>-1.2029216640691432E-4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8.7358985192825919E-4</v>
      </c>
      <c r="D126" s="599">
        <f t="shared" si="14"/>
        <v>9.1039345991519047E-4</v>
      </c>
      <c r="E126" s="599">
        <f t="shared" si="15"/>
        <v>3.6803607986931274E-5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2.452369087375368E-3</v>
      </c>
      <c r="D127" s="599">
        <f t="shared" si="14"/>
        <v>9.3553092478543536E-4</v>
      </c>
      <c r="E127" s="599">
        <f t="shared" si="15"/>
        <v>-1.5168381625899328E-3</v>
      </c>
    </row>
    <row r="128" spans="1:5" s="421" customFormat="1" x14ac:dyDescent="0.2">
      <c r="A128" s="588"/>
      <c r="B128" s="592" t="s">
        <v>800</v>
      </c>
      <c r="C128" s="600">
        <f>SUM(C122+C123+C126)</f>
        <v>0.16951533005029557</v>
      </c>
      <c r="D128" s="600">
        <f>SUM(D122+D123+D126)</f>
        <v>0.17197494024081869</v>
      </c>
      <c r="E128" s="601">
        <f t="shared" si="15"/>
        <v>2.459610190523126E-3</v>
      </c>
    </row>
    <row r="129" spans="1:5" s="421" customFormat="1" x14ac:dyDescent="0.2">
      <c r="A129" s="588"/>
      <c r="B129" s="592" t="s">
        <v>801</v>
      </c>
      <c r="C129" s="600">
        <f>SUM(C121+C128)</f>
        <v>0.49648959839625739</v>
      </c>
      <c r="D129" s="600">
        <f>SUM(D121+D128)</f>
        <v>0.49235210755745673</v>
      </c>
      <c r="E129" s="601">
        <f t="shared" si="15"/>
        <v>-4.1374908388006615E-3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1240</v>
      </c>
      <c r="D137" s="606">
        <v>1068</v>
      </c>
      <c r="E137" s="607">
        <f t="shared" ref="E137:E145" si="16">D137-C137</f>
        <v>-172</v>
      </c>
    </row>
    <row r="138" spans="1:5" s="421" customFormat="1" x14ac:dyDescent="0.2">
      <c r="A138" s="588">
        <v>2</v>
      </c>
      <c r="B138" s="587" t="s">
        <v>636</v>
      </c>
      <c r="C138" s="606">
        <v>1986</v>
      </c>
      <c r="D138" s="606">
        <v>2011</v>
      </c>
      <c r="E138" s="607">
        <f t="shared" si="16"/>
        <v>25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351</v>
      </c>
      <c r="D139" s="606">
        <f>D140+D141</f>
        <v>259</v>
      </c>
      <c r="E139" s="607">
        <f t="shared" si="16"/>
        <v>-92</v>
      </c>
    </row>
    <row r="140" spans="1:5" s="421" customFormat="1" x14ac:dyDescent="0.2">
      <c r="A140" s="588">
        <v>4</v>
      </c>
      <c r="B140" s="587" t="s">
        <v>115</v>
      </c>
      <c r="C140" s="606">
        <v>349</v>
      </c>
      <c r="D140" s="606">
        <v>258</v>
      </c>
      <c r="E140" s="607">
        <f t="shared" si="16"/>
        <v>-91</v>
      </c>
    </row>
    <row r="141" spans="1:5" s="421" customFormat="1" x14ac:dyDescent="0.2">
      <c r="A141" s="588">
        <v>5</v>
      </c>
      <c r="B141" s="587" t="s">
        <v>744</v>
      </c>
      <c r="C141" s="606">
        <v>2</v>
      </c>
      <c r="D141" s="606">
        <v>1</v>
      </c>
      <c r="E141" s="607">
        <f t="shared" si="16"/>
        <v>-1</v>
      </c>
    </row>
    <row r="142" spans="1:5" s="421" customFormat="1" x14ac:dyDescent="0.2">
      <c r="A142" s="588">
        <v>6</v>
      </c>
      <c r="B142" s="587" t="s">
        <v>424</v>
      </c>
      <c r="C142" s="606">
        <v>3</v>
      </c>
      <c r="D142" s="606">
        <v>10</v>
      </c>
      <c r="E142" s="607">
        <f t="shared" si="16"/>
        <v>7</v>
      </c>
    </row>
    <row r="143" spans="1:5" s="421" customFormat="1" x14ac:dyDescent="0.2">
      <c r="A143" s="588">
        <v>7</v>
      </c>
      <c r="B143" s="587" t="s">
        <v>759</v>
      </c>
      <c r="C143" s="606">
        <v>63</v>
      </c>
      <c r="D143" s="606">
        <v>50</v>
      </c>
      <c r="E143" s="607">
        <f t="shared" si="16"/>
        <v>-13</v>
      </c>
    </row>
    <row r="144" spans="1:5" s="421" customFormat="1" x14ac:dyDescent="0.2">
      <c r="A144" s="588"/>
      <c r="B144" s="592" t="s">
        <v>808</v>
      </c>
      <c r="C144" s="608">
        <f>SUM(C138+C139+C142)</f>
        <v>2340</v>
      </c>
      <c r="D144" s="608">
        <f>SUM(D138+D139+D142)</f>
        <v>2280</v>
      </c>
      <c r="E144" s="609">
        <f t="shared" si="16"/>
        <v>-60</v>
      </c>
    </row>
    <row r="145" spans="1:5" s="421" customFormat="1" x14ac:dyDescent="0.2">
      <c r="A145" s="588"/>
      <c r="B145" s="592" t="s">
        <v>138</v>
      </c>
      <c r="C145" s="608">
        <f>SUM(C137+C144)</f>
        <v>3580</v>
      </c>
      <c r="D145" s="608">
        <f>SUM(D137+D144)</f>
        <v>3348</v>
      </c>
      <c r="E145" s="609">
        <f t="shared" si="16"/>
        <v>-232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4297</v>
      </c>
      <c r="D149" s="610">
        <v>3457</v>
      </c>
      <c r="E149" s="607">
        <f t="shared" ref="E149:E157" si="17">D149-C149</f>
        <v>-840</v>
      </c>
    </row>
    <row r="150" spans="1:5" s="421" customFormat="1" x14ac:dyDescent="0.2">
      <c r="A150" s="588">
        <v>2</v>
      </c>
      <c r="B150" s="587" t="s">
        <v>636</v>
      </c>
      <c r="C150" s="610">
        <v>9198</v>
      </c>
      <c r="D150" s="610">
        <v>9202</v>
      </c>
      <c r="E150" s="607">
        <f t="shared" si="17"/>
        <v>4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1252</v>
      </c>
      <c r="D151" s="610">
        <f>D152+D153</f>
        <v>917</v>
      </c>
      <c r="E151" s="607">
        <f t="shared" si="17"/>
        <v>-335</v>
      </c>
    </row>
    <row r="152" spans="1:5" s="421" customFormat="1" x14ac:dyDescent="0.2">
      <c r="A152" s="588">
        <v>4</v>
      </c>
      <c r="B152" s="587" t="s">
        <v>115</v>
      </c>
      <c r="C152" s="610">
        <v>1247</v>
      </c>
      <c r="D152" s="610">
        <v>911</v>
      </c>
      <c r="E152" s="607">
        <f t="shared" si="17"/>
        <v>-336</v>
      </c>
    </row>
    <row r="153" spans="1:5" s="421" customFormat="1" x14ac:dyDescent="0.2">
      <c r="A153" s="588">
        <v>5</v>
      </c>
      <c r="B153" s="587" t="s">
        <v>744</v>
      </c>
      <c r="C153" s="611">
        <v>5</v>
      </c>
      <c r="D153" s="610">
        <v>6</v>
      </c>
      <c r="E153" s="607">
        <f t="shared" si="17"/>
        <v>1</v>
      </c>
    </row>
    <row r="154" spans="1:5" s="421" customFormat="1" x14ac:dyDescent="0.2">
      <c r="A154" s="588">
        <v>6</v>
      </c>
      <c r="B154" s="587" t="s">
        <v>424</v>
      </c>
      <c r="C154" s="610">
        <v>9</v>
      </c>
      <c r="D154" s="610">
        <v>27</v>
      </c>
      <c r="E154" s="607">
        <f t="shared" si="17"/>
        <v>18</v>
      </c>
    </row>
    <row r="155" spans="1:5" s="421" customFormat="1" x14ac:dyDescent="0.2">
      <c r="A155" s="588">
        <v>7</v>
      </c>
      <c r="B155" s="587" t="s">
        <v>759</v>
      </c>
      <c r="C155" s="610">
        <v>252</v>
      </c>
      <c r="D155" s="610">
        <v>175</v>
      </c>
      <c r="E155" s="607">
        <f t="shared" si="17"/>
        <v>-77</v>
      </c>
    </row>
    <row r="156" spans="1:5" s="421" customFormat="1" x14ac:dyDescent="0.2">
      <c r="A156" s="588"/>
      <c r="B156" s="592" t="s">
        <v>809</v>
      </c>
      <c r="C156" s="608">
        <f>SUM(C150+C151+C154)</f>
        <v>10459</v>
      </c>
      <c r="D156" s="608">
        <f>SUM(D150+D151+D154)</f>
        <v>10146</v>
      </c>
      <c r="E156" s="609">
        <f t="shared" si="17"/>
        <v>-313</v>
      </c>
    </row>
    <row r="157" spans="1:5" s="421" customFormat="1" x14ac:dyDescent="0.2">
      <c r="A157" s="588"/>
      <c r="B157" s="592" t="s">
        <v>140</v>
      </c>
      <c r="C157" s="608">
        <f>SUM(C149+C156)</f>
        <v>14756</v>
      </c>
      <c r="D157" s="608">
        <f>SUM(D149+D156)</f>
        <v>13603</v>
      </c>
      <c r="E157" s="609">
        <f t="shared" si="17"/>
        <v>-1153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3.4653225806451613</v>
      </c>
      <c r="D161" s="612">
        <f t="shared" si="18"/>
        <v>3.2368913857677901</v>
      </c>
      <c r="E161" s="613">
        <f t="shared" ref="E161:E169" si="19">D161-C161</f>
        <v>-0.22843119487737118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4.6314199395770395</v>
      </c>
      <c r="D162" s="612">
        <f t="shared" si="18"/>
        <v>4.5758329189457978</v>
      </c>
      <c r="E162" s="613">
        <f t="shared" si="19"/>
        <v>-5.5587020631241657E-2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3.566951566951567</v>
      </c>
      <c r="D163" s="612">
        <f t="shared" si="18"/>
        <v>3.5405405405405403</v>
      </c>
      <c r="E163" s="613">
        <f t="shared" si="19"/>
        <v>-2.6411026411026661E-2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3.5730659025787967</v>
      </c>
      <c r="D164" s="612">
        <f t="shared" si="18"/>
        <v>3.5310077519379846</v>
      </c>
      <c r="E164" s="613">
        <f t="shared" si="19"/>
        <v>-4.2058150640812197E-2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2.5</v>
      </c>
      <c r="D165" s="612">
        <f t="shared" si="18"/>
        <v>6</v>
      </c>
      <c r="E165" s="613">
        <f t="shared" si="19"/>
        <v>3.5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</v>
      </c>
      <c r="D166" s="612">
        <f t="shared" si="18"/>
        <v>2.7</v>
      </c>
      <c r="E166" s="613">
        <f t="shared" si="19"/>
        <v>-0.29999999999999982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</v>
      </c>
      <c r="D167" s="612">
        <f t="shared" si="18"/>
        <v>3.5</v>
      </c>
      <c r="E167" s="613">
        <f t="shared" si="19"/>
        <v>-0.5</v>
      </c>
    </row>
    <row r="168" spans="1:5" s="421" customFormat="1" x14ac:dyDescent="0.2">
      <c r="A168" s="588"/>
      <c r="B168" s="592" t="s">
        <v>811</v>
      </c>
      <c r="C168" s="614">
        <f t="shared" si="18"/>
        <v>4.4696581196581198</v>
      </c>
      <c r="D168" s="614">
        <f t="shared" si="18"/>
        <v>4.45</v>
      </c>
      <c r="E168" s="615">
        <f t="shared" si="19"/>
        <v>-1.9658119658119588E-2</v>
      </c>
    </row>
    <row r="169" spans="1:5" s="421" customFormat="1" x14ac:dyDescent="0.2">
      <c r="A169" s="588"/>
      <c r="B169" s="592" t="s">
        <v>745</v>
      </c>
      <c r="C169" s="614">
        <f t="shared" si="18"/>
        <v>4.1217877094972071</v>
      </c>
      <c r="D169" s="614">
        <f t="shared" si="18"/>
        <v>4.0630227001194745</v>
      </c>
      <c r="E169" s="615">
        <f t="shared" si="19"/>
        <v>-5.8765009377732547E-2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1.3326</v>
      </c>
      <c r="D173" s="617">
        <f t="shared" si="20"/>
        <v>1.3443000000000001</v>
      </c>
      <c r="E173" s="618">
        <f t="shared" ref="E173:E181" si="21">D173-C173</f>
        <v>1.1700000000000044E-2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1.4881899999999999</v>
      </c>
      <c r="D174" s="617">
        <f t="shared" si="20"/>
        <v>1.4765999999999999</v>
      </c>
      <c r="E174" s="618">
        <f t="shared" si="21"/>
        <v>-1.1589999999999989E-2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0.96735418803418816</v>
      </c>
      <c r="D175" s="617">
        <f t="shared" si="20"/>
        <v>1.2093513513513512</v>
      </c>
      <c r="E175" s="618">
        <f t="shared" si="21"/>
        <v>0.24199716331716303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0.96408000000000005</v>
      </c>
      <c r="D176" s="617">
        <f t="shared" si="20"/>
        <v>1.2069000000000001</v>
      </c>
      <c r="E176" s="618">
        <f t="shared" si="21"/>
        <v>0.24282000000000004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1.5387</v>
      </c>
      <c r="D177" s="617">
        <f t="shared" si="20"/>
        <v>1.8418000000000001</v>
      </c>
      <c r="E177" s="618">
        <f t="shared" si="21"/>
        <v>0.30310000000000015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0.57979999999999998</v>
      </c>
      <c r="D178" s="617">
        <f t="shared" si="20"/>
        <v>1.2652000000000001</v>
      </c>
      <c r="E178" s="618">
        <f t="shared" si="21"/>
        <v>0.68540000000000012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1.3215399999999999</v>
      </c>
      <c r="D179" s="617">
        <f t="shared" si="20"/>
        <v>0.94562000000000002</v>
      </c>
      <c r="E179" s="618">
        <f t="shared" si="21"/>
        <v>-0.37591999999999992</v>
      </c>
    </row>
    <row r="180" spans="1:5" s="421" customFormat="1" x14ac:dyDescent="0.2">
      <c r="A180" s="588"/>
      <c r="B180" s="592" t="s">
        <v>813</v>
      </c>
      <c r="C180" s="619">
        <f t="shared" si="20"/>
        <v>1.4089000256410256</v>
      </c>
      <c r="D180" s="619">
        <f t="shared" si="20"/>
        <v>1.4453142982456142</v>
      </c>
      <c r="E180" s="620">
        <f t="shared" si="21"/>
        <v>3.6414272604588627E-2</v>
      </c>
    </row>
    <row r="181" spans="1:5" s="421" customFormat="1" x14ac:dyDescent="0.2">
      <c r="A181" s="588"/>
      <c r="B181" s="592" t="s">
        <v>724</v>
      </c>
      <c r="C181" s="619">
        <f t="shared" si="20"/>
        <v>1.3824720837988829</v>
      </c>
      <c r="D181" s="619">
        <f t="shared" si="20"/>
        <v>1.41309109916368</v>
      </c>
      <c r="E181" s="620">
        <f t="shared" si="21"/>
        <v>3.0619015364797164E-2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69988341</v>
      </c>
      <c r="D185" s="589">
        <v>68766683</v>
      </c>
      <c r="E185" s="590">
        <f>D185-C185</f>
        <v>-1221658</v>
      </c>
    </row>
    <row r="186" spans="1:5" s="421" customFormat="1" ht="25.5" x14ac:dyDescent="0.2">
      <c r="A186" s="588">
        <v>2</v>
      </c>
      <c r="B186" s="587" t="s">
        <v>816</v>
      </c>
      <c r="C186" s="589">
        <v>35620019</v>
      </c>
      <c r="D186" s="589">
        <v>25786529</v>
      </c>
      <c r="E186" s="590">
        <f>D186-C186</f>
        <v>-9833490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34368322</v>
      </c>
      <c r="D188" s="622">
        <f>+D185-D186</f>
        <v>42980154</v>
      </c>
      <c r="E188" s="590">
        <f t="shared" ref="E188:E197" si="22">D188-C188</f>
        <v>8611832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0.49105781775853208</v>
      </c>
      <c r="D189" s="623">
        <f>IF(D185=0,0,+D188/D185)</f>
        <v>0.62501420927922324</v>
      </c>
      <c r="E189" s="599">
        <f t="shared" si="22"/>
        <v>0.13395639152069116</v>
      </c>
    </row>
    <row r="190" spans="1:5" s="421" customFormat="1" x14ac:dyDescent="0.2">
      <c r="A190" s="588">
        <v>5</v>
      </c>
      <c r="B190" s="587" t="s">
        <v>763</v>
      </c>
      <c r="C190" s="589">
        <v>3586807</v>
      </c>
      <c r="D190" s="589">
        <v>2775412</v>
      </c>
      <c r="E190" s="622">
        <f t="shared" si="22"/>
        <v>-811395</v>
      </c>
    </row>
    <row r="191" spans="1:5" s="421" customFormat="1" x14ac:dyDescent="0.2">
      <c r="A191" s="588">
        <v>6</v>
      </c>
      <c r="B191" s="587" t="s">
        <v>749</v>
      </c>
      <c r="C191" s="589">
        <v>1812087</v>
      </c>
      <c r="D191" s="589">
        <v>1640438</v>
      </c>
      <c r="E191" s="622">
        <f t="shared" si="22"/>
        <v>-171649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192533</v>
      </c>
      <c r="D193" s="589">
        <v>643601</v>
      </c>
      <c r="E193" s="622">
        <f t="shared" si="22"/>
        <v>451068</v>
      </c>
    </row>
    <row r="194" spans="1:5" s="421" customFormat="1" x14ac:dyDescent="0.2">
      <c r="A194" s="588">
        <v>9</v>
      </c>
      <c r="B194" s="587" t="s">
        <v>819</v>
      </c>
      <c r="C194" s="589">
        <v>7028914</v>
      </c>
      <c r="D194" s="589">
        <v>6456481</v>
      </c>
      <c r="E194" s="622">
        <f t="shared" si="22"/>
        <v>-572433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7221447</v>
      </c>
      <c r="D195" s="589">
        <f>+D193+D194</f>
        <v>7100082</v>
      </c>
      <c r="E195" s="625">
        <f t="shared" si="22"/>
        <v>-121365</v>
      </c>
    </row>
    <row r="196" spans="1:5" s="421" customFormat="1" x14ac:dyDescent="0.2">
      <c r="A196" s="588">
        <v>11</v>
      </c>
      <c r="B196" s="587" t="s">
        <v>821</v>
      </c>
      <c r="C196" s="589">
        <v>2505143</v>
      </c>
      <c r="D196" s="589">
        <v>1449445</v>
      </c>
      <c r="E196" s="622">
        <f t="shared" si="22"/>
        <v>-1055698</v>
      </c>
    </row>
    <row r="197" spans="1:5" s="421" customFormat="1" x14ac:dyDescent="0.2">
      <c r="A197" s="588">
        <v>12</v>
      </c>
      <c r="B197" s="587" t="s">
        <v>711</v>
      </c>
      <c r="C197" s="589">
        <v>90685854</v>
      </c>
      <c r="D197" s="589">
        <v>80117246</v>
      </c>
      <c r="E197" s="622">
        <f t="shared" si="22"/>
        <v>-10568608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1652.424</v>
      </c>
      <c r="D203" s="629">
        <v>1435.7124000000001</v>
      </c>
      <c r="E203" s="630">
        <f t="shared" ref="E203:E211" si="23">D203-C203</f>
        <v>-216.71159999999986</v>
      </c>
    </row>
    <row r="204" spans="1:5" s="421" customFormat="1" x14ac:dyDescent="0.2">
      <c r="A204" s="588">
        <v>2</v>
      </c>
      <c r="B204" s="587" t="s">
        <v>636</v>
      </c>
      <c r="C204" s="629">
        <v>2955.5453399999997</v>
      </c>
      <c r="D204" s="629">
        <v>2969.4425999999999</v>
      </c>
      <c r="E204" s="630">
        <f t="shared" si="23"/>
        <v>13.897260000000188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339.54132000000004</v>
      </c>
      <c r="D205" s="629">
        <f>D206+D207</f>
        <v>313.22199999999998</v>
      </c>
      <c r="E205" s="630">
        <f t="shared" si="23"/>
        <v>-26.319320000000062</v>
      </c>
    </row>
    <row r="206" spans="1:5" s="421" customFormat="1" x14ac:dyDescent="0.2">
      <c r="A206" s="588">
        <v>4</v>
      </c>
      <c r="B206" s="587" t="s">
        <v>115</v>
      </c>
      <c r="C206" s="629">
        <v>336.46392000000003</v>
      </c>
      <c r="D206" s="629">
        <v>311.3802</v>
      </c>
      <c r="E206" s="630">
        <f t="shared" si="23"/>
        <v>-25.083720000000028</v>
      </c>
    </row>
    <row r="207" spans="1:5" s="421" customFormat="1" x14ac:dyDescent="0.2">
      <c r="A207" s="588">
        <v>5</v>
      </c>
      <c r="B207" s="587" t="s">
        <v>744</v>
      </c>
      <c r="C207" s="629">
        <v>3.0773999999999999</v>
      </c>
      <c r="D207" s="629">
        <v>1.8418000000000001</v>
      </c>
      <c r="E207" s="630">
        <f t="shared" si="23"/>
        <v>-1.2355999999999998</v>
      </c>
    </row>
    <row r="208" spans="1:5" s="421" customFormat="1" x14ac:dyDescent="0.2">
      <c r="A208" s="588">
        <v>6</v>
      </c>
      <c r="B208" s="587" t="s">
        <v>424</v>
      </c>
      <c r="C208" s="629">
        <v>1.7393999999999998</v>
      </c>
      <c r="D208" s="629">
        <v>12.652000000000001</v>
      </c>
      <c r="E208" s="630">
        <f t="shared" si="23"/>
        <v>10.912600000000001</v>
      </c>
    </row>
    <row r="209" spans="1:5" s="421" customFormat="1" x14ac:dyDescent="0.2">
      <c r="A209" s="588">
        <v>7</v>
      </c>
      <c r="B209" s="587" t="s">
        <v>759</v>
      </c>
      <c r="C209" s="629">
        <v>83.257019999999997</v>
      </c>
      <c r="D209" s="629">
        <v>47.280999999999999</v>
      </c>
      <c r="E209" s="630">
        <f t="shared" si="23"/>
        <v>-35.976019999999998</v>
      </c>
    </row>
    <row r="210" spans="1:5" s="421" customFormat="1" x14ac:dyDescent="0.2">
      <c r="A210" s="588"/>
      <c r="B210" s="592" t="s">
        <v>824</v>
      </c>
      <c r="C210" s="631">
        <f>C204+C205+C208</f>
        <v>3296.8260599999999</v>
      </c>
      <c r="D210" s="631">
        <f>D204+D205+D208</f>
        <v>3295.3166000000001</v>
      </c>
      <c r="E210" s="632">
        <f t="shared" si="23"/>
        <v>-1.5094599999997627</v>
      </c>
    </row>
    <row r="211" spans="1:5" s="421" customFormat="1" x14ac:dyDescent="0.2">
      <c r="A211" s="588"/>
      <c r="B211" s="592" t="s">
        <v>725</v>
      </c>
      <c r="C211" s="631">
        <f>C210+C203</f>
        <v>4949.2500600000003</v>
      </c>
      <c r="D211" s="631">
        <f>D210+D203</f>
        <v>4731.0290000000005</v>
      </c>
      <c r="E211" s="632">
        <f t="shared" si="23"/>
        <v>-218.22105999999985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2032.5463480288035</v>
      </c>
      <c r="D215" s="633">
        <f>IF(D14*D137=0,0,D25/D14*D137)</f>
        <v>1897.6634154712688</v>
      </c>
      <c r="E215" s="633">
        <f t="shared" ref="E215:E223" si="24">D215-C215</f>
        <v>-134.88293255753479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948.92385886676777</v>
      </c>
      <c r="D216" s="633">
        <f>IF(D15*D138=0,0,D26/D15*D138)</f>
        <v>980.2032977463</v>
      </c>
      <c r="E216" s="633">
        <f t="shared" si="24"/>
        <v>31.279438879532222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919.46553107427735</v>
      </c>
      <c r="D217" s="633">
        <f>D218+D219</f>
        <v>731.50707897052359</v>
      </c>
      <c r="E217" s="633">
        <f t="shared" si="24"/>
        <v>-187.95845210375376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904.79744913759203</v>
      </c>
      <c r="D218" s="633">
        <f t="shared" si="25"/>
        <v>725.1637777641663</v>
      </c>
      <c r="E218" s="633">
        <f t="shared" si="24"/>
        <v>-179.63367137342573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14.668081936685288</v>
      </c>
      <c r="D219" s="633">
        <f t="shared" si="25"/>
        <v>6.343301206357312</v>
      </c>
      <c r="E219" s="633">
        <f t="shared" si="24"/>
        <v>-8.3247807303279764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21.234752084247479</v>
      </c>
      <c r="D220" s="633">
        <f t="shared" si="25"/>
        <v>13.225308112190602</v>
      </c>
      <c r="E220" s="633">
        <f t="shared" si="24"/>
        <v>-8.0094439720568769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141.29681520735892</v>
      </c>
      <c r="D221" s="633">
        <f t="shared" si="25"/>
        <v>201.9724070560608</v>
      </c>
      <c r="E221" s="633">
        <f t="shared" si="24"/>
        <v>60.675591848701885</v>
      </c>
    </row>
    <row r="222" spans="1:5" s="421" customFormat="1" x14ac:dyDescent="0.2">
      <c r="A222" s="588"/>
      <c r="B222" s="592" t="s">
        <v>826</v>
      </c>
      <c r="C222" s="634">
        <f>C216+C218+C219+C220</f>
        <v>1889.6241420252925</v>
      </c>
      <c r="D222" s="634">
        <f>D216+D218+D219+D220</f>
        <v>1724.9356848290142</v>
      </c>
      <c r="E222" s="634">
        <f t="shared" si="24"/>
        <v>-164.68845719627825</v>
      </c>
    </row>
    <row r="223" spans="1:5" s="421" customFormat="1" x14ac:dyDescent="0.2">
      <c r="A223" s="588"/>
      <c r="B223" s="592" t="s">
        <v>827</v>
      </c>
      <c r="C223" s="634">
        <f>C215+C222</f>
        <v>3922.1704900540963</v>
      </c>
      <c r="D223" s="634">
        <f>D215+D222</f>
        <v>3622.5991003002828</v>
      </c>
      <c r="E223" s="634">
        <f t="shared" si="24"/>
        <v>-299.57138975381349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7547.6499978213824</v>
      </c>
      <c r="D227" s="636">
        <f t="shared" si="26"/>
        <v>8668.4554650360333</v>
      </c>
      <c r="E227" s="636">
        <f t="shared" ref="E227:E235" si="27">D227-C227</f>
        <v>1120.8054672146509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7366.5965144693073</v>
      </c>
      <c r="D228" s="636">
        <f t="shared" si="26"/>
        <v>6946.5047076511937</v>
      </c>
      <c r="E228" s="636">
        <f t="shared" si="27"/>
        <v>-420.09180681811358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3572.4105684692508</v>
      </c>
      <c r="D229" s="636">
        <f t="shared" si="26"/>
        <v>3750.8093301236827</v>
      </c>
      <c r="E229" s="636">
        <f t="shared" si="27"/>
        <v>178.39876165443184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3585.7812035239913</v>
      </c>
      <c r="D230" s="636">
        <f t="shared" si="26"/>
        <v>3753.523827141225</v>
      </c>
      <c r="E230" s="636">
        <f t="shared" si="27"/>
        <v>167.74262361723368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2110.5478650809127</v>
      </c>
      <c r="D231" s="636">
        <f t="shared" si="26"/>
        <v>3291.8883700727547</v>
      </c>
      <c r="E231" s="636">
        <f t="shared" si="27"/>
        <v>1181.340504991842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5563.9875819248018</v>
      </c>
      <c r="D232" s="636">
        <f t="shared" si="26"/>
        <v>5026.5570660765088</v>
      </c>
      <c r="E232" s="636">
        <f t="shared" si="27"/>
        <v>-537.430515848293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925.09916881483389</v>
      </c>
      <c r="D233" s="636">
        <f t="shared" si="26"/>
        <v>303.7583807449081</v>
      </c>
      <c r="E233" s="636">
        <f t="shared" si="27"/>
        <v>-621.34078806992579</v>
      </c>
    </row>
    <row r="234" spans="1:5" x14ac:dyDescent="0.2">
      <c r="A234" s="588"/>
      <c r="B234" s="592" t="s">
        <v>829</v>
      </c>
      <c r="C234" s="637">
        <f t="shared" si="26"/>
        <v>6974.8808646580528</v>
      </c>
      <c r="D234" s="637">
        <f t="shared" si="26"/>
        <v>6635.3803455485886</v>
      </c>
      <c r="E234" s="637">
        <f t="shared" si="27"/>
        <v>-339.50051910946422</v>
      </c>
    </row>
    <row r="235" spans="1:5" s="421" customFormat="1" x14ac:dyDescent="0.2">
      <c r="A235" s="588"/>
      <c r="B235" s="592" t="s">
        <v>830</v>
      </c>
      <c r="C235" s="637">
        <f t="shared" si="26"/>
        <v>7166.1133646579174</v>
      </c>
      <c r="D235" s="637">
        <f t="shared" si="26"/>
        <v>7252.3520781631223</v>
      </c>
      <c r="E235" s="637">
        <f t="shared" si="27"/>
        <v>86.238713505204942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11331.508884083569</v>
      </c>
      <c r="D239" s="636">
        <f t="shared" si="28"/>
        <v>11410.752203715994</v>
      </c>
      <c r="E239" s="638">
        <f t="shared" ref="E239:E247" si="29">D239-C239</f>
        <v>79.243319632425482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8283.6003400602058</v>
      </c>
      <c r="D240" s="636">
        <f t="shared" si="28"/>
        <v>7654.5600461160275</v>
      </c>
      <c r="E240" s="638">
        <f t="shared" si="29"/>
        <v>-629.0402939441783</v>
      </c>
    </row>
    <row r="241" spans="1:5" x14ac:dyDescent="0.2">
      <c r="A241" s="588">
        <v>3</v>
      </c>
      <c r="B241" s="587" t="s">
        <v>778</v>
      </c>
      <c r="C241" s="636">
        <f t="shared" si="28"/>
        <v>4370.461821776953</v>
      </c>
      <c r="D241" s="636">
        <f t="shared" si="28"/>
        <v>5548.7460295152623</v>
      </c>
      <c r="E241" s="638">
        <f t="shared" si="29"/>
        <v>1178.2842077383093</v>
      </c>
    </row>
    <row r="242" spans="1:5" x14ac:dyDescent="0.2">
      <c r="A242" s="588">
        <v>4</v>
      </c>
      <c r="B242" s="587" t="s">
        <v>115</v>
      </c>
      <c r="C242" s="636">
        <f t="shared" si="28"/>
        <v>4388.8375279848196</v>
      </c>
      <c r="D242" s="636">
        <f t="shared" si="28"/>
        <v>5545.6699897493445</v>
      </c>
      <c r="E242" s="638">
        <f t="shared" si="29"/>
        <v>1156.8324617645249</v>
      </c>
    </row>
    <row r="243" spans="1:5" x14ac:dyDescent="0.2">
      <c r="A243" s="588">
        <v>5</v>
      </c>
      <c r="B243" s="587" t="s">
        <v>744</v>
      </c>
      <c r="C243" s="636">
        <f t="shared" si="28"/>
        <v>3236.9603745702548</v>
      </c>
      <c r="D243" s="636">
        <f t="shared" si="28"/>
        <v>5900.3977238995576</v>
      </c>
      <c r="E243" s="638">
        <f t="shared" si="29"/>
        <v>2663.4373493293028</v>
      </c>
    </row>
    <row r="244" spans="1:5" x14ac:dyDescent="0.2">
      <c r="A244" s="588">
        <v>6</v>
      </c>
      <c r="B244" s="587" t="s">
        <v>424</v>
      </c>
      <c r="C244" s="636">
        <f t="shared" si="28"/>
        <v>2897.8440509154025</v>
      </c>
      <c r="D244" s="636">
        <f t="shared" si="28"/>
        <v>4652.5948188142456</v>
      </c>
      <c r="E244" s="638">
        <f t="shared" si="29"/>
        <v>1754.7507678988432</v>
      </c>
    </row>
    <row r="245" spans="1:5" x14ac:dyDescent="0.2">
      <c r="A245" s="588">
        <v>7</v>
      </c>
      <c r="B245" s="587" t="s">
        <v>759</v>
      </c>
      <c r="C245" s="636">
        <f t="shared" si="28"/>
        <v>1222.5540947012323</v>
      </c>
      <c r="D245" s="636">
        <f t="shared" si="28"/>
        <v>313.06751710123046</v>
      </c>
      <c r="E245" s="638">
        <f t="shared" si="29"/>
        <v>-909.48657760000185</v>
      </c>
    </row>
    <row r="246" spans="1:5" ht="25.5" x14ac:dyDescent="0.2">
      <c r="A246" s="588"/>
      <c r="B246" s="592" t="s">
        <v>832</v>
      </c>
      <c r="C246" s="637">
        <f t="shared" si="28"/>
        <v>6318.9973786015362</v>
      </c>
      <c r="D246" s="637">
        <f t="shared" si="28"/>
        <v>6738.5144282363144</v>
      </c>
      <c r="E246" s="639">
        <f t="shared" si="29"/>
        <v>419.51704963477823</v>
      </c>
    </row>
    <row r="247" spans="1:5" x14ac:dyDescent="0.2">
      <c r="A247" s="588"/>
      <c r="B247" s="592" t="s">
        <v>833</v>
      </c>
      <c r="C247" s="637">
        <f t="shared" si="28"/>
        <v>8916.5800132053027</v>
      </c>
      <c r="D247" s="637">
        <f t="shared" si="28"/>
        <v>9186.0208868382906</v>
      </c>
      <c r="E247" s="639">
        <f t="shared" si="29"/>
        <v>269.44087363298786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3523971.4573617643</v>
      </c>
      <c r="D251" s="622">
        <f>((IF((IF(D15=0,0,D26/D15)*D138)=0,0,D59/(IF(D15=0,0,D26/D15)*D138)))-(IF((IF(D17=0,0,D28/D17)*D140)=0,0,D61/(IF(D17=0,0,D28/D17)*D140))))*(IF(D17=0,0,D28/D17)*D140)</f>
        <v>1529290.6801641495</v>
      </c>
      <c r="E251" s="622">
        <f>D251-C251</f>
        <v>-1994680.7771976148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90199.492632385052</v>
      </c>
      <c r="D252" s="622">
        <f>IF(D231=0,0,(D228-D231)*D207)+IF(D243=0,0,(D240-D243)*D219)</f>
        <v>17858.252345214245</v>
      </c>
      <c r="E252" s="622">
        <f>D252-C252</f>
        <v>-72341.240287170804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1534003.2198382039</v>
      </c>
      <c r="D253" s="622">
        <f>IF(D233=0,0,(D228-D233)*D209+IF(D221=0,0,(D240-D245)*D221))</f>
        <v>1796854.6065516619</v>
      </c>
      <c r="E253" s="622">
        <f>D253-C253</f>
        <v>262851.38671345799</v>
      </c>
    </row>
    <row r="254" spans="1:5" ht="15" customHeight="1" x14ac:dyDescent="0.2">
      <c r="A254" s="588"/>
      <c r="B254" s="592" t="s">
        <v>760</v>
      </c>
      <c r="C254" s="640">
        <f>+C251+C252+C253</f>
        <v>5148174.1698323525</v>
      </c>
      <c r="D254" s="640">
        <f>+D251+D252+D253</f>
        <v>3344003.5390610257</v>
      </c>
      <c r="E254" s="640">
        <f>D254-C254</f>
        <v>-1804170.6307713268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189422164</v>
      </c>
      <c r="D258" s="625">
        <f>+D44</f>
        <v>194913881</v>
      </c>
      <c r="E258" s="622">
        <f t="shared" ref="E258:E271" si="30">D258-C258</f>
        <v>5491717</v>
      </c>
    </row>
    <row r="259" spans="1:5" x14ac:dyDescent="0.2">
      <c r="A259" s="588">
        <v>2</v>
      </c>
      <c r="B259" s="587" t="s">
        <v>743</v>
      </c>
      <c r="C259" s="622">
        <f>+(C43-C76)</f>
        <v>75283023</v>
      </c>
      <c r="D259" s="625">
        <f>+(D43-D76)</f>
        <v>83011130</v>
      </c>
      <c r="E259" s="622">
        <f t="shared" si="30"/>
        <v>7728107</v>
      </c>
    </row>
    <row r="260" spans="1:5" x14ac:dyDescent="0.2">
      <c r="A260" s="588">
        <v>3</v>
      </c>
      <c r="B260" s="587" t="s">
        <v>747</v>
      </c>
      <c r="C260" s="622">
        <f>C195</f>
        <v>7221447</v>
      </c>
      <c r="D260" s="622">
        <f>D195</f>
        <v>7100082</v>
      </c>
      <c r="E260" s="622">
        <f t="shared" si="30"/>
        <v>-121365</v>
      </c>
    </row>
    <row r="261" spans="1:5" x14ac:dyDescent="0.2">
      <c r="A261" s="588">
        <v>4</v>
      </c>
      <c r="B261" s="587" t="s">
        <v>748</v>
      </c>
      <c r="C261" s="622">
        <f>C188</f>
        <v>34368322</v>
      </c>
      <c r="D261" s="622">
        <f>D188</f>
        <v>42980154</v>
      </c>
      <c r="E261" s="622">
        <f t="shared" si="30"/>
        <v>8611832</v>
      </c>
    </row>
    <row r="262" spans="1:5" x14ac:dyDescent="0.2">
      <c r="A262" s="588">
        <v>5</v>
      </c>
      <c r="B262" s="587" t="s">
        <v>749</v>
      </c>
      <c r="C262" s="622">
        <f>C191</f>
        <v>1812087</v>
      </c>
      <c r="D262" s="622">
        <f>D191</f>
        <v>1640438</v>
      </c>
      <c r="E262" s="622">
        <f t="shared" si="30"/>
        <v>-171649</v>
      </c>
    </row>
    <row r="263" spans="1:5" x14ac:dyDescent="0.2">
      <c r="A263" s="588">
        <v>6</v>
      </c>
      <c r="B263" s="587" t="s">
        <v>750</v>
      </c>
      <c r="C263" s="622">
        <f>+C259+C260+C261+C262</f>
        <v>118684879</v>
      </c>
      <c r="D263" s="622">
        <f>+D259+D260+D261+D262</f>
        <v>134731804</v>
      </c>
      <c r="E263" s="622">
        <f t="shared" si="30"/>
        <v>16046925</v>
      </c>
    </row>
    <row r="264" spans="1:5" x14ac:dyDescent="0.2">
      <c r="A264" s="588">
        <v>7</v>
      </c>
      <c r="B264" s="587" t="s">
        <v>655</v>
      </c>
      <c r="C264" s="622">
        <f>+C258-C263</f>
        <v>70737285</v>
      </c>
      <c r="D264" s="622">
        <f>+D258-D263</f>
        <v>60182077</v>
      </c>
      <c r="E264" s="622">
        <f t="shared" si="30"/>
        <v>-10555208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70737285</v>
      </c>
      <c r="D266" s="622">
        <f>+D264+D265</f>
        <v>60182077</v>
      </c>
      <c r="E266" s="641">
        <f t="shared" si="30"/>
        <v>-10555208</v>
      </c>
    </row>
    <row r="267" spans="1:5" x14ac:dyDescent="0.2">
      <c r="A267" s="588">
        <v>10</v>
      </c>
      <c r="B267" s="587" t="s">
        <v>838</v>
      </c>
      <c r="C267" s="642">
        <f>IF(C258=0,0,C266/C258)</f>
        <v>0.37343721297577404</v>
      </c>
      <c r="D267" s="642">
        <f>IF(D258=0,0,D266/D258)</f>
        <v>0.30876239645548897</v>
      </c>
      <c r="E267" s="643">
        <f t="shared" si="30"/>
        <v>-6.4674816520285061E-2</v>
      </c>
    </row>
    <row r="268" spans="1:5" x14ac:dyDescent="0.2">
      <c r="A268" s="588">
        <v>11</v>
      </c>
      <c r="B268" s="587" t="s">
        <v>717</v>
      </c>
      <c r="C268" s="622">
        <f>+C260*C267</f>
        <v>2696757.0413322644</v>
      </c>
      <c r="D268" s="644">
        <f>+D260*D267</f>
        <v>2192238.333350481</v>
      </c>
      <c r="E268" s="622">
        <f t="shared" si="30"/>
        <v>-504518.70798178343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2164806.5277142543</v>
      </c>
      <c r="D269" s="644">
        <f>((D17+D18+D28+D29)*D267)-(D50+D51+D61+D62)</f>
        <v>984268.04260561056</v>
      </c>
      <c r="E269" s="622">
        <f t="shared" si="30"/>
        <v>-1180538.4851086438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4861563.5690465188</v>
      </c>
      <c r="D271" s="622">
        <f>+D268+D269+D270</f>
        <v>3176506.3759560916</v>
      </c>
      <c r="E271" s="625">
        <f t="shared" si="30"/>
        <v>-1685057.1930904272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0.41557768126588351</v>
      </c>
      <c r="D276" s="623">
        <f t="shared" si="31"/>
        <v>0.44072589152783753</v>
      </c>
      <c r="E276" s="650">
        <f t="shared" ref="E276:E284" si="32">D276-C276</f>
        <v>2.5148210261954018E-2</v>
      </c>
    </row>
    <row r="277" spans="1:5" x14ac:dyDescent="0.2">
      <c r="A277" s="588">
        <v>2</v>
      </c>
      <c r="B277" s="587" t="s">
        <v>636</v>
      </c>
      <c r="C277" s="623">
        <f t="shared" si="31"/>
        <v>0.35674324013382303</v>
      </c>
      <c r="D277" s="623">
        <f t="shared" si="31"/>
        <v>0.31974521074626183</v>
      </c>
      <c r="E277" s="650">
        <f t="shared" si="32"/>
        <v>-3.6998029387561193E-2</v>
      </c>
    </row>
    <row r="278" spans="1:5" x14ac:dyDescent="0.2">
      <c r="A278" s="588">
        <v>3</v>
      </c>
      <c r="B278" s="587" t="s">
        <v>778</v>
      </c>
      <c r="C278" s="623">
        <f t="shared" si="31"/>
        <v>0.22144250601628368</v>
      </c>
      <c r="D278" s="623">
        <f t="shared" si="31"/>
        <v>0.2235358451234033</v>
      </c>
      <c r="E278" s="650">
        <f t="shared" si="32"/>
        <v>2.0933391071196183E-3</v>
      </c>
    </row>
    <row r="279" spans="1:5" x14ac:dyDescent="0.2">
      <c r="A279" s="588">
        <v>4</v>
      </c>
      <c r="B279" s="587" t="s">
        <v>115</v>
      </c>
      <c r="C279" s="623">
        <f t="shared" si="31"/>
        <v>0.22134173726201589</v>
      </c>
      <c r="D279" s="623">
        <f t="shared" si="31"/>
        <v>0.22371601497599705</v>
      </c>
      <c r="E279" s="650">
        <f t="shared" si="32"/>
        <v>2.3742777139811599E-3</v>
      </c>
    </row>
    <row r="280" spans="1:5" x14ac:dyDescent="0.2">
      <c r="A280" s="588">
        <v>5</v>
      </c>
      <c r="B280" s="587" t="s">
        <v>744</v>
      </c>
      <c r="C280" s="623">
        <f t="shared" si="31"/>
        <v>0.24189944134078212</v>
      </c>
      <c r="D280" s="623">
        <f t="shared" si="31"/>
        <v>0.19349588306631774</v>
      </c>
      <c r="E280" s="650">
        <f t="shared" si="32"/>
        <v>-4.8403558274464381E-2</v>
      </c>
    </row>
    <row r="281" spans="1:5" x14ac:dyDescent="0.2">
      <c r="A281" s="588">
        <v>6</v>
      </c>
      <c r="B281" s="587" t="s">
        <v>424</v>
      </c>
      <c r="C281" s="623">
        <f t="shared" si="31"/>
        <v>0.35388328214129006</v>
      </c>
      <c r="D281" s="623">
        <f t="shared" si="31"/>
        <v>0.36387563367548947</v>
      </c>
      <c r="E281" s="650">
        <f t="shared" si="32"/>
        <v>9.9923515341994174E-3</v>
      </c>
    </row>
    <row r="282" spans="1:5" x14ac:dyDescent="0.2">
      <c r="A282" s="588">
        <v>7</v>
      </c>
      <c r="B282" s="587" t="s">
        <v>759</v>
      </c>
      <c r="C282" s="623">
        <f t="shared" si="31"/>
        <v>4.4374961830653703E-2</v>
      </c>
      <c r="D282" s="623">
        <f t="shared" si="31"/>
        <v>1.0532900830707197E-2</v>
      </c>
      <c r="E282" s="650">
        <f t="shared" si="32"/>
        <v>-3.3842060999946508E-2</v>
      </c>
    </row>
    <row r="283" spans="1:5" ht="29.25" customHeight="1" x14ac:dyDescent="0.2">
      <c r="A283" s="588"/>
      <c r="B283" s="592" t="s">
        <v>845</v>
      </c>
      <c r="C283" s="651">
        <f t="shared" si="31"/>
        <v>0.34560327044687966</v>
      </c>
      <c r="D283" s="651">
        <f t="shared" si="31"/>
        <v>0.3126259651213763</v>
      </c>
      <c r="E283" s="652">
        <f t="shared" si="32"/>
        <v>-3.2977305325503359E-2</v>
      </c>
    </row>
    <row r="284" spans="1:5" x14ac:dyDescent="0.2">
      <c r="A284" s="588"/>
      <c r="B284" s="592" t="s">
        <v>846</v>
      </c>
      <c r="C284" s="651">
        <f t="shared" si="31"/>
        <v>0.36735443413761565</v>
      </c>
      <c r="D284" s="651">
        <f t="shared" si="31"/>
        <v>0.34946978325025191</v>
      </c>
      <c r="E284" s="652">
        <f t="shared" si="32"/>
        <v>-1.788465088736374E-2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0.4681967530768803</v>
      </c>
      <c r="D287" s="623">
        <f t="shared" si="33"/>
        <v>0.43156371042277636</v>
      </c>
      <c r="E287" s="650">
        <f t="shared" ref="E287:E295" si="34">D287-C287</f>
        <v>-3.6633042654103942E-2</v>
      </c>
    </row>
    <row r="288" spans="1:5" x14ac:dyDescent="0.2">
      <c r="A288" s="588">
        <v>2</v>
      </c>
      <c r="B288" s="587" t="s">
        <v>636</v>
      </c>
      <c r="C288" s="623">
        <f t="shared" si="33"/>
        <v>0.2695563857312071</v>
      </c>
      <c r="D288" s="623">
        <f t="shared" si="33"/>
        <v>0.23861354005684027</v>
      </c>
      <c r="E288" s="650">
        <f t="shared" si="34"/>
        <v>-3.0942845674366837E-2</v>
      </c>
    </row>
    <row r="289" spans="1:5" x14ac:dyDescent="0.2">
      <c r="A289" s="588">
        <v>3</v>
      </c>
      <c r="B289" s="587" t="s">
        <v>778</v>
      </c>
      <c r="C289" s="623">
        <f t="shared" si="33"/>
        <v>0.28045798841594022</v>
      </c>
      <c r="D289" s="623">
        <f t="shared" si="33"/>
        <v>0.27272492104043461</v>
      </c>
      <c r="E289" s="650">
        <f t="shared" si="34"/>
        <v>-7.733067375505609E-3</v>
      </c>
    </row>
    <row r="290" spans="1:5" x14ac:dyDescent="0.2">
      <c r="A290" s="588">
        <v>4</v>
      </c>
      <c r="B290" s="587" t="s">
        <v>115</v>
      </c>
      <c r="C290" s="623">
        <f t="shared" si="33"/>
        <v>0.2810062363995165</v>
      </c>
      <c r="D290" s="623">
        <f t="shared" si="33"/>
        <v>0.27386758518848831</v>
      </c>
      <c r="E290" s="650">
        <f t="shared" si="34"/>
        <v>-7.1386512110281908E-3</v>
      </c>
    </row>
    <row r="291" spans="1:5" x14ac:dyDescent="0.2">
      <c r="A291" s="588">
        <v>5</v>
      </c>
      <c r="B291" s="587" t="s">
        <v>744</v>
      </c>
      <c r="C291" s="623">
        <f t="shared" si="33"/>
        <v>0.24111436682087559</v>
      </c>
      <c r="D291" s="623">
        <f t="shared" si="33"/>
        <v>0.18830655913383409</v>
      </c>
      <c r="E291" s="650">
        <f t="shared" si="34"/>
        <v>-5.2807807687041491E-2</v>
      </c>
    </row>
    <row r="292" spans="1:5" x14ac:dyDescent="0.2">
      <c r="A292" s="588">
        <v>6</v>
      </c>
      <c r="B292" s="587" t="s">
        <v>424</v>
      </c>
      <c r="C292" s="623">
        <f t="shared" si="33"/>
        <v>0.31788548167128156</v>
      </c>
      <c r="D292" s="623">
        <f t="shared" si="33"/>
        <v>0.26620634755823208</v>
      </c>
      <c r="E292" s="650">
        <f t="shared" si="34"/>
        <v>-5.1679134113049474E-2</v>
      </c>
    </row>
    <row r="293" spans="1:5" x14ac:dyDescent="0.2">
      <c r="A293" s="588">
        <v>7</v>
      </c>
      <c r="B293" s="587" t="s">
        <v>759</v>
      </c>
      <c r="C293" s="623">
        <f t="shared" si="33"/>
        <v>4.4374908806188232E-2</v>
      </c>
      <c r="D293" s="623">
        <f t="shared" si="33"/>
        <v>1.1479978801500453E-2</v>
      </c>
      <c r="E293" s="650">
        <f t="shared" si="34"/>
        <v>-3.2894930004687781E-2</v>
      </c>
    </row>
    <row r="294" spans="1:5" ht="29.25" customHeight="1" x14ac:dyDescent="0.2">
      <c r="A294" s="588"/>
      <c r="B294" s="592" t="s">
        <v>848</v>
      </c>
      <c r="C294" s="651">
        <f t="shared" si="33"/>
        <v>0.27334636623312208</v>
      </c>
      <c r="D294" s="651">
        <f t="shared" si="33"/>
        <v>0.24965464291859418</v>
      </c>
      <c r="E294" s="652">
        <f t="shared" si="34"/>
        <v>-2.3691723314527902E-2</v>
      </c>
    </row>
    <row r="295" spans="1:5" x14ac:dyDescent="0.2">
      <c r="A295" s="588"/>
      <c r="B295" s="592" t="s">
        <v>849</v>
      </c>
      <c r="C295" s="651">
        <f t="shared" si="33"/>
        <v>0.3765512963789997</v>
      </c>
      <c r="D295" s="651">
        <f t="shared" si="33"/>
        <v>0.34400990713999735</v>
      </c>
      <c r="E295" s="652">
        <f t="shared" si="34"/>
        <v>-3.254138923900235E-2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70439234</v>
      </c>
      <c r="D301" s="590">
        <f>+D48+D47+D50+D51+D52+D59+D58+D61+D62+D63</f>
        <v>67588359</v>
      </c>
      <c r="E301" s="590">
        <f>D301-C301</f>
        <v>-2850875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70439234</v>
      </c>
      <c r="D303" s="593">
        <f>+D301+D302</f>
        <v>67588359</v>
      </c>
      <c r="E303" s="593">
        <f>D303-C303</f>
        <v>-2850875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14012479</v>
      </c>
      <c r="D305" s="654">
        <v>2314956</v>
      </c>
      <c r="E305" s="655">
        <f>D305-C305</f>
        <v>-11697523</v>
      </c>
    </row>
    <row r="306" spans="1:5" x14ac:dyDescent="0.2">
      <c r="A306" s="588">
        <v>4</v>
      </c>
      <c r="B306" s="592" t="s">
        <v>856</v>
      </c>
      <c r="C306" s="593">
        <f>+C303+C305+C194+C190-C191</f>
        <v>93255347</v>
      </c>
      <c r="D306" s="593">
        <f>+D303+D305</f>
        <v>69903315</v>
      </c>
      <c r="E306" s="656">
        <f>D306-C306</f>
        <v>-23352032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84451715</v>
      </c>
      <c r="D308" s="589">
        <v>69903315</v>
      </c>
      <c r="E308" s="590">
        <f>D308-C308</f>
        <v>-14548400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8803632</v>
      </c>
      <c r="D310" s="658">
        <f>D306-D308</f>
        <v>0</v>
      </c>
      <c r="E310" s="656">
        <f>D310-C310</f>
        <v>-8803632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189422164</v>
      </c>
      <c r="D314" s="590">
        <f>+D14+D15+D16+D19+D25+D26+D27+D30</f>
        <v>194913881</v>
      </c>
      <c r="E314" s="590">
        <f>D314-C314</f>
        <v>5491717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189422164</v>
      </c>
      <c r="D316" s="657">
        <f>D314+D315</f>
        <v>194913881</v>
      </c>
      <c r="E316" s="593">
        <f>D316-C316</f>
        <v>5491717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189422163</v>
      </c>
      <c r="D318" s="589">
        <v>194913879</v>
      </c>
      <c r="E318" s="590">
        <f>D318-C318</f>
        <v>5491716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</v>
      </c>
      <c r="D320" s="657">
        <f>D316-D318</f>
        <v>2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7221447</v>
      </c>
      <c r="D324" s="589">
        <f>+D193+D194</f>
        <v>7100082</v>
      </c>
      <c r="E324" s="590">
        <f>D324-C324</f>
        <v>-121365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7221447</v>
      </c>
      <c r="D326" s="657">
        <f>D324+D325</f>
        <v>7100082</v>
      </c>
      <c r="E326" s="593">
        <f>D326-C326</f>
        <v>-121365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7221447</v>
      </c>
      <c r="D328" s="589">
        <v>7100082</v>
      </c>
      <c r="E328" s="590">
        <f>D328-C328</f>
        <v>-121365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K33" sqref="K33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28238434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64511512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5255694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5224360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31334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174774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1363537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69941980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98180414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50175134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31444255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14882934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14684173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198761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231144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5507937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46558333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96733467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78413568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116500313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194913881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12445409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20627247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1174836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1168773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6063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63596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14362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21865679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34311088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21653767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7503025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4058947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4021519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37428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61532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63231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11623504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33277271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34099176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33489183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67588359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1068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2011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259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258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1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50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2280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3348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1.3443000000000001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1.4765999999999999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1.2093513513513512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1.2069000000000001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1.8418000000000001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1.2652000000000001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0.94562000000000002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1.4453142982456142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1.4130910991636796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68766683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25786529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42980154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0.62501420927922324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2775412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1640438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643601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6456481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7100082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1449445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80117246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67588359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67588359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2314956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69903315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69903315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194913881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194913881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194913879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7100082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7100082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7100082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K33" sqref="K3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72</v>
      </c>
      <c r="D12" s="185">
        <v>512</v>
      </c>
      <c r="E12" s="185">
        <f>+D12-C12</f>
        <v>440</v>
      </c>
      <c r="F12" s="77">
        <f>IF(C12=0,0,+E12/C12)</f>
        <v>6.1111111111111107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32</v>
      </c>
      <c r="D13" s="185">
        <v>123</v>
      </c>
      <c r="E13" s="185">
        <f>+D13-C13</f>
        <v>91</v>
      </c>
      <c r="F13" s="77">
        <f>IF(C13=0,0,+E13/C13)</f>
        <v>2.84375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192533</v>
      </c>
      <c r="D15" s="76">
        <v>643601</v>
      </c>
      <c r="E15" s="76">
        <f>+D15-C15</f>
        <v>451068</v>
      </c>
      <c r="F15" s="77">
        <f>IF(C15=0,0,+E15/C15)</f>
        <v>2.3428087652506324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6016.65625</v>
      </c>
      <c r="D16" s="79">
        <f>IF(D13=0,0,+D15/+D13)</f>
        <v>5232.5284552845533</v>
      </c>
      <c r="E16" s="79">
        <f>+D16-C16</f>
        <v>-784.12779471544673</v>
      </c>
      <c r="F16" s="80">
        <f>IF(C16=0,0,+E16/C16)</f>
        <v>-0.13032617489414436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0.463229</v>
      </c>
      <c r="D18" s="704">
        <v>0.472501</v>
      </c>
      <c r="E18" s="704">
        <f>+D18-C18</f>
        <v>9.2720000000000025E-3</v>
      </c>
      <c r="F18" s="77">
        <f>IF(C18=0,0,+E18/C18)</f>
        <v>2.0016017995419119E-2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89186.869057000004</v>
      </c>
      <c r="D19" s="79">
        <f>+D15*D18</f>
        <v>304102.11610099999</v>
      </c>
      <c r="E19" s="79">
        <f>+D19-C19</f>
        <v>214915.24704399999</v>
      </c>
      <c r="F19" s="80">
        <f>IF(C19=0,0,+E19/C19)</f>
        <v>2.4097184856511333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2787.0896580312501</v>
      </c>
      <c r="D20" s="79">
        <f>IF(D13=0,0,+D19/D13)</f>
        <v>2472.3749276504063</v>
      </c>
      <c r="E20" s="79">
        <f>+D20-C20</f>
        <v>-314.71473038084378</v>
      </c>
      <c r="F20" s="80">
        <f>IF(C20=0,0,+E20/C20)</f>
        <v>-0.11291876796068075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99912</v>
      </c>
      <c r="D22" s="76">
        <v>424743</v>
      </c>
      <c r="E22" s="76">
        <f>+D22-C22</f>
        <v>324831</v>
      </c>
      <c r="F22" s="77">
        <f>IF(C22=0,0,+E22/C22)</f>
        <v>3.2511710305068462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16752</v>
      </c>
      <c r="D23" s="185">
        <v>105854</v>
      </c>
      <c r="E23" s="185">
        <f>+D23-C23</f>
        <v>89102</v>
      </c>
      <c r="F23" s="77">
        <f>IF(C23=0,0,+E23/C23)</f>
        <v>5.3188872970391596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75869</v>
      </c>
      <c r="D24" s="185">
        <v>113004</v>
      </c>
      <c r="E24" s="185">
        <f>+D24-C24</f>
        <v>37135</v>
      </c>
      <c r="F24" s="77">
        <f>IF(C24=0,0,+E24/C24)</f>
        <v>0.48946209914457817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192533</v>
      </c>
      <c r="D25" s="79">
        <f>+D22+D23+D24</f>
        <v>643601</v>
      </c>
      <c r="E25" s="79">
        <f>+E22+E23+E24</f>
        <v>451068</v>
      </c>
      <c r="F25" s="80">
        <f>IF(C25=0,0,+E25/C25)</f>
        <v>2.3428087652506324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22</v>
      </c>
      <c r="D27" s="185">
        <v>75</v>
      </c>
      <c r="E27" s="185">
        <f>+D27-C27</f>
        <v>53</v>
      </c>
      <c r="F27" s="77">
        <f>IF(C27=0,0,+E27/C27)</f>
        <v>2.4090909090909092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8</v>
      </c>
      <c r="D28" s="185">
        <v>24</v>
      </c>
      <c r="E28" s="185">
        <f>+D28-C28</f>
        <v>16</v>
      </c>
      <c r="F28" s="77">
        <f>IF(C28=0,0,+E28/C28)</f>
        <v>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62</v>
      </c>
      <c r="D29" s="185">
        <v>76</v>
      </c>
      <c r="E29" s="185">
        <f>+D29-C29</f>
        <v>14</v>
      </c>
      <c r="F29" s="77">
        <f>IF(C29=0,0,+E29/C29)</f>
        <v>0.22580645161290322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5</v>
      </c>
      <c r="D30" s="185">
        <v>15</v>
      </c>
      <c r="E30" s="185">
        <f>+D30-C30</f>
        <v>10</v>
      </c>
      <c r="F30" s="77">
        <f>IF(C30=0,0,+E30/C30)</f>
        <v>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2512309</v>
      </c>
      <c r="D33" s="76">
        <v>1408208</v>
      </c>
      <c r="E33" s="76">
        <f>+D33-C33</f>
        <v>-1104101</v>
      </c>
      <c r="F33" s="77">
        <f>IF(C33=0,0,+E33/C33)</f>
        <v>-0.43947659304647635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4516605</v>
      </c>
      <c r="D34" s="185">
        <v>5048273</v>
      </c>
      <c r="E34" s="185">
        <f>+D34-C34</f>
        <v>531668</v>
      </c>
      <c r="F34" s="77">
        <f>IF(C34=0,0,+E34/C34)</f>
        <v>0.1177140794911222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0</v>
      </c>
      <c r="D35" s="185">
        <v>0</v>
      </c>
      <c r="E35" s="185">
        <f>+D35-C35</f>
        <v>0</v>
      </c>
      <c r="F35" s="77">
        <f>IF(C35=0,0,+E35/C35)</f>
        <v>0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7028914</v>
      </c>
      <c r="D36" s="79">
        <f>+D33+D34+D35</f>
        <v>6456481</v>
      </c>
      <c r="E36" s="79">
        <f>+E33+E34+E35</f>
        <v>-572433</v>
      </c>
      <c r="F36" s="80">
        <f>IF(C36=0,0,+E36/C36)</f>
        <v>-8.1439750152014947E-2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192533</v>
      </c>
      <c r="D39" s="76">
        <f>+D25</f>
        <v>643601</v>
      </c>
      <c r="E39" s="76">
        <f>+D39-C39</f>
        <v>451068</v>
      </c>
      <c r="F39" s="77">
        <f>IF(C39=0,0,+E39/C39)</f>
        <v>2.3428087652506324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7028914</v>
      </c>
      <c r="D40" s="185">
        <f>+D36</f>
        <v>6456481</v>
      </c>
      <c r="E40" s="185">
        <f>+D40-C40</f>
        <v>-572433</v>
      </c>
      <c r="F40" s="77">
        <f>IF(C40=0,0,+E40/C40)</f>
        <v>-8.1439750152014947E-2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7221447</v>
      </c>
      <c r="D41" s="79">
        <f>+D39+D40</f>
        <v>7100082</v>
      </c>
      <c r="E41" s="79">
        <f>+E39+E40</f>
        <v>-121365</v>
      </c>
      <c r="F41" s="80">
        <f>IF(C41=0,0,+E41/C41)</f>
        <v>-1.6806188565809593E-2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2612221</v>
      </c>
      <c r="D43" s="76">
        <f t="shared" si="0"/>
        <v>1832951</v>
      </c>
      <c r="E43" s="76">
        <f>+D43-C43</f>
        <v>-779270</v>
      </c>
      <c r="F43" s="77">
        <f>IF(C43=0,0,+E43/C43)</f>
        <v>-0.29831702600966764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4533357</v>
      </c>
      <c r="D44" s="185">
        <f t="shared" si="0"/>
        <v>5154127</v>
      </c>
      <c r="E44" s="185">
        <f>+D44-C44</f>
        <v>620770</v>
      </c>
      <c r="F44" s="77">
        <f>IF(C44=0,0,+E44/C44)</f>
        <v>0.13693384394831468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75869</v>
      </c>
      <c r="D45" s="185">
        <f t="shared" si="0"/>
        <v>113004</v>
      </c>
      <c r="E45" s="185">
        <f>+D45-C45</f>
        <v>37135</v>
      </c>
      <c r="F45" s="77">
        <f>IF(C45=0,0,+E45/C45)</f>
        <v>0.48946209914457817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7221447</v>
      </c>
      <c r="D46" s="79">
        <f>+D43+D44+D45</f>
        <v>7100082</v>
      </c>
      <c r="E46" s="79">
        <f>+E43+E44+E45</f>
        <v>-121365</v>
      </c>
      <c r="F46" s="80">
        <f>IF(C46=0,0,+E46/C46)</f>
        <v>-1.6806188565809593E-2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K33" sqref="K33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69988341</v>
      </c>
      <c r="D15" s="76">
        <v>68766683</v>
      </c>
      <c r="E15" s="76">
        <f>+D15-C15</f>
        <v>-1221658</v>
      </c>
      <c r="F15" s="77">
        <f>IF(C15=0,0,E15/C15)</f>
        <v>-1.74551644251719E-2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34368322</v>
      </c>
      <c r="D17" s="76">
        <v>42980154</v>
      </c>
      <c r="E17" s="76">
        <f>+D17-C17</f>
        <v>8611832</v>
      </c>
      <c r="F17" s="77">
        <f>IF(C17=0,0,E17/C17)</f>
        <v>0.25057470073749893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35620019</v>
      </c>
      <c r="D19" s="79">
        <f>+D15-D17</f>
        <v>25786529</v>
      </c>
      <c r="E19" s="79">
        <f>+D19-C19</f>
        <v>-9833490</v>
      </c>
      <c r="F19" s="80">
        <f>IF(C19=0,0,E19/C19)</f>
        <v>-0.27606638839805225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0.49105781775853208</v>
      </c>
      <c r="D21" s="720">
        <f>IF(D15=0,0,D17/D15)</f>
        <v>0.62501420927922324</v>
      </c>
      <c r="E21" s="720">
        <f>+D21-C21</f>
        <v>0.13395639152069116</v>
      </c>
      <c r="F21" s="80">
        <f>IF(C21=0,0,E21/C21)</f>
        <v>0.27279148539401027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K33" sqref="K33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95337039</v>
      </c>
      <c r="D10" s="744">
        <v>96546778</v>
      </c>
      <c r="E10" s="744">
        <v>98180414</v>
      </c>
    </row>
    <row r="11" spans="1:6" ht="26.1" customHeight="1" x14ac:dyDescent="0.25">
      <c r="A11" s="742">
        <v>2</v>
      </c>
      <c r="B11" s="743" t="s">
        <v>933</v>
      </c>
      <c r="C11" s="744">
        <v>88772941</v>
      </c>
      <c r="D11" s="744">
        <v>92875386</v>
      </c>
      <c r="E11" s="744">
        <v>96733467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184109980</v>
      </c>
      <c r="D12" s="744">
        <f>+D11+D10</f>
        <v>189422164</v>
      </c>
      <c r="E12" s="744">
        <f>+E11+E10</f>
        <v>194913881</v>
      </c>
    </row>
    <row r="13" spans="1:6" ht="26.1" customHeight="1" x14ac:dyDescent="0.25">
      <c r="A13" s="742">
        <v>4</v>
      </c>
      <c r="B13" s="743" t="s">
        <v>507</v>
      </c>
      <c r="C13" s="744">
        <v>79860535</v>
      </c>
      <c r="D13" s="744">
        <v>84451715</v>
      </c>
      <c r="E13" s="744">
        <v>69903315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85587522</v>
      </c>
      <c r="D16" s="744">
        <v>90685854</v>
      </c>
      <c r="E16" s="744">
        <v>80117246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17312</v>
      </c>
      <c r="D19" s="747">
        <v>14756</v>
      </c>
      <c r="E19" s="747">
        <v>13603</v>
      </c>
    </row>
    <row r="20" spans="1:5" ht="26.1" customHeight="1" x14ac:dyDescent="0.25">
      <c r="A20" s="742">
        <v>2</v>
      </c>
      <c r="B20" s="743" t="s">
        <v>381</v>
      </c>
      <c r="C20" s="748">
        <v>4374</v>
      </c>
      <c r="D20" s="748">
        <v>3580</v>
      </c>
      <c r="E20" s="748">
        <v>3348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3.9579332418838593</v>
      </c>
      <c r="D21" s="749">
        <f>IF(D20=0,0,+D19/D20)</f>
        <v>4.1217877094972071</v>
      </c>
      <c r="E21" s="749">
        <f>IF(E20=0,0,+E19/E20)</f>
        <v>4.0630227001194745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33432.042857550885</v>
      </c>
      <c r="D22" s="748">
        <f>IF(D10=0,0,D19*(D12/D10))</f>
        <v>28950.872415276252</v>
      </c>
      <c r="E22" s="748">
        <f>IF(E10=0,0,E19*(E12/E10))</f>
        <v>27005.5239657372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8446.8435454556129</v>
      </c>
      <c r="D23" s="748">
        <f>IF(D10=0,0,D20*(D12/D10))</f>
        <v>7023.8630554817692</v>
      </c>
      <c r="E23" s="748">
        <f>IF(E10=0,0,E20*(E12/E10))</f>
        <v>6646.6584016237703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1.2994525880201189</v>
      </c>
      <c r="D26" s="750">
        <v>1.3824720837988829</v>
      </c>
      <c r="E26" s="750">
        <v>1.4130910991636796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22496.123203804298</v>
      </c>
      <c r="D27" s="748">
        <f>D19*D26</f>
        <v>20399.758068536317</v>
      </c>
      <c r="E27" s="748">
        <f>E19*E26</f>
        <v>19222.278221923534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5683.8056200000001</v>
      </c>
      <c r="D28" s="748">
        <f>D20*D26</f>
        <v>4949.2500600000003</v>
      </c>
      <c r="E28" s="748">
        <f>E20*E26</f>
        <v>4731.0289999999995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43443.35461404403</v>
      </c>
      <c r="D29" s="748">
        <f>D22*D26</f>
        <v>40023.772915742557</v>
      </c>
      <c r="E29" s="748">
        <f>E22*E26</f>
        <v>38161.265544234673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10976.272705743333</v>
      </c>
      <c r="D30" s="748">
        <f>D23*D26</f>
        <v>9710.2945946298696</v>
      </c>
      <c r="E30" s="748">
        <f>E23*E26</f>
        <v>9392.3338265160401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10634.818622920518</v>
      </c>
      <c r="D33" s="744">
        <f>IF(D19=0,0,D12/D19)</f>
        <v>12836.958796421795</v>
      </c>
      <c r="E33" s="744">
        <f>IF(E19=0,0,E12/E19)</f>
        <v>14328.742262736161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42091.90214906264</v>
      </c>
      <c r="D34" s="744">
        <f>IF(D20=0,0,D12/D20)</f>
        <v>52911.218994413408</v>
      </c>
      <c r="E34" s="744">
        <f>IF(E20=0,0,E12/E20)</f>
        <v>58218.005077658301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5506.9916243068392</v>
      </c>
      <c r="D35" s="744">
        <f>IF(D22=0,0,D12/D22)</f>
        <v>6542.8827595554349</v>
      </c>
      <c r="E35" s="744">
        <f>IF(E22=0,0,E12/E22)</f>
        <v>7217.5559802984635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21796.305212620027</v>
      </c>
      <c r="D36" s="744">
        <f>IF(D23=0,0,D12/D23)</f>
        <v>26968.373743016757</v>
      </c>
      <c r="E36" s="744">
        <f>IF(E23=0,0,E12/E23)</f>
        <v>29325.093787335722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4237.931937707277</v>
      </c>
      <c r="D37" s="744">
        <f>IF(D29=0,0,D12/D29)</f>
        <v>4732.7413234821388</v>
      </c>
      <c r="E37" s="744">
        <f>IF(E29=0,0,E12/E29)</f>
        <v>5107.636715403617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16773.451693092909</v>
      </c>
      <c r="D38" s="744">
        <f>IF(D30=0,0,D12/D30)</f>
        <v>19507.355019358223</v>
      </c>
      <c r="E38" s="744">
        <f>IF(E30=0,0,E12/E30)</f>
        <v>20752.443918648565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2851.6665704880011</v>
      </c>
      <c r="D39" s="744">
        <f>IF(D22=0,0,D10/D22)</f>
        <v>3334.848657239635</v>
      </c>
      <c r="E39" s="744">
        <f>IF(E22=0,0,E10/E22)</f>
        <v>3635.5678239964805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11286.705914103401</v>
      </c>
      <c r="D40" s="744">
        <f>IF(D23=0,0,D10/D23)</f>
        <v>13745.53820844359</v>
      </c>
      <c r="E40" s="744">
        <f>IF(E23=0,0,E10/E23)</f>
        <v>14771.394596721662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4613.0161159889094</v>
      </c>
      <c r="D43" s="744">
        <f>IF(D19=0,0,D13/D19)</f>
        <v>5723.211913797777</v>
      </c>
      <c r="E43" s="744">
        <f>IF(E19=0,0,E13/E19)</f>
        <v>5138.8160699845621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18258.009830818472</v>
      </c>
      <c r="D44" s="744">
        <f>IF(D20=0,0,D13/D20)</f>
        <v>23589.864525139667</v>
      </c>
      <c r="E44" s="744">
        <f>IF(E20=0,0,E13/E20)</f>
        <v>20879.12634408602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2388.7423015181639</v>
      </c>
      <c r="D45" s="744">
        <f>IF(D22=0,0,D13/D22)</f>
        <v>2917.0697790591662</v>
      </c>
      <c r="E45" s="744">
        <f>IF(E22=0,0,E13/E22)</f>
        <v>2588.4820856906404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9454.4825614728979</v>
      </c>
      <c r="D46" s="744">
        <f>IF(D23=0,0,D13/D23)</f>
        <v>12023.542363071801</v>
      </c>
      <c r="E46" s="744">
        <f>IF(E23=0,0,E13/E23)</f>
        <v>10517.061473013673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1838.2681473263417</v>
      </c>
      <c r="D47" s="744">
        <f>IF(D29=0,0,D13/D29)</f>
        <v>2110.0388306166556</v>
      </c>
      <c r="E47" s="744">
        <f>IF(E29=0,0,E13/E29)</f>
        <v>1831.7871276824269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7275.742607799184</v>
      </c>
      <c r="D48" s="744">
        <f>IF(D30=0,0,D13/D30)</f>
        <v>8697.1321185975903</v>
      </c>
      <c r="E48" s="744">
        <f>IF(E30=0,0,E13/E30)</f>
        <v>7442.5926815603507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4943.8263632162661</v>
      </c>
      <c r="D51" s="744">
        <f>IF(D19=0,0,D16/D19)</f>
        <v>6145.6935483870966</v>
      </c>
      <c r="E51" s="744">
        <f>IF(E19=0,0,E16/E19)</f>
        <v>5889.674777622583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19567.334705075446</v>
      </c>
      <c r="D52" s="744">
        <f>IF(D20=0,0,D16/D20)</f>
        <v>25331.244134078213</v>
      </c>
      <c r="E52" s="744">
        <f>IF(E20=0,0,E16/E20)</f>
        <v>23929.882317801672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2560.044636359079</v>
      </c>
      <c r="D53" s="744">
        <f>IF(D22=0,0,D16/D22)</f>
        <v>3132.4048788301316</v>
      </c>
      <c r="E53" s="744">
        <f>IF(E22=0,0,E16/E22)</f>
        <v>2966.698446645486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10132.485766952075</v>
      </c>
      <c r="D54" s="744">
        <f>IF(D23=0,0,D16/D23)</f>
        <v>12911.107930731121</v>
      </c>
      <c r="E54" s="744">
        <f>IF(E23=0,0,E16/E23)</f>
        <v>12053.763133129793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1970.0946844544994</v>
      </c>
      <c r="D55" s="744">
        <f>IF(D29=0,0,D16/D29)</f>
        <v>2265.7997333462413</v>
      </c>
      <c r="E55" s="744">
        <f>IF(E29=0,0,E16/E29)</f>
        <v>2099.4389168548933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7797.5032412611563</v>
      </c>
      <c r="D56" s="744">
        <f>IF(D30=0,0,D16/D30)</f>
        <v>9339.1454930885848</v>
      </c>
      <c r="E56" s="744">
        <f>IF(E30=0,0,E16/E30)</f>
        <v>8530.0679766956728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16272813</v>
      </c>
      <c r="D59" s="752">
        <v>16612248</v>
      </c>
      <c r="E59" s="752">
        <v>16446079</v>
      </c>
    </row>
    <row r="60" spans="1:6" ht="26.1" customHeight="1" x14ac:dyDescent="0.25">
      <c r="A60" s="742">
        <v>2</v>
      </c>
      <c r="B60" s="743" t="s">
        <v>969</v>
      </c>
      <c r="C60" s="752">
        <v>6268543</v>
      </c>
      <c r="D60" s="752">
        <v>6871624</v>
      </c>
      <c r="E60" s="752">
        <v>5577143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22541356</v>
      </c>
      <c r="D61" s="755">
        <f>D59+D60</f>
        <v>23483872</v>
      </c>
      <c r="E61" s="755">
        <f>E59+E60</f>
        <v>22023222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5349273</v>
      </c>
      <c r="D64" s="744">
        <v>5506935</v>
      </c>
      <c r="E64" s="752">
        <v>5633239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867350</v>
      </c>
      <c r="D65" s="752">
        <v>771654</v>
      </c>
      <c r="E65" s="752">
        <v>695961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6216623</v>
      </c>
      <c r="D66" s="757">
        <f>D64+D65</f>
        <v>6278589</v>
      </c>
      <c r="E66" s="757">
        <f>E64+E65</f>
        <v>6329200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16329168</v>
      </c>
      <c r="D69" s="752">
        <v>15846036</v>
      </c>
      <c r="E69" s="752">
        <v>15739752</v>
      </c>
    </row>
    <row r="70" spans="1:6" ht="26.1" customHeight="1" x14ac:dyDescent="0.25">
      <c r="A70" s="742">
        <v>2</v>
      </c>
      <c r="B70" s="743" t="s">
        <v>977</v>
      </c>
      <c r="C70" s="752">
        <v>6291068</v>
      </c>
      <c r="D70" s="752">
        <v>6895421</v>
      </c>
      <c r="E70" s="752">
        <v>5907420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22620236</v>
      </c>
      <c r="D71" s="755">
        <f>D69+D70</f>
        <v>22741457</v>
      </c>
      <c r="E71" s="755">
        <f>E69+E70</f>
        <v>21647172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37951254</v>
      </c>
      <c r="D75" s="744">
        <f t="shared" si="0"/>
        <v>37965219</v>
      </c>
      <c r="E75" s="744">
        <f t="shared" si="0"/>
        <v>37819070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13426961</v>
      </c>
      <c r="D76" s="744">
        <f t="shared" si="0"/>
        <v>14538699</v>
      </c>
      <c r="E76" s="744">
        <f t="shared" si="0"/>
        <v>12180524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51378215</v>
      </c>
      <c r="D77" s="757">
        <f>D75+D76</f>
        <v>52503918</v>
      </c>
      <c r="E77" s="757">
        <f>E75+E76</f>
        <v>49999594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196</v>
      </c>
      <c r="D80" s="749">
        <v>195</v>
      </c>
      <c r="E80" s="749">
        <v>170.7</v>
      </c>
    </row>
    <row r="81" spans="1:5" ht="26.1" customHeight="1" x14ac:dyDescent="0.25">
      <c r="A81" s="742">
        <v>2</v>
      </c>
      <c r="B81" s="743" t="s">
        <v>617</v>
      </c>
      <c r="C81" s="749">
        <v>21.5</v>
      </c>
      <c r="D81" s="749">
        <v>18</v>
      </c>
      <c r="E81" s="749">
        <v>20.6</v>
      </c>
    </row>
    <row r="82" spans="1:5" ht="26.1" customHeight="1" x14ac:dyDescent="0.25">
      <c r="A82" s="742">
        <v>3</v>
      </c>
      <c r="B82" s="743" t="s">
        <v>983</v>
      </c>
      <c r="C82" s="749">
        <v>287.5</v>
      </c>
      <c r="D82" s="749">
        <v>294</v>
      </c>
      <c r="E82" s="749">
        <v>307.3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505</v>
      </c>
      <c r="D83" s="759">
        <f>D80+D81+D82</f>
        <v>507</v>
      </c>
      <c r="E83" s="759">
        <f>E80+E81+E82</f>
        <v>498.6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83024.556122448979</v>
      </c>
      <c r="D86" s="752">
        <f>IF(D80=0,0,D59/D80)</f>
        <v>85191.015384615384</v>
      </c>
      <c r="E86" s="752">
        <f>IF(E80=0,0,E59/E80)</f>
        <v>96344.926772114821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31982.362244897959</v>
      </c>
      <c r="D87" s="752">
        <f>IF(D80=0,0,D60/D80)</f>
        <v>35239.097435897434</v>
      </c>
      <c r="E87" s="752">
        <f>IF(E80=0,0,E60/E80)</f>
        <v>32672.190978324546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115006.91836734694</v>
      </c>
      <c r="D88" s="755">
        <f>+D86+D87</f>
        <v>120430.11282051282</v>
      </c>
      <c r="E88" s="755">
        <f>+E86+E87</f>
        <v>129017.11775043937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248803.39534883722</v>
      </c>
      <c r="D91" s="744">
        <f>IF(D81=0,0,D64/D81)</f>
        <v>305940.83333333331</v>
      </c>
      <c r="E91" s="744">
        <f>IF(E81=0,0,E64/E81)</f>
        <v>273458.20388349512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40341.860465116282</v>
      </c>
      <c r="D92" s="744">
        <f>IF(D81=0,0,D65/D81)</f>
        <v>42869.666666666664</v>
      </c>
      <c r="E92" s="744">
        <f>IF(E81=0,0,E65/E81)</f>
        <v>33784.514563106794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289145.25581395352</v>
      </c>
      <c r="D93" s="757">
        <f>+D91+D92</f>
        <v>348810.5</v>
      </c>
      <c r="E93" s="757">
        <f>+E91+E92</f>
        <v>307242.71844660194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56797.106086956519</v>
      </c>
      <c r="D96" s="752">
        <f>IF(D82=0,0,D69/D82)</f>
        <v>53898.081632653062</v>
      </c>
      <c r="E96" s="752">
        <f>IF(E82=0,0,E69/E82)</f>
        <v>51219.498861047832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21881.975652173915</v>
      </c>
      <c r="D97" s="752">
        <f>IF(D82=0,0,D70/D82)</f>
        <v>23453.812925170067</v>
      </c>
      <c r="E97" s="752">
        <f>IF(E82=0,0,E70/E82)</f>
        <v>19223.625122030589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78679.08173913043</v>
      </c>
      <c r="D98" s="757">
        <f>+D96+D97</f>
        <v>77351.894557823136</v>
      </c>
      <c r="E98" s="757">
        <f>+E96+E97</f>
        <v>70443.123983078418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75150.998019801977</v>
      </c>
      <c r="D101" s="744">
        <f>IF(D83=0,0,D75/D83)</f>
        <v>74882.088757396443</v>
      </c>
      <c r="E101" s="744">
        <f>IF(E83=0,0,E75/E83)</f>
        <v>75850.521460088246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26588.041584158414</v>
      </c>
      <c r="D102" s="761">
        <f>IF(D83=0,0,D76/D83)</f>
        <v>28675.934911242603</v>
      </c>
      <c r="E102" s="761">
        <f>IF(E83=0,0,E76/E83)</f>
        <v>24429.450461291617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101739.03960396039</v>
      </c>
      <c r="D103" s="757">
        <f>+D101+D102</f>
        <v>103558.02366863904</v>
      </c>
      <c r="E103" s="757">
        <f>+E101+E102</f>
        <v>100279.97192137987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2967.7804413123845</v>
      </c>
      <c r="D108" s="744">
        <f>IF(D19=0,0,D77/D19)</f>
        <v>3558.1402819192194</v>
      </c>
      <c r="E108" s="744">
        <f>IF(E19=0,0,E77/E19)</f>
        <v>3675.6299345732559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11746.276863283036</v>
      </c>
      <c r="D109" s="744">
        <f>IF(D20=0,0,D77/D20)</f>
        <v>14665.898882681564</v>
      </c>
      <c r="E109" s="744">
        <f>IF(E20=0,0,E77/E20)</f>
        <v>14934.167861409796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1536.7955592458161</v>
      </c>
      <c r="D110" s="744">
        <f>IF(D22=0,0,D77/D22)</f>
        <v>1813.5521875429122</v>
      </c>
      <c r="E110" s="744">
        <f>IF(E22=0,0,E77/E22)</f>
        <v>1851.4580225673878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6082.5342299185104</v>
      </c>
      <c r="D111" s="744">
        <f>IF(D23=0,0,D77/D23)</f>
        <v>7475.0771171461483</v>
      </c>
      <c r="E111" s="744">
        <f>IF(E23=0,0,E77/E23)</f>
        <v>7522.5159740096105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1182.6484270482845</v>
      </c>
      <c r="D112" s="744">
        <f>IF(D29=0,0,D77/D29)</f>
        <v>1311.8183063483409</v>
      </c>
      <c r="E112" s="744">
        <f>IF(E29=0,0,E77/E29)</f>
        <v>1310.2184449842973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4680.8435228760627</v>
      </c>
      <c r="D113" s="744">
        <f>IF(D30=0,0,D77/D30)</f>
        <v>5407.0365722000333</v>
      </c>
      <c r="E113" s="744">
        <f>IF(E30=0,0,E77/E30)</f>
        <v>5323.4472840864382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K33" sqref="K33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189422163</v>
      </c>
      <c r="D12" s="76">
        <v>194913879</v>
      </c>
      <c r="E12" s="76">
        <f t="shared" ref="E12:E21" si="0">D12-C12</f>
        <v>5491716</v>
      </c>
      <c r="F12" s="77">
        <f t="shared" ref="F12:F21" si="1">IF(C12=0,0,E12/C12)</f>
        <v>2.899194008253406E-2</v>
      </c>
    </row>
    <row r="13" spans="1:8" ht="23.1" customHeight="1" x14ac:dyDescent="0.2">
      <c r="A13" s="74">
        <v>2</v>
      </c>
      <c r="B13" s="75" t="s">
        <v>72</v>
      </c>
      <c r="C13" s="76">
        <v>104777915</v>
      </c>
      <c r="D13" s="76">
        <v>117910482</v>
      </c>
      <c r="E13" s="76">
        <f t="shared" si="0"/>
        <v>13132567</v>
      </c>
      <c r="F13" s="77">
        <f t="shared" si="1"/>
        <v>0.12533716671113374</v>
      </c>
    </row>
    <row r="14" spans="1:8" ht="23.1" customHeight="1" x14ac:dyDescent="0.2">
      <c r="A14" s="74">
        <v>3</v>
      </c>
      <c r="B14" s="75" t="s">
        <v>73</v>
      </c>
      <c r="C14" s="76">
        <v>192533</v>
      </c>
      <c r="D14" s="76">
        <v>643601</v>
      </c>
      <c r="E14" s="76">
        <f t="shared" si="0"/>
        <v>451068</v>
      </c>
      <c r="F14" s="77">
        <f t="shared" si="1"/>
        <v>2.3428087652506324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84451715</v>
      </c>
      <c r="D16" s="79">
        <f>D12-D13-D14-D15</f>
        <v>76359796</v>
      </c>
      <c r="E16" s="79">
        <f t="shared" si="0"/>
        <v>-8091919</v>
      </c>
      <c r="F16" s="80">
        <f t="shared" si="1"/>
        <v>-9.5817106852122538E-2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6456481</v>
      </c>
      <c r="E17" s="76">
        <f t="shared" si="0"/>
        <v>6456481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84451715</v>
      </c>
      <c r="D18" s="79">
        <f>D16-D17</f>
        <v>69903315</v>
      </c>
      <c r="E18" s="79">
        <f t="shared" si="0"/>
        <v>-14548400</v>
      </c>
      <c r="F18" s="80">
        <f t="shared" si="1"/>
        <v>-0.172268852089031</v>
      </c>
    </row>
    <row r="19" spans="1:7" ht="23.1" customHeight="1" x14ac:dyDescent="0.2">
      <c r="A19" s="74">
        <v>6</v>
      </c>
      <c r="B19" s="75" t="s">
        <v>78</v>
      </c>
      <c r="C19" s="76">
        <v>2505143</v>
      </c>
      <c r="D19" s="76">
        <v>1449445</v>
      </c>
      <c r="E19" s="76">
        <f t="shared" si="0"/>
        <v>-1055698</v>
      </c>
      <c r="F19" s="77">
        <f t="shared" si="1"/>
        <v>-0.42141227067676373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86956858</v>
      </c>
      <c r="D21" s="79">
        <f>SUM(D18:D20)</f>
        <v>71352760</v>
      </c>
      <c r="E21" s="79">
        <f t="shared" si="0"/>
        <v>-15604098</v>
      </c>
      <c r="F21" s="80">
        <f t="shared" si="1"/>
        <v>-0.17944643308064329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37965219</v>
      </c>
      <c r="D24" s="76">
        <v>37819070</v>
      </c>
      <c r="E24" s="76">
        <f t="shared" ref="E24:E33" si="2">D24-C24</f>
        <v>-146149</v>
      </c>
      <c r="F24" s="77">
        <f t="shared" ref="F24:F33" si="3">IF(C24=0,0,E24/C24)</f>
        <v>-3.849549768170704E-3</v>
      </c>
    </row>
    <row r="25" spans="1:7" ht="23.1" customHeight="1" x14ac:dyDescent="0.2">
      <c r="A25" s="74">
        <v>2</v>
      </c>
      <c r="B25" s="75" t="s">
        <v>83</v>
      </c>
      <c r="C25" s="76">
        <v>14538699</v>
      </c>
      <c r="D25" s="76">
        <v>12180524</v>
      </c>
      <c r="E25" s="76">
        <f t="shared" si="2"/>
        <v>-2358175</v>
      </c>
      <c r="F25" s="77">
        <f t="shared" si="3"/>
        <v>-0.16219986396306849</v>
      </c>
    </row>
    <row r="26" spans="1:7" ht="23.1" customHeight="1" x14ac:dyDescent="0.2">
      <c r="A26" s="74">
        <v>3</v>
      </c>
      <c r="B26" s="75" t="s">
        <v>84</v>
      </c>
      <c r="C26" s="76">
        <v>1056109</v>
      </c>
      <c r="D26" s="76">
        <v>722901</v>
      </c>
      <c r="E26" s="76">
        <f t="shared" si="2"/>
        <v>-333208</v>
      </c>
      <c r="F26" s="77">
        <f t="shared" si="3"/>
        <v>-0.31550531242513796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11388780</v>
      </c>
      <c r="D27" s="76">
        <v>11584106</v>
      </c>
      <c r="E27" s="76">
        <f t="shared" si="2"/>
        <v>195326</v>
      </c>
      <c r="F27" s="77">
        <f t="shared" si="3"/>
        <v>1.7150739587558982E-2</v>
      </c>
    </row>
    <row r="28" spans="1:7" ht="23.1" customHeight="1" x14ac:dyDescent="0.2">
      <c r="A28" s="74">
        <v>5</v>
      </c>
      <c r="B28" s="75" t="s">
        <v>86</v>
      </c>
      <c r="C28" s="76">
        <v>2796910</v>
      </c>
      <c r="D28" s="76">
        <v>4180977</v>
      </c>
      <c r="E28" s="76">
        <f t="shared" si="2"/>
        <v>1384067</v>
      </c>
      <c r="F28" s="77">
        <f t="shared" si="3"/>
        <v>0.49485575152579098</v>
      </c>
    </row>
    <row r="29" spans="1:7" ht="23.1" customHeight="1" x14ac:dyDescent="0.2">
      <c r="A29" s="74">
        <v>6</v>
      </c>
      <c r="B29" s="75" t="s">
        <v>87</v>
      </c>
      <c r="C29" s="76">
        <v>7028914</v>
      </c>
      <c r="D29" s="76">
        <v>0</v>
      </c>
      <c r="E29" s="76">
        <f t="shared" si="2"/>
        <v>-7028914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102151</v>
      </c>
      <c r="D30" s="76">
        <v>34936</v>
      </c>
      <c r="E30" s="76">
        <f t="shared" si="2"/>
        <v>-67215</v>
      </c>
      <c r="F30" s="77">
        <f t="shared" si="3"/>
        <v>-0.65799649538428406</v>
      </c>
    </row>
    <row r="31" spans="1:7" ht="23.1" customHeight="1" x14ac:dyDescent="0.2">
      <c r="A31" s="74">
        <v>8</v>
      </c>
      <c r="B31" s="75" t="s">
        <v>89</v>
      </c>
      <c r="C31" s="76">
        <v>2550199</v>
      </c>
      <c r="D31" s="76">
        <v>2479413</v>
      </c>
      <c r="E31" s="76">
        <f t="shared" si="2"/>
        <v>-70786</v>
      </c>
      <c r="F31" s="77">
        <f t="shared" si="3"/>
        <v>-2.7757049547898028E-2</v>
      </c>
    </row>
    <row r="32" spans="1:7" ht="23.1" customHeight="1" x14ac:dyDescent="0.2">
      <c r="A32" s="74">
        <v>9</v>
      </c>
      <c r="B32" s="75" t="s">
        <v>90</v>
      </c>
      <c r="C32" s="76">
        <v>13258873</v>
      </c>
      <c r="D32" s="76">
        <v>11115319</v>
      </c>
      <c r="E32" s="76">
        <f t="shared" si="2"/>
        <v>-2143554</v>
      </c>
      <c r="F32" s="77">
        <f t="shared" si="3"/>
        <v>-0.16166939678809805</v>
      </c>
    </row>
    <row r="33" spans="1:6" ht="23.1" customHeight="1" x14ac:dyDescent="0.25">
      <c r="A33" s="71"/>
      <c r="B33" s="78" t="s">
        <v>91</v>
      </c>
      <c r="C33" s="79">
        <f>SUM(C24:C32)</f>
        <v>90685854</v>
      </c>
      <c r="D33" s="79">
        <f>SUM(D24:D32)</f>
        <v>80117246</v>
      </c>
      <c r="E33" s="79">
        <f t="shared" si="2"/>
        <v>-10568608</v>
      </c>
      <c r="F33" s="80">
        <f t="shared" si="3"/>
        <v>-0.11654086645090203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-3728996</v>
      </c>
      <c r="D35" s="79">
        <f>+D21-D33</f>
        <v>-8764486</v>
      </c>
      <c r="E35" s="79">
        <f>D35-C35</f>
        <v>-5035490</v>
      </c>
      <c r="F35" s="80">
        <f>IF(C35=0,0,E35/C35)</f>
        <v>1.3503607941655074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1939024</v>
      </c>
      <c r="D38" s="76">
        <v>324629</v>
      </c>
      <c r="E38" s="76">
        <f>D38-C38</f>
        <v>-1614395</v>
      </c>
      <c r="F38" s="77">
        <f>IF(C38=0,0,E38/C38)</f>
        <v>-0.83258123674590934</v>
      </c>
    </row>
    <row r="39" spans="1:6" ht="23.1" customHeight="1" x14ac:dyDescent="0.2">
      <c r="A39" s="85">
        <v>2</v>
      </c>
      <c r="B39" s="75" t="s">
        <v>95</v>
      </c>
      <c r="C39" s="76">
        <v>740</v>
      </c>
      <c r="D39" s="76">
        <v>300669</v>
      </c>
      <c r="E39" s="76">
        <f>D39-C39</f>
        <v>299929</v>
      </c>
      <c r="F39" s="77">
        <f>IF(C39=0,0,E39/C39)</f>
        <v>405.30945945945945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1939764</v>
      </c>
      <c r="D41" s="79">
        <f>SUM(D38:D40)</f>
        <v>625298</v>
      </c>
      <c r="E41" s="79">
        <f>D41-C41</f>
        <v>-1314466</v>
      </c>
      <c r="F41" s="80">
        <f>IF(C41=0,0,E41/C41)</f>
        <v>-0.67764222864224721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-1789232</v>
      </c>
      <c r="D43" s="79">
        <f>D35+D41</f>
        <v>-8139188</v>
      </c>
      <c r="E43" s="79">
        <f>D43-C43</f>
        <v>-6349956</v>
      </c>
      <c r="F43" s="80">
        <f>IF(C43=0,0,E43/C43)</f>
        <v>3.5489841451527808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3465</v>
      </c>
      <c r="D46" s="76">
        <v>-736830</v>
      </c>
      <c r="E46" s="76">
        <f>D46-C46</f>
        <v>-740295</v>
      </c>
      <c r="F46" s="77">
        <f>IF(C46=0,0,E46/C46)</f>
        <v>-213.64935064935065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3465</v>
      </c>
      <c r="D48" s="79">
        <f>SUM(D46:D47)</f>
        <v>-736830</v>
      </c>
      <c r="E48" s="79">
        <f>D48-C48</f>
        <v>-740295</v>
      </c>
      <c r="F48" s="80">
        <f>IF(C48=0,0,E48/C48)</f>
        <v>-213.64935064935065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-1785767</v>
      </c>
      <c r="D50" s="79">
        <f>D43+D48</f>
        <v>-8876018</v>
      </c>
      <c r="E50" s="79">
        <f>D50-C50</f>
        <v>-7090251</v>
      </c>
      <c r="F50" s="80">
        <f>IF(C50=0,0,E50/C50)</f>
        <v>3.9704233531026163</v>
      </c>
    </row>
    <row r="51" spans="1:6" ht="23.1" customHeight="1" x14ac:dyDescent="0.2">
      <c r="A51" s="85"/>
      <c r="B51" s="75" t="s">
        <v>104</v>
      </c>
      <c r="C51" s="76">
        <v>955684</v>
      </c>
      <c r="D51" s="76">
        <v>935367</v>
      </c>
      <c r="E51" s="76">
        <f>D51-C51</f>
        <v>-20317</v>
      </c>
      <c r="F51" s="77">
        <f>IF(C51=0,0,E51/C51)</f>
        <v>-2.1259119123057411E-2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K33" sqref="K3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44902620</v>
      </c>
      <c r="D14" s="113">
        <v>47673191</v>
      </c>
      <c r="E14" s="113">
        <f t="shared" ref="E14:E25" si="0">D14-C14</f>
        <v>2770571</v>
      </c>
      <c r="F14" s="114">
        <f t="shared" ref="F14:F25" si="1">IF(C14=0,0,E14/C14)</f>
        <v>6.1701767068380417E-2</v>
      </c>
    </row>
    <row r="15" spans="1:6" x14ac:dyDescent="0.2">
      <c r="A15" s="115">
        <v>2</v>
      </c>
      <c r="B15" s="116" t="s">
        <v>114</v>
      </c>
      <c r="C15" s="113">
        <v>16128137</v>
      </c>
      <c r="D15" s="113">
        <v>16838321</v>
      </c>
      <c r="E15" s="113">
        <f t="shared" si="0"/>
        <v>710184</v>
      </c>
      <c r="F15" s="114">
        <f t="shared" si="1"/>
        <v>4.403385214299705E-2</v>
      </c>
    </row>
    <row r="16" spans="1:6" x14ac:dyDescent="0.2">
      <c r="A16" s="115">
        <v>3</v>
      </c>
      <c r="B16" s="116" t="s">
        <v>115</v>
      </c>
      <c r="C16" s="113">
        <v>3822623</v>
      </c>
      <c r="D16" s="113">
        <v>3647163</v>
      </c>
      <c r="E16" s="113">
        <f t="shared" si="0"/>
        <v>-175460</v>
      </c>
      <c r="F16" s="114">
        <f t="shared" si="1"/>
        <v>-4.590041968564517E-2</v>
      </c>
    </row>
    <row r="17" spans="1:6" x14ac:dyDescent="0.2">
      <c r="A17" s="115">
        <v>4</v>
      </c>
      <c r="B17" s="116" t="s">
        <v>116</v>
      </c>
      <c r="C17" s="113">
        <v>1628161</v>
      </c>
      <c r="D17" s="113">
        <v>1577197</v>
      </c>
      <c r="E17" s="113">
        <f t="shared" si="0"/>
        <v>-50964</v>
      </c>
      <c r="F17" s="114">
        <f t="shared" si="1"/>
        <v>-3.1301572756011233E-2</v>
      </c>
    </row>
    <row r="18" spans="1:6" x14ac:dyDescent="0.2">
      <c r="A18" s="115">
        <v>5</v>
      </c>
      <c r="B18" s="116" t="s">
        <v>117</v>
      </c>
      <c r="C18" s="113">
        <v>27348</v>
      </c>
      <c r="D18" s="113">
        <v>174774</v>
      </c>
      <c r="E18" s="113">
        <f t="shared" si="0"/>
        <v>147426</v>
      </c>
      <c r="F18" s="114">
        <f t="shared" si="1"/>
        <v>5.3907415533128562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27710776</v>
      </c>
      <c r="D20" s="113">
        <v>26124829</v>
      </c>
      <c r="E20" s="113">
        <f t="shared" si="0"/>
        <v>-1585947</v>
      </c>
      <c r="F20" s="114">
        <f t="shared" si="1"/>
        <v>-5.7232139583532411E-2</v>
      </c>
    </row>
    <row r="21" spans="1:6" x14ac:dyDescent="0.2">
      <c r="A21" s="115">
        <v>8</v>
      </c>
      <c r="B21" s="116" t="s">
        <v>120</v>
      </c>
      <c r="C21" s="113">
        <v>564577</v>
      </c>
      <c r="D21" s="113">
        <v>750068</v>
      </c>
      <c r="E21" s="113">
        <f t="shared" si="0"/>
        <v>185491</v>
      </c>
      <c r="F21" s="114">
        <f t="shared" si="1"/>
        <v>0.3285486302134164</v>
      </c>
    </row>
    <row r="22" spans="1:6" x14ac:dyDescent="0.2">
      <c r="A22" s="115">
        <v>9</v>
      </c>
      <c r="B22" s="116" t="s">
        <v>121</v>
      </c>
      <c r="C22" s="113">
        <v>1735686</v>
      </c>
      <c r="D22" s="113">
        <v>1363537</v>
      </c>
      <c r="E22" s="113">
        <f t="shared" si="0"/>
        <v>-372149</v>
      </c>
      <c r="F22" s="114">
        <f t="shared" si="1"/>
        <v>-0.21441032536991136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26850</v>
      </c>
      <c r="D24" s="113">
        <v>31334</v>
      </c>
      <c r="E24" s="113">
        <f t="shared" si="0"/>
        <v>4484</v>
      </c>
      <c r="F24" s="114">
        <f t="shared" si="1"/>
        <v>0.16700186219739294</v>
      </c>
    </row>
    <row r="25" spans="1:6" ht="15.75" x14ac:dyDescent="0.25">
      <c r="A25" s="117"/>
      <c r="B25" s="118" t="s">
        <v>124</v>
      </c>
      <c r="C25" s="119">
        <f>SUM(C14:C24)</f>
        <v>96546778</v>
      </c>
      <c r="D25" s="119">
        <f>SUM(D14:D24)</f>
        <v>98180414</v>
      </c>
      <c r="E25" s="119">
        <f t="shared" si="0"/>
        <v>1633636</v>
      </c>
      <c r="F25" s="120">
        <f t="shared" si="1"/>
        <v>1.6920668238146693E-2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20040622</v>
      </c>
      <c r="D27" s="113">
        <v>21464079</v>
      </c>
      <c r="E27" s="113">
        <f t="shared" ref="E27:E38" si="2">D27-C27</f>
        <v>1423457</v>
      </c>
      <c r="F27" s="114">
        <f t="shared" ref="F27:F38" si="3">IF(C27=0,0,E27/C27)</f>
        <v>7.1028583843355766E-2</v>
      </c>
    </row>
    <row r="28" spans="1:6" x14ac:dyDescent="0.2">
      <c r="A28" s="115">
        <v>2</v>
      </c>
      <c r="B28" s="116" t="s">
        <v>114</v>
      </c>
      <c r="C28" s="113">
        <v>9120275</v>
      </c>
      <c r="D28" s="113">
        <v>9980176</v>
      </c>
      <c r="E28" s="113">
        <f t="shared" si="2"/>
        <v>859901</v>
      </c>
      <c r="F28" s="114">
        <f t="shared" si="3"/>
        <v>9.4284547340951888E-2</v>
      </c>
    </row>
    <row r="29" spans="1:6" x14ac:dyDescent="0.2">
      <c r="A29" s="115">
        <v>3</v>
      </c>
      <c r="B29" s="116" t="s">
        <v>115</v>
      </c>
      <c r="C29" s="113">
        <v>6182172</v>
      </c>
      <c r="D29" s="113">
        <v>7035226</v>
      </c>
      <c r="E29" s="113">
        <f t="shared" si="2"/>
        <v>853054</v>
      </c>
      <c r="F29" s="114">
        <f t="shared" si="3"/>
        <v>0.13798613173493071</v>
      </c>
    </row>
    <row r="30" spans="1:6" x14ac:dyDescent="0.2">
      <c r="A30" s="115">
        <v>4</v>
      </c>
      <c r="B30" s="116" t="s">
        <v>116</v>
      </c>
      <c r="C30" s="113">
        <v>7949219</v>
      </c>
      <c r="D30" s="113">
        <v>7648947</v>
      </c>
      <c r="E30" s="113">
        <f t="shared" si="2"/>
        <v>-300272</v>
      </c>
      <c r="F30" s="114">
        <f t="shared" si="3"/>
        <v>-3.7773773750603673E-2</v>
      </c>
    </row>
    <row r="31" spans="1:6" x14ac:dyDescent="0.2">
      <c r="A31" s="115">
        <v>5</v>
      </c>
      <c r="B31" s="116" t="s">
        <v>117</v>
      </c>
      <c r="C31" s="113">
        <v>193576</v>
      </c>
      <c r="D31" s="113">
        <v>231144</v>
      </c>
      <c r="E31" s="113">
        <f t="shared" si="2"/>
        <v>37568</v>
      </c>
      <c r="F31" s="114">
        <f t="shared" si="3"/>
        <v>0.19407364549324296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43896704</v>
      </c>
      <c r="D33" s="113">
        <v>43358999</v>
      </c>
      <c r="E33" s="113">
        <f t="shared" si="2"/>
        <v>-537705</v>
      </c>
      <c r="F33" s="114">
        <f t="shared" si="3"/>
        <v>-1.2249325142953786E-2</v>
      </c>
    </row>
    <row r="34" spans="1:6" x14ac:dyDescent="0.2">
      <c r="A34" s="115">
        <v>8</v>
      </c>
      <c r="B34" s="116" t="s">
        <v>120</v>
      </c>
      <c r="C34" s="113">
        <v>1403091</v>
      </c>
      <c r="D34" s="113">
        <v>1308198</v>
      </c>
      <c r="E34" s="113">
        <f t="shared" si="2"/>
        <v>-94893</v>
      </c>
      <c r="F34" s="114">
        <f t="shared" si="3"/>
        <v>-6.7631393829765851E-2</v>
      </c>
    </row>
    <row r="35" spans="1:6" x14ac:dyDescent="0.2">
      <c r="A35" s="115">
        <v>9</v>
      </c>
      <c r="B35" s="116" t="s">
        <v>121</v>
      </c>
      <c r="C35" s="113">
        <v>3892808</v>
      </c>
      <c r="D35" s="113">
        <v>5507937</v>
      </c>
      <c r="E35" s="113">
        <f t="shared" si="2"/>
        <v>1615129</v>
      </c>
      <c r="F35" s="114">
        <f t="shared" si="3"/>
        <v>0.41490076058207853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196919</v>
      </c>
      <c r="D37" s="113">
        <v>198761</v>
      </c>
      <c r="E37" s="113">
        <f t="shared" si="2"/>
        <v>1842</v>
      </c>
      <c r="F37" s="114">
        <f t="shared" si="3"/>
        <v>9.3540999090996804E-3</v>
      </c>
    </row>
    <row r="38" spans="1:6" ht="15.75" x14ac:dyDescent="0.25">
      <c r="A38" s="117"/>
      <c r="B38" s="118" t="s">
        <v>126</v>
      </c>
      <c r="C38" s="119">
        <f>SUM(C27:C37)</f>
        <v>92875386</v>
      </c>
      <c r="D38" s="119">
        <f>SUM(D27:D37)</f>
        <v>96733467</v>
      </c>
      <c r="E38" s="119">
        <f t="shared" si="2"/>
        <v>3858081</v>
      </c>
      <c r="F38" s="120">
        <f t="shared" si="3"/>
        <v>4.1540403396008493E-2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64943242</v>
      </c>
      <c r="D41" s="119">
        <f t="shared" si="4"/>
        <v>69137270</v>
      </c>
      <c r="E41" s="123">
        <f t="shared" ref="E41:E52" si="5">D41-C41</f>
        <v>4194028</v>
      </c>
      <c r="F41" s="124">
        <f t="shared" ref="F41:F52" si="6">IF(C41=0,0,E41/C41)</f>
        <v>6.4579898859992241E-2</v>
      </c>
    </row>
    <row r="42" spans="1:6" ht="15.75" x14ac:dyDescent="0.25">
      <c r="A42" s="121">
        <v>2</v>
      </c>
      <c r="B42" s="122" t="s">
        <v>114</v>
      </c>
      <c r="C42" s="119">
        <f t="shared" si="4"/>
        <v>25248412</v>
      </c>
      <c r="D42" s="119">
        <f t="shared" si="4"/>
        <v>26818497</v>
      </c>
      <c r="E42" s="123">
        <f t="shared" si="5"/>
        <v>1570085</v>
      </c>
      <c r="F42" s="124">
        <f t="shared" si="6"/>
        <v>6.2185495071927693E-2</v>
      </c>
    </row>
    <row r="43" spans="1:6" ht="15.75" x14ac:dyDescent="0.25">
      <c r="A43" s="121">
        <v>3</v>
      </c>
      <c r="B43" s="122" t="s">
        <v>115</v>
      </c>
      <c r="C43" s="119">
        <f t="shared" si="4"/>
        <v>10004795</v>
      </c>
      <c r="D43" s="119">
        <f t="shared" si="4"/>
        <v>10682389</v>
      </c>
      <c r="E43" s="123">
        <f t="shared" si="5"/>
        <v>677594</v>
      </c>
      <c r="F43" s="124">
        <f t="shared" si="6"/>
        <v>6.772692493949152E-2</v>
      </c>
    </row>
    <row r="44" spans="1:6" ht="15.75" x14ac:dyDescent="0.25">
      <c r="A44" s="121">
        <v>4</v>
      </c>
      <c r="B44" s="122" t="s">
        <v>116</v>
      </c>
      <c r="C44" s="119">
        <f t="shared" si="4"/>
        <v>9577380</v>
      </c>
      <c r="D44" s="119">
        <f t="shared" si="4"/>
        <v>9226144</v>
      </c>
      <c r="E44" s="123">
        <f t="shared" si="5"/>
        <v>-351236</v>
      </c>
      <c r="F44" s="124">
        <f t="shared" si="6"/>
        <v>-3.6673495256531533E-2</v>
      </c>
    </row>
    <row r="45" spans="1:6" ht="15.75" x14ac:dyDescent="0.25">
      <c r="A45" s="121">
        <v>5</v>
      </c>
      <c r="B45" s="122" t="s">
        <v>117</v>
      </c>
      <c r="C45" s="119">
        <f t="shared" si="4"/>
        <v>220924</v>
      </c>
      <c r="D45" s="119">
        <f t="shared" si="4"/>
        <v>405918</v>
      </c>
      <c r="E45" s="123">
        <f t="shared" si="5"/>
        <v>184994</v>
      </c>
      <c r="F45" s="124">
        <f t="shared" si="6"/>
        <v>0.83736488566203759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71607480</v>
      </c>
      <c r="D47" s="119">
        <f t="shared" si="4"/>
        <v>69483828</v>
      </c>
      <c r="E47" s="123">
        <f t="shared" si="5"/>
        <v>-2123652</v>
      </c>
      <c r="F47" s="124">
        <f t="shared" si="6"/>
        <v>-2.9656845904925015E-2</v>
      </c>
    </row>
    <row r="48" spans="1:6" ht="15.75" x14ac:dyDescent="0.25">
      <c r="A48" s="121">
        <v>8</v>
      </c>
      <c r="B48" s="122" t="s">
        <v>120</v>
      </c>
      <c r="C48" s="119">
        <f t="shared" si="4"/>
        <v>1967668</v>
      </c>
      <c r="D48" s="119">
        <f t="shared" si="4"/>
        <v>2058266</v>
      </c>
      <c r="E48" s="123">
        <f t="shared" si="5"/>
        <v>90598</v>
      </c>
      <c r="F48" s="124">
        <f t="shared" si="6"/>
        <v>4.6043336579138353E-2</v>
      </c>
    </row>
    <row r="49" spans="1:6" ht="15.75" x14ac:dyDescent="0.25">
      <c r="A49" s="121">
        <v>9</v>
      </c>
      <c r="B49" s="122" t="s">
        <v>121</v>
      </c>
      <c r="C49" s="119">
        <f t="shared" si="4"/>
        <v>5628494</v>
      </c>
      <c r="D49" s="119">
        <f t="shared" si="4"/>
        <v>6871474</v>
      </c>
      <c r="E49" s="123">
        <f t="shared" si="5"/>
        <v>1242980</v>
      </c>
      <c r="F49" s="124">
        <f t="shared" si="6"/>
        <v>0.22083704806294543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223769</v>
      </c>
      <c r="D51" s="119">
        <f t="shared" si="4"/>
        <v>230095</v>
      </c>
      <c r="E51" s="123">
        <f t="shared" si="5"/>
        <v>6326</v>
      </c>
      <c r="F51" s="124">
        <f t="shared" si="6"/>
        <v>2.8270225098203951E-2</v>
      </c>
    </row>
    <row r="52" spans="1:6" ht="18.75" customHeight="1" thickBot="1" x14ac:dyDescent="0.3">
      <c r="A52" s="125"/>
      <c r="B52" s="126" t="s">
        <v>128</v>
      </c>
      <c r="C52" s="127">
        <f>SUM(C41:C51)</f>
        <v>189422164</v>
      </c>
      <c r="D52" s="128">
        <f>SUM(D41:D51)</f>
        <v>194913881</v>
      </c>
      <c r="E52" s="127">
        <f t="shared" si="5"/>
        <v>5491717</v>
      </c>
      <c r="F52" s="129">
        <f t="shared" si="6"/>
        <v>2.8991945208692686E-2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16439612</v>
      </c>
      <c r="D57" s="113">
        <v>15052562</v>
      </c>
      <c r="E57" s="113">
        <f t="shared" ref="E57:E68" si="7">D57-C57</f>
        <v>-1387050</v>
      </c>
      <c r="F57" s="114">
        <f t="shared" ref="F57:F68" si="8">IF(C57=0,0,E57/C57)</f>
        <v>-8.4372429227648441E-2</v>
      </c>
    </row>
    <row r="58" spans="1:6" x14ac:dyDescent="0.2">
      <c r="A58" s="115">
        <v>2</v>
      </c>
      <c r="B58" s="116" t="s">
        <v>114</v>
      </c>
      <c r="C58" s="113">
        <v>5332698</v>
      </c>
      <c r="D58" s="113">
        <v>5574685</v>
      </c>
      <c r="E58" s="113">
        <f t="shared" si="7"/>
        <v>241987</v>
      </c>
      <c r="F58" s="114">
        <f t="shared" si="8"/>
        <v>4.5377968150455923E-2</v>
      </c>
    </row>
    <row r="59" spans="1:6" x14ac:dyDescent="0.2">
      <c r="A59" s="115">
        <v>3</v>
      </c>
      <c r="B59" s="116" t="s">
        <v>115</v>
      </c>
      <c r="C59" s="113">
        <v>665727</v>
      </c>
      <c r="D59" s="113">
        <v>671541</v>
      </c>
      <c r="E59" s="113">
        <f t="shared" si="7"/>
        <v>5814</v>
      </c>
      <c r="F59" s="114">
        <f t="shared" si="8"/>
        <v>8.7333095998810319E-3</v>
      </c>
    </row>
    <row r="60" spans="1:6" x14ac:dyDescent="0.2">
      <c r="A60" s="115">
        <v>4</v>
      </c>
      <c r="B60" s="116" t="s">
        <v>116</v>
      </c>
      <c r="C60" s="113">
        <v>540759</v>
      </c>
      <c r="D60" s="113">
        <v>497232</v>
      </c>
      <c r="E60" s="113">
        <f t="shared" si="7"/>
        <v>-43527</v>
      </c>
      <c r="F60" s="114">
        <f t="shared" si="8"/>
        <v>-8.0492418988865652E-2</v>
      </c>
    </row>
    <row r="61" spans="1:6" x14ac:dyDescent="0.2">
      <c r="A61" s="115">
        <v>5</v>
      </c>
      <c r="B61" s="116" t="s">
        <v>117</v>
      </c>
      <c r="C61" s="113">
        <v>9678</v>
      </c>
      <c r="D61" s="113">
        <v>63596</v>
      </c>
      <c r="E61" s="113">
        <f t="shared" si="7"/>
        <v>53918</v>
      </c>
      <c r="F61" s="114">
        <f t="shared" si="8"/>
        <v>5.5711923951229592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12033028</v>
      </c>
      <c r="D63" s="113">
        <v>11944841</v>
      </c>
      <c r="E63" s="113">
        <f t="shared" si="7"/>
        <v>-88187</v>
      </c>
      <c r="F63" s="114">
        <f t="shared" si="8"/>
        <v>-7.3287455160912117E-3</v>
      </c>
    </row>
    <row r="64" spans="1:6" x14ac:dyDescent="0.2">
      <c r="A64" s="115">
        <v>8</v>
      </c>
      <c r="B64" s="116" t="s">
        <v>120</v>
      </c>
      <c r="C64" s="113">
        <v>361869</v>
      </c>
      <c r="D64" s="113">
        <v>486206</v>
      </c>
      <c r="E64" s="113">
        <f t="shared" si="7"/>
        <v>124337</v>
      </c>
      <c r="F64" s="114">
        <f t="shared" si="8"/>
        <v>0.34359671593864077</v>
      </c>
    </row>
    <row r="65" spans="1:6" x14ac:dyDescent="0.2">
      <c r="A65" s="115">
        <v>9</v>
      </c>
      <c r="B65" s="116" t="s">
        <v>121</v>
      </c>
      <c r="C65" s="113">
        <v>77021</v>
      </c>
      <c r="D65" s="113">
        <v>14362</v>
      </c>
      <c r="E65" s="113">
        <f t="shared" si="7"/>
        <v>-62659</v>
      </c>
      <c r="F65" s="114">
        <f t="shared" si="8"/>
        <v>-0.81353137456018487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6495</v>
      </c>
      <c r="D67" s="113">
        <v>6064</v>
      </c>
      <c r="E67" s="113">
        <f t="shared" si="7"/>
        <v>-431</v>
      </c>
      <c r="F67" s="114">
        <f t="shared" si="8"/>
        <v>-6.6358737490377212E-2</v>
      </c>
    </row>
    <row r="68" spans="1:6" ht="15.75" x14ac:dyDescent="0.25">
      <c r="A68" s="117"/>
      <c r="B68" s="118" t="s">
        <v>131</v>
      </c>
      <c r="C68" s="119">
        <f>SUM(C57:C67)</f>
        <v>35466887</v>
      </c>
      <c r="D68" s="119">
        <f>SUM(D57:D67)</f>
        <v>34311089</v>
      </c>
      <c r="E68" s="119">
        <f t="shared" si="7"/>
        <v>-1155798</v>
      </c>
      <c r="F68" s="120">
        <f t="shared" si="8"/>
        <v>-3.2588087023256371E-2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5296162</v>
      </c>
      <c r="D70" s="113">
        <v>5059853</v>
      </c>
      <c r="E70" s="113">
        <f t="shared" ref="E70:E81" si="9">D70-C70</f>
        <v>-236309</v>
      </c>
      <c r="F70" s="114">
        <f t="shared" ref="F70:F81" si="10">IF(C70=0,0,E70/C70)</f>
        <v>-4.4618914602687756E-2</v>
      </c>
    </row>
    <row r="71" spans="1:6" x14ac:dyDescent="0.2">
      <c r="A71" s="115">
        <v>2</v>
      </c>
      <c r="B71" s="116" t="s">
        <v>114</v>
      </c>
      <c r="C71" s="113">
        <v>2564344</v>
      </c>
      <c r="D71" s="113">
        <v>2443172</v>
      </c>
      <c r="E71" s="113">
        <f t="shared" si="9"/>
        <v>-121172</v>
      </c>
      <c r="F71" s="114">
        <f t="shared" si="10"/>
        <v>-4.7252630692294011E-2</v>
      </c>
    </row>
    <row r="72" spans="1:6" x14ac:dyDescent="0.2">
      <c r="A72" s="115">
        <v>3</v>
      </c>
      <c r="B72" s="116" t="s">
        <v>115</v>
      </c>
      <c r="C72" s="113">
        <v>1750530</v>
      </c>
      <c r="D72" s="113">
        <v>1930487</v>
      </c>
      <c r="E72" s="113">
        <f t="shared" si="9"/>
        <v>179957</v>
      </c>
      <c r="F72" s="114">
        <f t="shared" si="10"/>
        <v>0.1028014372789955</v>
      </c>
    </row>
    <row r="73" spans="1:6" x14ac:dyDescent="0.2">
      <c r="A73" s="115">
        <v>4</v>
      </c>
      <c r="B73" s="116" t="s">
        <v>116</v>
      </c>
      <c r="C73" s="113">
        <v>2220479</v>
      </c>
      <c r="D73" s="113">
        <v>2091032</v>
      </c>
      <c r="E73" s="113">
        <f t="shared" si="9"/>
        <v>-129447</v>
      </c>
      <c r="F73" s="114">
        <f t="shared" si="10"/>
        <v>-5.8296880988291264E-2</v>
      </c>
    </row>
    <row r="74" spans="1:6" x14ac:dyDescent="0.2">
      <c r="A74" s="115">
        <v>5</v>
      </c>
      <c r="B74" s="116" t="s">
        <v>117</v>
      </c>
      <c r="C74" s="113">
        <v>61535</v>
      </c>
      <c r="D74" s="113">
        <v>61532</v>
      </c>
      <c r="E74" s="113">
        <f t="shared" si="9"/>
        <v>-3</v>
      </c>
      <c r="F74" s="114">
        <f t="shared" si="10"/>
        <v>-4.8752742341756727E-5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21874014</v>
      </c>
      <c r="D76" s="113">
        <v>20591132</v>
      </c>
      <c r="E76" s="113">
        <f t="shared" si="9"/>
        <v>-1282882</v>
      </c>
      <c r="F76" s="114">
        <f t="shared" si="10"/>
        <v>-5.8648677832975692E-2</v>
      </c>
    </row>
    <row r="77" spans="1:6" x14ac:dyDescent="0.2">
      <c r="A77" s="115">
        <v>8</v>
      </c>
      <c r="B77" s="116" t="s">
        <v>120</v>
      </c>
      <c r="C77" s="113">
        <v>985060</v>
      </c>
      <c r="D77" s="113">
        <v>999404</v>
      </c>
      <c r="E77" s="113">
        <f t="shared" si="9"/>
        <v>14344</v>
      </c>
      <c r="F77" s="114">
        <f t="shared" si="10"/>
        <v>1.4561549550281201E-2</v>
      </c>
    </row>
    <row r="78" spans="1:6" x14ac:dyDescent="0.2">
      <c r="A78" s="115">
        <v>9</v>
      </c>
      <c r="B78" s="116" t="s">
        <v>121</v>
      </c>
      <c r="C78" s="113">
        <v>172743</v>
      </c>
      <c r="D78" s="113">
        <v>63231</v>
      </c>
      <c r="E78" s="113">
        <f t="shared" si="9"/>
        <v>-109512</v>
      </c>
      <c r="F78" s="114">
        <f t="shared" si="10"/>
        <v>-0.63395911845921393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47480</v>
      </c>
      <c r="D80" s="113">
        <v>37428</v>
      </c>
      <c r="E80" s="113">
        <f t="shared" si="9"/>
        <v>-10052</v>
      </c>
      <c r="F80" s="114">
        <f t="shared" si="10"/>
        <v>-0.21171019376579611</v>
      </c>
    </row>
    <row r="81" spans="1:6" ht="15.75" x14ac:dyDescent="0.25">
      <c r="A81" s="117"/>
      <c r="B81" s="118" t="s">
        <v>133</v>
      </c>
      <c r="C81" s="119">
        <f>SUM(C70:C80)</f>
        <v>34972347</v>
      </c>
      <c r="D81" s="119">
        <f>SUM(D70:D80)</f>
        <v>33277271</v>
      </c>
      <c r="E81" s="119">
        <f t="shared" si="9"/>
        <v>-1695076</v>
      </c>
      <c r="F81" s="120">
        <f t="shared" si="10"/>
        <v>-4.8469037551297313E-2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21735774</v>
      </c>
      <c r="D84" s="119">
        <f t="shared" si="11"/>
        <v>20112415</v>
      </c>
      <c r="E84" s="119">
        <f t="shared" ref="E84:E95" si="12">D84-C84</f>
        <v>-1623359</v>
      </c>
      <c r="F84" s="120">
        <f t="shared" ref="F84:F95" si="13">IF(C84=0,0,E84/C84)</f>
        <v>-7.4686045226638811E-2</v>
      </c>
    </row>
    <row r="85" spans="1:6" ht="15.75" x14ac:dyDescent="0.25">
      <c r="A85" s="130">
        <v>2</v>
      </c>
      <c r="B85" s="122" t="s">
        <v>114</v>
      </c>
      <c r="C85" s="119">
        <f t="shared" si="11"/>
        <v>7897042</v>
      </c>
      <c r="D85" s="119">
        <f t="shared" si="11"/>
        <v>8017857</v>
      </c>
      <c r="E85" s="119">
        <f t="shared" si="12"/>
        <v>120815</v>
      </c>
      <c r="F85" s="120">
        <f t="shared" si="13"/>
        <v>1.5298766297557997E-2</v>
      </c>
    </row>
    <row r="86" spans="1:6" ht="15.75" x14ac:dyDescent="0.25">
      <c r="A86" s="130">
        <v>3</v>
      </c>
      <c r="B86" s="122" t="s">
        <v>115</v>
      </c>
      <c r="C86" s="119">
        <f t="shared" si="11"/>
        <v>2416257</v>
      </c>
      <c r="D86" s="119">
        <f t="shared" si="11"/>
        <v>2602028</v>
      </c>
      <c r="E86" s="119">
        <f t="shared" si="12"/>
        <v>185771</v>
      </c>
      <c r="F86" s="120">
        <f t="shared" si="13"/>
        <v>7.6883791748973723E-2</v>
      </c>
    </row>
    <row r="87" spans="1:6" ht="15.75" x14ac:dyDescent="0.25">
      <c r="A87" s="130">
        <v>4</v>
      </c>
      <c r="B87" s="122" t="s">
        <v>116</v>
      </c>
      <c r="C87" s="119">
        <f t="shared" si="11"/>
        <v>2761238</v>
      </c>
      <c r="D87" s="119">
        <f t="shared" si="11"/>
        <v>2588264</v>
      </c>
      <c r="E87" s="119">
        <f t="shared" si="12"/>
        <v>-172974</v>
      </c>
      <c r="F87" s="120">
        <f t="shared" si="13"/>
        <v>-6.2643640280193161E-2</v>
      </c>
    </row>
    <row r="88" spans="1:6" ht="15.75" x14ac:dyDescent="0.25">
      <c r="A88" s="130">
        <v>5</v>
      </c>
      <c r="B88" s="122" t="s">
        <v>117</v>
      </c>
      <c r="C88" s="119">
        <f t="shared" si="11"/>
        <v>71213</v>
      </c>
      <c r="D88" s="119">
        <f t="shared" si="11"/>
        <v>125128</v>
      </c>
      <c r="E88" s="119">
        <f t="shared" si="12"/>
        <v>53915</v>
      </c>
      <c r="F88" s="120">
        <f t="shared" si="13"/>
        <v>0.75709491244576133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33907042</v>
      </c>
      <c r="D90" s="119">
        <f t="shared" si="11"/>
        <v>32535973</v>
      </c>
      <c r="E90" s="119">
        <f t="shared" si="12"/>
        <v>-1371069</v>
      </c>
      <c r="F90" s="120">
        <f t="shared" si="13"/>
        <v>-4.0436113536533209E-2</v>
      </c>
    </row>
    <row r="91" spans="1:6" ht="15.75" x14ac:dyDescent="0.25">
      <c r="A91" s="130">
        <v>8</v>
      </c>
      <c r="B91" s="122" t="s">
        <v>120</v>
      </c>
      <c r="C91" s="119">
        <f t="shared" si="11"/>
        <v>1346929</v>
      </c>
      <c r="D91" s="119">
        <f t="shared" si="11"/>
        <v>1485610</v>
      </c>
      <c r="E91" s="119">
        <f t="shared" si="12"/>
        <v>138681</v>
      </c>
      <c r="F91" s="120">
        <f t="shared" si="13"/>
        <v>0.10296088361004924</v>
      </c>
    </row>
    <row r="92" spans="1:6" ht="15.75" x14ac:dyDescent="0.25">
      <c r="A92" s="130">
        <v>9</v>
      </c>
      <c r="B92" s="122" t="s">
        <v>121</v>
      </c>
      <c r="C92" s="119">
        <f t="shared" si="11"/>
        <v>249764</v>
      </c>
      <c r="D92" s="119">
        <f t="shared" si="11"/>
        <v>77593</v>
      </c>
      <c r="E92" s="119">
        <f t="shared" si="12"/>
        <v>-172171</v>
      </c>
      <c r="F92" s="120">
        <f t="shared" si="13"/>
        <v>-0.68933473198699569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53975</v>
      </c>
      <c r="D94" s="119">
        <f t="shared" si="11"/>
        <v>43492</v>
      </c>
      <c r="E94" s="119">
        <f t="shared" si="12"/>
        <v>-10483</v>
      </c>
      <c r="F94" s="120">
        <f t="shared" si="13"/>
        <v>-0.194219546086151</v>
      </c>
    </row>
    <row r="95" spans="1:6" ht="18.75" customHeight="1" thickBot="1" x14ac:dyDescent="0.3">
      <c r="A95" s="131"/>
      <c r="B95" s="132" t="s">
        <v>134</v>
      </c>
      <c r="C95" s="128">
        <f>SUM(C84:C94)</f>
        <v>70439234</v>
      </c>
      <c r="D95" s="128">
        <f>SUM(D84:D94)</f>
        <v>67588360</v>
      </c>
      <c r="E95" s="128">
        <f t="shared" si="12"/>
        <v>-2850874</v>
      </c>
      <c r="F95" s="129">
        <f t="shared" si="13"/>
        <v>-4.0472813773074247E-2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1444</v>
      </c>
      <c r="D100" s="133">
        <v>1474</v>
      </c>
      <c r="E100" s="133">
        <f t="shared" ref="E100:E111" si="14">D100-C100</f>
        <v>30</v>
      </c>
      <c r="F100" s="114">
        <f t="shared" ref="F100:F111" si="15">IF(C100=0,0,E100/C100)</f>
        <v>2.077562326869806E-2</v>
      </c>
    </row>
    <row r="101" spans="1:6" x14ac:dyDescent="0.2">
      <c r="A101" s="115">
        <v>2</v>
      </c>
      <c r="B101" s="116" t="s">
        <v>114</v>
      </c>
      <c r="C101" s="133">
        <v>542</v>
      </c>
      <c r="D101" s="133">
        <v>537</v>
      </c>
      <c r="E101" s="133">
        <f t="shared" si="14"/>
        <v>-5</v>
      </c>
      <c r="F101" s="114">
        <f t="shared" si="15"/>
        <v>-9.2250922509225092E-3</v>
      </c>
    </row>
    <row r="102" spans="1:6" x14ac:dyDescent="0.2">
      <c r="A102" s="115">
        <v>3</v>
      </c>
      <c r="B102" s="116" t="s">
        <v>115</v>
      </c>
      <c r="C102" s="133">
        <v>190</v>
      </c>
      <c r="D102" s="133">
        <v>143</v>
      </c>
      <c r="E102" s="133">
        <f t="shared" si="14"/>
        <v>-47</v>
      </c>
      <c r="F102" s="114">
        <f t="shared" si="15"/>
        <v>-0.24736842105263157</v>
      </c>
    </row>
    <row r="103" spans="1:6" x14ac:dyDescent="0.2">
      <c r="A103" s="115">
        <v>4</v>
      </c>
      <c r="B103" s="116" t="s">
        <v>116</v>
      </c>
      <c r="C103" s="133">
        <v>159</v>
      </c>
      <c r="D103" s="133">
        <v>115</v>
      </c>
      <c r="E103" s="133">
        <f t="shared" si="14"/>
        <v>-44</v>
      </c>
      <c r="F103" s="114">
        <f t="shared" si="15"/>
        <v>-0.27672955974842767</v>
      </c>
    </row>
    <row r="104" spans="1:6" x14ac:dyDescent="0.2">
      <c r="A104" s="115">
        <v>5</v>
      </c>
      <c r="B104" s="116" t="s">
        <v>117</v>
      </c>
      <c r="C104" s="133">
        <v>3</v>
      </c>
      <c r="D104" s="133">
        <v>10</v>
      </c>
      <c r="E104" s="133">
        <f t="shared" si="14"/>
        <v>7</v>
      </c>
      <c r="F104" s="114">
        <f t="shared" si="15"/>
        <v>2.3333333333333335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1162</v>
      </c>
      <c r="D106" s="133">
        <v>1000</v>
      </c>
      <c r="E106" s="133">
        <f t="shared" si="14"/>
        <v>-162</v>
      </c>
      <c r="F106" s="114">
        <f t="shared" si="15"/>
        <v>-0.13941480206540446</v>
      </c>
    </row>
    <row r="107" spans="1:6" x14ac:dyDescent="0.2">
      <c r="A107" s="115">
        <v>8</v>
      </c>
      <c r="B107" s="116" t="s">
        <v>120</v>
      </c>
      <c r="C107" s="133">
        <v>15</v>
      </c>
      <c r="D107" s="133">
        <v>18</v>
      </c>
      <c r="E107" s="133">
        <f t="shared" si="14"/>
        <v>3</v>
      </c>
      <c r="F107" s="114">
        <f t="shared" si="15"/>
        <v>0.2</v>
      </c>
    </row>
    <row r="108" spans="1:6" x14ac:dyDescent="0.2">
      <c r="A108" s="115">
        <v>9</v>
      </c>
      <c r="B108" s="116" t="s">
        <v>121</v>
      </c>
      <c r="C108" s="133">
        <v>63</v>
      </c>
      <c r="D108" s="133">
        <v>50</v>
      </c>
      <c r="E108" s="133">
        <f t="shared" si="14"/>
        <v>-13</v>
      </c>
      <c r="F108" s="114">
        <f t="shared" si="15"/>
        <v>-0.20634920634920634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</v>
      </c>
      <c r="D110" s="133">
        <v>1</v>
      </c>
      <c r="E110" s="133">
        <f t="shared" si="14"/>
        <v>-1</v>
      </c>
      <c r="F110" s="114">
        <f t="shared" si="15"/>
        <v>-0.5</v>
      </c>
    </row>
    <row r="111" spans="1:6" ht="15.75" x14ac:dyDescent="0.25">
      <c r="A111" s="117"/>
      <c r="B111" s="118" t="s">
        <v>138</v>
      </c>
      <c r="C111" s="134">
        <f>SUM(C100:C110)</f>
        <v>3580</v>
      </c>
      <c r="D111" s="134">
        <f>SUM(D100:D110)</f>
        <v>3348</v>
      </c>
      <c r="E111" s="134">
        <f t="shared" si="14"/>
        <v>-232</v>
      </c>
      <c r="F111" s="120">
        <f t="shared" si="15"/>
        <v>-6.4804469273743018E-2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6760</v>
      </c>
      <c r="D113" s="133">
        <v>6826</v>
      </c>
      <c r="E113" s="133">
        <f t="shared" ref="E113:E124" si="16">D113-C113</f>
        <v>66</v>
      </c>
      <c r="F113" s="114">
        <f t="shared" ref="F113:F124" si="17">IF(C113=0,0,E113/C113)</f>
        <v>9.7633136094674548E-3</v>
      </c>
    </row>
    <row r="114" spans="1:6" x14ac:dyDescent="0.2">
      <c r="A114" s="115">
        <v>2</v>
      </c>
      <c r="B114" s="116" t="s">
        <v>114</v>
      </c>
      <c r="C114" s="133">
        <v>2438</v>
      </c>
      <c r="D114" s="133">
        <v>2376</v>
      </c>
      <c r="E114" s="133">
        <f t="shared" si="16"/>
        <v>-62</v>
      </c>
      <c r="F114" s="114">
        <f t="shared" si="17"/>
        <v>-2.5430680885972109E-2</v>
      </c>
    </row>
    <row r="115" spans="1:6" x14ac:dyDescent="0.2">
      <c r="A115" s="115">
        <v>3</v>
      </c>
      <c r="B115" s="116" t="s">
        <v>115</v>
      </c>
      <c r="C115" s="133">
        <v>813</v>
      </c>
      <c r="D115" s="133">
        <v>568</v>
      </c>
      <c r="E115" s="133">
        <f t="shared" si="16"/>
        <v>-245</v>
      </c>
      <c r="F115" s="114">
        <f t="shared" si="17"/>
        <v>-0.30135301353013533</v>
      </c>
    </row>
    <row r="116" spans="1:6" x14ac:dyDescent="0.2">
      <c r="A116" s="115">
        <v>4</v>
      </c>
      <c r="B116" s="116" t="s">
        <v>116</v>
      </c>
      <c r="C116" s="133">
        <v>434</v>
      </c>
      <c r="D116" s="133">
        <v>343</v>
      </c>
      <c r="E116" s="133">
        <f t="shared" si="16"/>
        <v>-91</v>
      </c>
      <c r="F116" s="114">
        <f t="shared" si="17"/>
        <v>-0.20967741935483872</v>
      </c>
    </row>
    <row r="117" spans="1:6" x14ac:dyDescent="0.2">
      <c r="A117" s="115">
        <v>5</v>
      </c>
      <c r="B117" s="116" t="s">
        <v>117</v>
      </c>
      <c r="C117" s="133">
        <v>9</v>
      </c>
      <c r="D117" s="133">
        <v>27</v>
      </c>
      <c r="E117" s="133">
        <f t="shared" si="16"/>
        <v>18</v>
      </c>
      <c r="F117" s="114">
        <f t="shared" si="17"/>
        <v>2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3989</v>
      </c>
      <c r="D119" s="133">
        <v>3236</v>
      </c>
      <c r="E119" s="133">
        <f t="shared" si="16"/>
        <v>-753</v>
      </c>
      <c r="F119" s="114">
        <f t="shared" si="17"/>
        <v>-0.18876911506643268</v>
      </c>
    </row>
    <row r="120" spans="1:6" x14ac:dyDescent="0.2">
      <c r="A120" s="115">
        <v>8</v>
      </c>
      <c r="B120" s="116" t="s">
        <v>120</v>
      </c>
      <c r="C120" s="133">
        <v>56</v>
      </c>
      <c r="D120" s="133">
        <v>46</v>
      </c>
      <c r="E120" s="133">
        <f t="shared" si="16"/>
        <v>-10</v>
      </c>
      <c r="F120" s="114">
        <f t="shared" si="17"/>
        <v>-0.17857142857142858</v>
      </c>
    </row>
    <row r="121" spans="1:6" x14ac:dyDescent="0.2">
      <c r="A121" s="115">
        <v>9</v>
      </c>
      <c r="B121" s="116" t="s">
        <v>121</v>
      </c>
      <c r="C121" s="133">
        <v>252</v>
      </c>
      <c r="D121" s="133">
        <v>175</v>
      </c>
      <c r="E121" s="133">
        <f t="shared" si="16"/>
        <v>-77</v>
      </c>
      <c r="F121" s="114">
        <f t="shared" si="17"/>
        <v>-0.30555555555555558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5</v>
      </c>
      <c r="D123" s="133">
        <v>6</v>
      </c>
      <c r="E123" s="133">
        <f t="shared" si="16"/>
        <v>1</v>
      </c>
      <c r="F123" s="114">
        <f t="shared" si="17"/>
        <v>0.2</v>
      </c>
    </row>
    <row r="124" spans="1:6" ht="15.75" x14ac:dyDescent="0.25">
      <c r="A124" s="117"/>
      <c r="B124" s="118" t="s">
        <v>140</v>
      </c>
      <c r="C124" s="134">
        <f>SUM(C113:C123)</f>
        <v>14756</v>
      </c>
      <c r="D124" s="134">
        <f>SUM(D113:D123)</f>
        <v>13603</v>
      </c>
      <c r="E124" s="134">
        <f t="shared" si="16"/>
        <v>-1153</v>
      </c>
      <c r="F124" s="120">
        <f t="shared" si="17"/>
        <v>-7.8137706695581455E-2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8336</v>
      </c>
      <c r="D126" s="133">
        <v>8518</v>
      </c>
      <c r="E126" s="133">
        <f t="shared" ref="E126:E137" si="18">D126-C126</f>
        <v>182</v>
      </c>
      <c r="F126" s="114">
        <f t="shared" ref="F126:F137" si="19">IF(C126=0,0,E126/C126)</f>
        <v>2.1833013435700575E-2</v>
      </c>
    </row>
    <row r="127" spans="1:6" x14ac:dyDescent="0.2">
      <c r="A127" s="115">
        <v>2</v>
      </c>
      <c r="B127" s="116" t="s">
        <v>114</v>
      </c>
      <c r="C127" s="133">
        <v>4069</v>
      </c>
      <c r="D127" s="133">
        <v>4510</v>
      </c>
      <c r="E127" s="133">
        <f t="shared" si="18"/>
        <v>441</v>
      </c>
      <c r="F127" s="114">
        <f t="shared" si="19"/>
        <v>0.10838043745391988</v>
      </c>
    </row>
    <row r="128" spans="1:6" x14ac:dyDescent="0.2">
      <c r="A128" s="115">
        <v>3</v>
      </c>
      <c r="B128" s="116" t="s">
        <v>115</v>
      </c>
      <c r="C128" s="133">
        <v>3824</v>
      </c>
      <c r="D128" s="133">
        <v>4071</v>
      </c>
      <c r="E128" s="133">
        <f t="shared" si="18"/>
        <v>247</v>
      </c>
      <c r="F128" s="114">
        <f t="shared" si="19"/>
        <v>6.4592050209205026E-2</v>
      </c>
    </row>
    <row r="129" spans="1:6" x14ac:dyDescent="0.2">
      <c r="A129" s="115">
        <v>4</v>
      </c>
      <c r="B129" s="116" t="s">
        <v>116</v>
      </c>
      <c r="C129" s="133">
        <v>6754</v>
      </c>
      <c r="D129" s="133">
        <v>5948</v>
      </c>
      <c r="E129" s="133">
        <f t="shared" si="18"/>
        <v>-806</v>
      </c>
      <c r="F129" s="114">
        <f t="shared" si="19"/>
        <v>-0.11933668936926266</v>
      </c>
    </row>
    <row r="130" spans="1:6" x14ac:dyDescent="0.2">
      <c r="A130" s="115">
        <v>5</v>
      </c>
      <c r="B130" s="116" t="s">
        <v>117</v>
      </c>
      <c r="C130" s="133">
        <v>149</v>
      </c>
      <c r="D130" s="133">
        <v>166</v>
      </c>
      <c r="E130" s="133">
        <f t="shared" si="18"/>
        <v>17</v>
      </c>
      <c r="F130" s="114">
        <f t="shared" si="19"/>
        <v>0.11409395973154363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30248</v>
      </c>
      <c r="D132" s="133">
        <v>28673</v>
      </c>
      <c r="E132" s="133">
        <f t="shared" si="18"/>
        <v>-1575</v>
      </c>
      <c r="F132" s="114">
        <f t="shared" si="19"/>
        <v>-5.2069558317905315E-2</v>
      </c>
    </row>
    <row r="133" spans="1:6" x14ac:dyDescent="0.2">
      <c r="A133" s="115">
        <v>8</v>
      </c>
      <c r="B133" s="116" t="s">
        <v>120</v>
      </c>
      <c r="C133" s="133">
        <v>961</v>
      </c>
      <c r="D133" s="133">
        <v>935</v>
      </c>
      <c r="E133" s="133">
        <f t="shared" si="18"/>
        <v>-26</v>
      </c>
      <c r="F133" s="114">
        <f t="shared" si="19"/>
        <v>-2.7055150884495317E-2</v>
      </c>
    </row>
    <row r="134" spans="1:6" x14ac:dyDescent="0.2">
      <c r="A134" s="115">
        <v>9</v>
      </c>
      <c r="B134" s="116" t="s">
        <v>121</v>
      </c>
      <c r="C134" s="133">
        <v>2887</v>
      </c>
      <c r="D134" s="133">
        <v>2717</v>
      </c>
      <c r="E134" s="133">
        <f t="shared" si="18"/>
        <v>-170</v>
      </c>
      <c r="F134" s="114">
        <f t="shared" si="19"/>
        <v>-5.8884655351576033E-2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124</v>
      </c>
      <c r="D136" s="133">
        <v>124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57352</v>
      </c>
      <c r="D137" s="134">
        <f>SUM(D126:D136)</f>
        <v>55662</v>
      </c>
      <c r="E137" s="134">
        <f t="shared" si="18"/>
        <v>-1690</v>
      </c>
      <c r="F137" s="120">
        <f t="shared" si="19"/>
        <v>-2.9467150230157623E-2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7293771</v>
      </c>
      <c r="D142" s="113">
        <v>7991432</v>
      </c>
      <c r="E142" s="113">
        <f t="shared" ref="E142:E153" si="20">D142-C142</f>
        <v>697661</v>
      </c>
      <c r="F142" s="114">
        <f t="shared" ref="F142:F153" si="21">IF(C142=0,0,E142/C142)</f>
        <v>9.5651618346668688E-2</v>
      </c>
    </row>
    <row r="143" spans="1:6" x14ac:dyDescent="0.2">
      <c r="A143" s="115">
        <v>2</v>
      </c>
      <c r="B143" s="116" t="s">
        <v>114</v>
      </c>
      <c r="C143" s="113">
        <v>2920343</v>
      </c>
      <c r="D143" s="113">
        <v>3220674</v>
      </c>
      <c r="E143" s="113">
        <f t="shared" si="20"/>
        <v>300331</v>
      </c>
      <c r="F143" s="114">
        <f t="shared" si="21"/>
        <v>0.10284100189601016</v>
      </c>
    </row>
    <row r="144" spans="1:6" x14ac:dyDescent="0.2">
      <c r="A144" s="115">
        <v>3</v>
      </c>
      <c r="B144" s="116" t="s">
        <v>115</v>
      </c>
      <c r="C144" s="113">
        <v>4447121</v>
      </c>
      <c r="D144" s="113">
        <v>1342068</v>
      </c>
      <c r="E144" s="113">
        <f t="shared" si="20"/>
        <v>-3105053</v>
      </c>
      <c r="F144" s="114">
        <f t="shared" si="21"/>
        <v>-0.69821644160345531</v>
      </c>
    </row>
    <row r="145" spans="1:6" x14ac:dyDescent="0.2">
      <c r="A145" s="115">
        <v>4</v>
      </c>
      <c r="B145" s="116" t="s">
        <v>116</v>
      </c>
      <c r="C145" s="113">
        <v>5705539</v>
      </c>
      <c r="D145" s="113">
        <v>5940933</v>
      </c>
      <c r="E145" s="113">
        <f t="shared" si="20"/>
        <v>235394</v>
      </c>
      <c r="F145" s="114">
        <f t="shared" si="21"/>
        <v>4.1257101213399823E-2</v>
      </c>
    </row>
    <row r="146" spans="1:6" x14ac:dyDescent="0.2">
      <c r="A146" s="115">
        <v>5</v>
      </c>
      <c r="B146" s="116" t="s">
        <v>117</v>
      </c>
      <c r="C146" s="113">
        <v>135312</v>
      </c>
      <c r="D146" s="113">
        <v>153712</v>
      </c>
      <c r="E146" s="113">
        <f t="shared" si="20"/>
        <v>18400</v>
      </c>
      <c r="F146" s="114">
        <f t="shared" si="21"/>
        <v>0.13598202672342438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18118342</v>
      </c>
      <c r="D148" s="113">
        <v>23249455</v>
      </c>
      <c r="E148" s="113">
        <f t="shared" si="20"/>
        <v>5131113</v>
      </c>
      <c r="F148" s="114">
        <f t="shared" si="21"/>
        <v>0.28319991972775432</v>
      </c>
    </row>
    <row r="149" spans="1:6" x14ac:dyDescent="0.2">
      <c r="A149" s="115">
        <v>8</v>
      </c>
      <c r="B149" s="116" t="s">
        <v>120</v>
      </c>
      <c r="C149" s="113">
        <v>838666</v>
      </c>
      <c r="D149" s="113">
        <v>953677</v>
      </c>
      <c r="E149" s="113">
        <f t="shared" si="20"/>
        <v>115011</v>
      </c>
      <c r="F149" s="114">
        <f t="shared" si="21"/>
        <v>0.13713564160225883</v>
      </c>
    </row>
    <row r="150" spans="1:6" x14ac:dyDescent="0.2">
      <c r="A150" s="115">
        <v>9</v>
      </c>
      <c r="B150" s="116" t="s">
        <v>121</v>
      </c>
      <c r="C150" s="113">
        <v>3333640</v>
      </c>
      <c r="D150" s="113">
        <v>3507216</v>
      </c>
      <c r="E150" s="113">
        <f t="shared" si="20"/>
        <v>173576</v>
      </c>
      <c r="F150" s="114">
        <f t="shared" si="21"/>
        <v>5.2068009743103633E-2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130545</v>
      </c>
      <c r="D152" s="113">
        <v>151918</v>
      </c>
      <c r="E152" s="113">
        <f t="shared" si="20"/>
        <v>21373</v>
      </c>
      <c r="F152" s="114">
        <f t="shared" si="21"/>
        <v>0.16372132214945037</v>
      </c>
    </row>
    <row r="153" spans="1:6" ht="33.75" customHeight="1" x14ac:dyDescent="0.25">
      <c r="A153" s="117"/>
      <c r="B153" s="118" t="s">
        <v>146</v>
      </c>
      <c r="C153" s="119">
        <f>SUM(C142:C152)</f>
        <v>42923279</v>
      </c>
      <c r="D153" s="119">
        <f>SUM(D142:D152)</f>
        <v>46511085</v>
      </c>
      <c r="E153" s="119">
        <f t="shared" si="20"/>
        <v>3587806</v>
      </c>
      <c r="F153" s="120">
        <f t="shared" si="21"/>
        <v>8.3586484620618101E-2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1757514</v>
      </c>
      <c r="D155" s="113">
        <v>1880370</v>
      </c>
      <c r="E155" s="113">
        <f t="shared" ref="E155:E166" si="22">D155-C155</f>
        <v>122856</v>
      </c>
      <c r="F155" s="114">
        <f t="shared" ref="F155:F166" si="23">IF(C155=0,0,E155/C155)</f>
        <v>6.990328384297366E-2</v>
      </c>
    </row>
    <row r="156" spans="1:6" x14ac:dyDescent="0.2">
      <c r="A156" s="115">
        <v>2</v>
      </c>
      <c r="B156" s="116" t="s">
        <v>114</v>
      </c>
      <c r="C156" s="113">
        <v>767921</v>
      </c>
      <c r="D156" s="113">
        <v>769435</v>
      </c>
      <c r="E156" s="113">
        <f t="shared" si="22"/>
        <v>1514</v>
      </c>
      <c r="F156" s="114">
        <f t="shared" si="23"/>
        <v>1.9715569700529093E-3</v>
      </c>
    </row>
    <row r="157" spans="1:6" x14ac:dyDescent="0.2">
      <c r="A157" s="115">
        <v>3</v>
      </c>
      <c r="B157" s="116" t="s">
        <v>115</v>
      </c>
      <c r="C157" s="113">
        <v>1104837</v>
      </c>
      <c r="D157" s="113">
        <v>1342068</v>
      </c>
      <c r="E157" s="113">
        <f t="shared" si="22"/>
        <v>237231</v>
      </c>
      <c r="F157" s="114">
        <f t="shared" si="23"/>
        <v>0.21472036146508489</v>
      </c>
    </row>
    <row r="158" spans="1:6" x14ac:dyDescent="0.2">
      <c r="A158" s="115">
        <v>4</v>
      </c>
      <c r="B158" s="116" t="s">
        <v>116</v>
      </c>
      <c r="C158" s="113">
        <v>1532956</v>
      </c>
      <c r="D158" s="113">
        <v>4340423</v>
      </c>
      <c r="E158" s="113">
        <f t="shared" si="22"/>
        <v>2807467</v>
      </c>
      <c r="F158" s="114">
        <f t="shared" si="23"/>
        <v>1.8314074246097083</v>
      </c>
    </row>
    <row r="159" spans="1:6" x14ac:dyDescent="0.2">
      <c r="A159" s="115">
        <v>5</v>
      </c>
      <c r="B159" s="116" t="s">
        <v>117</v>
      </c>
      <c r="C159" s="113">
        <v>42700</v>
      </c>
      <c r="D159" s="113">
        <v>51003</v>
      </c>
      <c r="E159" s="113">
        <f t="shared" si="22"/>
        <v>8303</v>
      </c>
      <c r="F159" s="114">
        <f t="shared" si="23"/>
        <v>0.19444964871194378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9335602</v>
      </c>
      <c r="D161" s="113">
        <v>10254347</v>
      </c>
      <c r="E161" s="113">
        <f t="shared" si="22"/>
        <v>918745</v>
      </c>
      <c r="F161" s="114">
        <f t="shared" si="23"/>
        <v>9.8413042886789731E-2</v>
      </c>
    </row>
    <row r="162" spans="1:6" x14ac:dyDescent="0.2">
      <c r="A162" s="115">
        <v>8</v>
      </c>
      <c r="B162" s="116" t="s">
        <v>120</v>
      </c>
      <c r="C162" s="113">
        <v>608828</v>
      </c>
      <c r="D162" s="113">
        <v>676606</v>
      </c>
      <c r="E162" s="113">
        <f t="shared" si="22"/>
        <v>67778</v>
      </c>
      <c r="F162" s="114">
        <f t="shared" si="23"/>
        <v>0.11132536611325367</v>
      </c>
    </row>
    <row r="163" spans="1:6" x14ac:dyDescent="0.2">
      <c r="A163" s="115">
        <v>9</v>
      </c>
      <c r="B163" s="116" t="s">
        <v>121</v>
      </c>
      <c r="C163" s="113">
        <v>213529</v>
      </c>
      <c r="D163" s="113">
        <v>744309</v>
      </c>
      <c r="E163" s="113">
        <f t="shared" si="22"/>
        <v>530780</v>
      </c>
      <c r="F163" s="114">
        <f t="shared" si="23"/>
        <v>2.4857513499337327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26560</v>
      </c>
      <c r="D165" s="113">
        <v>46915</v>
      </c>
      <c r="E165" s="113">
        <f t="shared" si="22"/>
        <v>20355</v>
      </c>
      <c r="F165" s="114">
        <f t="shared" si="23"/>
        <v>0.76637801204819278</v>
      </c>
    </row>
    <row r="166" spans="1:6" ht="33.75" customHeight="1" x14ac:dyDescent="0.25">
      <c r="A166" s="117"/>
      <c r="B166" s="118" t="s">
        <v>148</v>
      </c>
      <c r="C166" s="119">
        <f>SUM(C155:C165)</f>
        <v>15390447</v>
      </c>
      <c r="D166" s="119">
        <f>SUM(D155:D165)</f>
        <v>20105476</v>
      </c>
      <c r="E166" s="119">
        <f t="shared" si="22"/>
        <v>4715029</v>
      </c>
      <c r="F166" s="120">
        <f t="shared" si="23"/>
        <v>0.30636075742309499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4007</v>
      </c>
      <c r="D168" s="133">
        <v>4050</v>
      </c>
      <c r="E168" s="133">
        <f t="shared" ref="E168:E179" si="24">D168-C168</f>
        <v>43</v>
      </c>
      <c r="F168" s="114">
        <f t="shared" ref="F168:F179" si="25">IF(C168=0,0,E168/C168)</f>
        <v>1.0731220364362366E-2</v>
      </c>
    </row>
    <row r="169" spans="1:6" x14ac:dyDescent="0.2">
      <c r="A169" s="115">
        <v>2</v>
      </c>
      <c r="B169" s="116" t="s">
        <v>114</v>
      </c>
      <c r="C169" s="133">
        <v>1520</v>
      </c>
      <c r="D169" s="133">
        <v>1532</v>
      </c>
      <c r="E169" s="133">
        <f t="shared" si="24"/>
        <v>12</v>
      </c>
      <c r="F169" s="114">
        <f t="shared" si="25"/>
        <v>7.8947368421052634E-3</v>
      </c>
    </row>
    <row r="170" spans="1:6" x14ac:dyDescent="0.2">
      <c r="A170" s="115">
        <v>3</v>
      </c>
      <c r="B170" s="116" t="s">
        <v>115</v>
      </c>
      <c r="C170" s="133">
        <v>3196</v>
      </c>
      <c r="D170" s="133">
        <v>3216</v>
      </c>
      <c r="E170" s="133">
        <f t="shared" si="24"/>
        <v>20</v>
      </c>
      <c r="F170" s="114">
        <f t="shared" si="25"/>
        <v>6.2578222778473091E-3</v>
      </c>
    </row>
    <row r="171" spans="1:6" x14ac:dyDescent="0.2">
      <c r="A171" s="115">
        <v>4</v>
      </c>
      <c r="B171" s="116" t="s">
        <v>116</v>
      </c>
      <c r="C171" s="133">
        <v>5205</v>
      </c>
      <c r="D171" s="133">
        <v>4944</v>
      </c>
      <c r="E171" s="133">
        <f t="shared" si="24"/>
        <v>-261</v>
      </c>
      <c r="F171" s="114">
        <f t="shared" si="25"/>
        <v>-5.0144092219020171E-2</v>
      </c>
    </row>
    <row r="172" spans="1:6" x14ac:dyDescent="0.2">
      <c r="A172" s="115">
        <v>5</v>
      </c>
      <c r="B172" s="116" t="s">
        <v>117</v>
      </c>
      <c r="C172" s="133">
        <v>122</v>
      </c>
      <c r="D172" s="133">
        <v>119</v>
      </c>
      <c r="E172" s="133">
        <f t="shared" si="24"/>
        <v>-3</v>
      </c>
      <c r="F172" s="114">
        <f t="shared" si="25"/>
        <v>-2.4590163934426229E-2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15761</v>
      </c>
      <c r="D174" s="133">
        <v>14791</v>
      </c>
      <c r="E174" s="133">
        <f t="shared" si="24"/>
        <v>-970</v>
      </c>
      <c r="F174" s="114">
        <f t="shared" si="25"/>
        <v>-6.1544318253917901E-2</v>
      </c>
    </row>
    <row r="175" spans="1:6" x14ac:dyDescent="0.2">
      <c r="A175" s="115">
        <v>8</v>
      </c>
      <c r="B175" s="116" t="s">
        <v>120</v>
      </c>
      <c r="C175" s="133">
        <v>845</v>
      </c>
      <c r="D175" s="133">
        <v>896</v>
      </c>
      <c r="E175" s="133">
        <f t="shared" si="24"/>
        <v>51</v>
      </c>
      <c r="F175" s="114">
        <f t="shared" si="25"/>
        <v>6.0355029585798817E-2</v>
      </c>
    </row>
    <row r="176" spans="1:6" x14ac:dyDescent="0.2">
      <c r="A176" s="115">
        <v>9</v>
      </c>
      <c r="B176" s="116" t="s">
        <v>121</v>
      </c>
      <c r="C176" s="133">
        <v>2656</v>
      </c>
      <c r="D176" s="133">
        <v>2508</v>
      </c>
      <c r="E176" s="133">
        <f t="shared" si="24"/>
        <v>-148</v>
      </c>
      <c r="F176" s="114">
        <f t="shared" si="25"/>
        <v>-5.5722891566265059E-2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115</v>
      </c>
      <c r="D178" s="133">
        <v>119</v>
      </c>
      <c r="E178" s="133">
        <f t="shared" si="24"/>
        <v>4</v>
      </c>
      <c r="F178" s="114">
        <f t="shared" si="25"/>
        <v>3.4782608695652174E-2</v>
      </c>
    </row>
    <row r="179" spans="1:6" ht="33.75" customHeight="1" x14ac:dyDescent="0.25">
      <c r="A179" s="117"/>
      <c r="B179" s="118" t="s">
        <v>150</v>
      </c>
      <c r="C179" s="134">
        <f>SUM(C168:C178)</f>
        <v>33427</v>
      </c>
      <c r="D179" s="134">
        <f>SUM(D168:D178)</f>
        <v>32175</v>
      </c>
      <c r="E179" s="134">
        <f t="shared" si="24"/>
        <v>-1252</v>
      </c>
      <c r="F179" s="120">
        <f t="shared" si="25"/>
        <v>-3.7454752146468422E-2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5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K33" sqref="K33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16612248</v>
      </c>
      <c r="D15" s="157">
        <v>16446079</v>
      </c>
      <c r="E15" s="157">
        <f>+D15-C15</f>
        <v>-166169</v>
      </c>
      <c r="F15" s="161">
        <f>IF(C15=0,0,E15/C15)</f>
        <v>-1.000280034345743E-2</v>
      </c>
    </row>
    <row r="16" spans="1:6" ht="15" customHeight="1" x14ac:dyDescent="0.2">
      <c r="A16" s="147">
        <v>2</v>
      </c>
      <c r="B16" s="160" t="s">
        <v>157</v>
      </c>
      <c r="C16" s="157">
        <v>5506935</v>
      </c>
      <c r="D16" s="157">
        <v>5633239</v>
      </c>
      <c r="E16" s="157">
        <f>+D16-C16</f>
        <v>126304</v>
      </c>
      <c r="F16" s="161">
        <f>IF(C16=0,0,E16/C16)</f>
        <v>2.2935444126360671E-2</v>
      </c>
    </row>
    <row r="17" spans="1:6" ht="15" customHeight="1" x14ac:dyDescent="0.2">
      <c r="A17" s="147">
        <v>3</v>
      </c>
      <c r="B17" s="160" t="s">
        <v>158</v>
      </c>
      <c r="C17" s="157">
        <v>15846036</v>
      </c>
      <c r="D17" s="157">
        <v>15739752</v>
      </c>
      <c r="E17" s="157">
        <f>+D17-C17</f>
        <v>-106284</v>
      </c>
      <c r="F17" s="161">
        <f>IF(C17=0,0,E17/C17)</f>
        <v>-6.7072925998653546E-3</v>
      </c>
    </row>
    <row r="18" spans="1:6" ht="15.75" customHeight="1" x14ac:dyDescent="0.25">
      <c r="A18" s="147"/>
      <c r="B18" s="162" t="s">
        <v>159</v>
      </c>
      <c r="C18" s="158">
        <f>SUM(C15:C17)</f>
        <v>37965219</v>
      </c>
      <c r="D18" s="158">
        <f>SUM(D15:D17)</f>
        <v>37819070</v>
      </c>
      <c r="E18" s="158">
        <f>+D18-C18</f>
        <v>-146149</v>
      </c>
      <c r="F18" s="159">
        <f>IF(C18=0,0,E18/C18)</f>
        <v>-3.849549768170704E-3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6871624</v>
      </c>
      <c r="D21" s="157">
        <v>5577143</v>
      </c>
      <c r="E21" s="157">
        <f>+D21-C21</f>
        <v>-1294481</v>
      </c>
      <c r="F21" s="161">
        <f>IF(C21=0,0,E21/C21)</f>
        <v>-0.18838065062931267</v>
      </c>
    </row>
    <row r="22" spans="1:6" ht="15" customHeight="1" x14ac:dyDescent="0.2">
      <c r="A22" s="147">
        <v>2</v>
      </c>
      <c r="B22" s="160" t="s">
        <v>162</v>
      </c>
      <c r="C22" s="157">
        <v>771654</v>
      </c>
      <c r="D22" s="157">
        <v>695961</v>
      </c>
      <c r="E22" s="157">
        <f>+D22-C22</f>
        <v>-75693</v>
      </c>
      <c r="F22" s="161">
        <f>IF(C22=0,0,E22/C22)</f>
        <v>-9.8091890925207412E-2</v>
      </c>
    </row>
    <row r="23" spans="1:6" ht="15" customHeight="1" x14ac:dyDescent="0.2">
      <c r="A23" s="147">
        <v>3</v>
      </c>
      <c r="B23" s="160" t="s">
        <v>163</v>
      </c>
      <c r="C23" s="157">
        <v>6895421</v>
      </c>
      <c r="D23" s="157">
        <v>5907420</v>
      </c>
      <c r="E23" s="157">
        <f>+D23-C23</f>
        <v>-988001</v>
      </c>
      <c r="F23" s="161">
        <f>IF(C23=0,0,E23/C23)</f>
        <v>-0.14328363706871561</v>
      </c>
    </row>
    <row r="24" spans="1:6" ht="15.75" customHeight="1" x14ac:dyDescent="0.25">
      <c r="A24" s="147"/>
      <c r="B24" s="162" t="s">
        <v>164</v>
      </c>
      <c r="C24" s="158">
        <f>SUM(C21:C23)</f>
        <v>14538699</v>
      </c>
      <c r="D24" s="158">
        <f>SUM(D21:D23)</f>
        <v>12180524</v>
      </c>
      <c r="E24" s="158">
        <f>+D24-C24</f>
        <v>-2358175</v>
      </c>
      <c r="F24" s="159">
        <f>IF(C24=0,0,E24/C24)</f>
        <v>-0.16219986396306849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149330</v>
      </c>
      <c r="D27" s="157">
        <v>279055</v>
      </c>
      <c r="E27" s="157">
        <f>+D27-C27</f>
        <v>129725</v>
      </c>
      <c r="F27" s="161">
        <f>IF(C27=0,0,E27/C27)</f>
        <v>0.86871358735686066</v>
      </c>
    </row>
    <row r="28" spans="1:6" ht="15" customHeight="1" x14ac:dyDescent="0.2">
      <c r="A28" s="147">
        <v>2</v>
      </c>
      <c r="B28" s="160" t="s">
        <v>167</v>
      </c>
      <c r="C28" s="157">
        <v>1056109</v>
      </c>
      <c r="D28" s="157">
        <v>722901</v>
      </c>
      <c r="E28" s="157">
        <f>+D28-C28</f>
        <v>-333208</v>
      </c>
      <c r="F28" s="161">
        <f>IF(C28=0,0,E28/C28)</f>
        <v>-0.31550531242513796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1205439</v>
      </c>
      <c r="D30" s="158">
        <f>SUM(D27:D29)</f>
        <v>1001956</v>
      </c>
      <c r="E30" s="158">
        <f>+D30-C30</f>
        <v>-203483</v>
      </c>
      <c r="F30" s="159">
        <f>IF(C30=0,0,E30/C30)</f>
        <v>-0.16880406225449815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9629635</v>
      </c>
      <c r="D33" s="157">
        <v>9894485</v>
      </c>
      <c r="E33" s="157">
        <f>+D33-C33</f>
        <v>264850</v>
      </c>
      <c r="F33" s="161">
        <f>IF(C33=0,0,E33/C33)</f>
        <v>2.7503638507586217E-2</v>
      </c>
    </row>
    <row r="34" spans="1:6" ht="15" customHeight="1" x14ac:dyDescent="0.2">
      <c r="A34" s="147">
        <v>2</v>
      </c>
      <c r="B34" s="160" t="s">
        <v>173</v>
      </c>
      <c r="C34" s="157">
        <v>1759145</v>
      </c>
      <c r="D34" s="157">
        <v>1689621</v>
      </c>
      <c r="E34" s="157">
        <f>+D34-C34</f>
        <v>-69524</v>
      </c>
      <c r="F34" s="161">
        <f>IF(C34=0,0,E34/C34)</f>
        <v>-3.9521472078765538E-2</v>
      </c>
    </row>
    <row r="35" spans="1:6" ht="15.75" customHeight="1" x14ac:dyDescent="0.25">
      <c r="A35" s="147"/>
      <c r="B35" s="162" t="s">
        <v>174</v>
      </c>
      <c r="C35" s="158">
        <f>SUM(C33:C34)</f>
        <v>11388780</v>
      </c>
      <c r="D35" s="158">
        <f>SUM(D33:D34)</f>
        <v>11584106</v>
      </c>
      <c r="E35" s="158">
        <f>+D35-C35</f>
        <v>195326</v>
      </c>
      <c r="F35" s="159">
        <f>IF(C35=0,0,E35/C35)</f>
        <v>1.7150739587558982E-2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1391027</v>
      </c>
      <c r="D38" s="157">
        <v>2686630</v>
      </c>
      <c r="E38" s="157">
        <f>+D38-C38</f>
        <v>1295603</v>
      </c>
      <c r="F38" s="161">
        <f>IF(C38=0,0,E38/C38)</f>
        <v>0.93140032508355342</v>
      </c>
    </row>
    <row r="39" spans="1:6" ht="15" customHeight="1" x14ac:dyDescent="0.2">
      <c r="A39" s="147">
        <v>2</v>
      </c>
      <c r="B39" s="160" t="s">
        <v>178</v>
      </c>
      <c r="C39" s="157">
        <v>1396357</v>
      </c>
      <c r="D39" s="157">
        <v>1484821</v>
      </c>
      <c r="E39" s="157">
        <f>+D39-C39</f>
        <v>88464</v>
      </c>
      <c r="F39" s="161">
        <f>IF(C39=0,0,E39/C39)</f>
        <v>6.3353426093756826E-2</v>
      </c>
    </row>
    <row r="40" spans="1:6" ht="15" customHeight="1" x14ac:dyDescent="0.2">
      <c r="A40" s="147">
        <v>3</v>
      </c>
      <c r="B40" s="160" t="s">
        <v>179</v>
      </c>
      <c r="C40" s="157">
        <v>9526</v>
      </c>
      <c r="D40" s="157">
        <v>9526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2796910</v>
      </c>
      <c r="D41" s="158">
        <f>SUM(D38:D40)</f>
        <v>4180977</v>
      </c>
      <c r="E41" s="158">
        <f>+D41-C41</f>
        <v>1384067</v>
      </c>
      <c r="F41" s="159">
        <f>IF(C41=0,0,E41/C41)</f>
        <v>0.49485575152579098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7028914</v>
      </c>
      <c r="D44" s="157">
        <v>0</v>
      </c>
      <c r="E44" s="157">
        <f>+D44-C44</f>
        <v>-7028914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102151</v>
      </c>
      <c r="D47" s="157">
        <v>34936</v>
      </c>
      <c r="E47" s="157">
        <f>+D47-C47</f>
        <v>-67215</v>
      </c>
      <c r="F47" s="161">
        <f>IF(C47=0,0,E47/C47)</f>
        <v>-0.65799649538428406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2550199</v>
      </c>
      <c r="D50" s="157">
        <v>2479413</v>
      </c>
      <c r="E50" s="157">
        <f>+D50-C50</f>
        <v>-70786</v>
      </c>
      <c r="F50" s="161">
        <f>IF(C50=0,0,E50/C50)</f>
        <v>-2.7757049547898028E-2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92807</v>
      </c>
      <c r="D53" s="157">
        <v>84975</v>
      </c>
      <c r="E53" s="157">
        <f t="shared" ref="E53:E59" si="0">+D53-C53</f>
        <v>-7832</v>
      </c>
      <c r="F53" s="161">
        <f t="shared" ref="F53:F59" si="1">IF(C53=0,0,E53/C53)</f>
        <v>-8.4390186085101335E-2</v>
      </c>
    </row>
    <row r="54" spans="1:6" ht="15" customHeight="1" x14ac:dyDescent="0.2">
      <c r="A54" s="147">
        <v>2</v>
      </c>
      <c r="B54" s="160" t="s">
        <v>189</v>
      </c>
      <c r="C54" s="157">
        <v>437281</v>
      </c>
      <c r="D54" s="157">
        <v>533634</v>
      </c>
      <c r="E54" s="157">
        <f t="shared" si="0"/>
        <v>96353</v>
      </c>
      <c r="F54" s="161">
        <f t="shared" si="1"/>
        <v>0.22034572734694624</v>
      </c>
    </row>
    <row r="55" spans="1:6" ht="15" customHeight="1" x14ac:dyDescent="0.2">
      <c r="A55" s="147">
        <v>3</v>
      </c>
      <c r="B55" s="160" t="s">
        <v>190</v>
      </c>
      <c r="C55" s="157">
        <v>29179</v>
      </c>
      <c r="D55" s="157">
        <v>34489</v>
      </c>
      <c r="E55" s="157">
        <f t="shared" si="0"/>
        <v>5310</v>
      </c>
      <c r="F55" s="161">
        <f t="shared" si="1"/>
        <v>0.1819801912334213</v>
      </c>
    </row>
    <row r="56" spans="1:6" ht="15" customHeight="1" x14ac:dyDescent="0.2">
      <c r="A56" s="147">
        <v>4</v>
      </c>
      <c r="B56" s="160" t="s">
        <v>191</v>
      </c>
      <c r="C56" s="157">
        <v>1031851</v>
      </c>
      <c r="D56" s="157">
        <v>1083168</v>
      </c>
      <c r="E56" s="157">
        <f t="shared" si="0"/>
        <v>51317</v>
      </c>
      <c r="F56" s="161">
        <f t="shared" si="1"/>
        <v>4.9732955630221808E-2</v>
      </c>
    </row>
    <row r="57" spans="1:6" ht="15" customHeight="1" x14ac:dyDescent="0.2">
      <c r="A57" s="147">
        <v>5</v>
      </c>
      <c r="B57" s="160" t="s">
        <v>192</v>
      </c>
      <c r="C57" s="157">
        <v>66168</v>
      </c>
      <c r="D57" s="157">
        <v>78530</v>
      </c>
      <c r="E57" s="157">
        <f t="shared" si="0"/>
        <v>12362</v>
      </c>
      <c r="F57" s="161">
        <f t="shared" si="1"/>
        <v>0.18682746947164794</v>
      </c>
    </row>
    <row r="58" spans="1:6" ht="15" customHeight="1" x14ac:dyDescent="0.2">
      <c r="A58" s="147">
        <v>6</v>
      </c>
      <c r="B58" s="160" t="s">
        <v>193</v>
      </c>
      <c r="C58" s="157">
        <v>54153</v>
      </c>
      <c r="D58" s="157">
        <v>53913</v>
      </c>
      <c r="E58" s="157">
        <f t="shared" si="0"/>
        <v>-240</v>
      </c>
      <c r="F58" s="161">
        <f t="shared" si="1"/>
        <v>-4.4318874300592762E-3</v>
      </c>
    </row>
    <row r="59" spans="1:6" ht="15.75" customHeight="1" x14ac:dyDescent="0.25">
      <c r="A59" s="147"/>
      <c r="B59" s="162" t="s">
        <v>194</v>
      </c>
      <c r="C59" s="158">
        <f>SUM(C53:C58)</f>
        <v>1711439</v>
      </c>
      <c r="D59" s="158">
        <f>SUM(D53:D58)</f>
        <v>1868709</v>
      </c>
      <c r="E59" s="158">
        <f t="shared" si="0"/>
        <v>157270</v>
      </c>
      <c r="F59" s="159">
        <f t="shared" si="1"/>
        <v>9.189343003168679E-2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153779</v>
      </c>
      <c r="D62" s="157">
        <v>138117</v>
      </c>
      <c r="E62" s="157">
        <f t="shared" ref="E62:E90" si="2">+D62-C62</f>
        <v>-15662</v>
      </c>
      <c r="F62" s="161">
        <f t="shared" ref="F62:F90" si="3">IF(C62=0,0,E62/C62)</f>
        <v>-0.10184745641472502</v>
      </c>
    </row>
    <row r="63" spans="1:6" ht="15" customHeight="1" x14ac:dyDescent="0.2">
      <c r="A63" s="147">
        <v>2</v>
      </c>
      <c r="B63" s="160" t="s">
        <v>198</v>
      </c>
      <c r="C63" s="157">
        <v>190551</v>
      </c>
      <c r="D63" s="157">
        <v>372467</v>
      </c>
      <c r="E63" s="157">
        <f t="shared" si="2"/>
        <v>181916</v>
      </c>
      <c r="F63" s="161">
        <f t="shared" si="3"/>
        <v>0.95468404784021077</v>
      </c>
    </row>
    <row r="64" spans="1:6" ht="15" customHeight="1" x14ac:dyDescent="0.2">
      <c r="A64" s="147">
        <v>3</v>
      </c>
      <c r="B64" s="160" t="s">
        <v>199</v>
      </c>
      <c r="C64" s="157">
        <v>280441</v>
      </c>
      <c r="D64" s="157">
        <v>167762</v>
      </c>
      <c r="E64" s="157">
        <f t="shared" si="2"/>
        <v>-112679</v>
      </c>
      <c r="F64" s="161">
        <f t="shared" si="3"/>
        <v>-0.40179217732071987</v>
      </c>
    </row>
    <row r="65" spans="1:6" ht="15" customHeight="1" x14ac:dyDescent="0.2">
      <c r="A65" s="147">
        <v>4</v>
      </c>
      <c r="B65" s="160" t="s">
        <v>200</v>
      </c>
      <c r="C65" s="157">
        <v>215685</v>
      </c>
      <c r="D65" s="157">
        <v>229641</v>
      </c>
      <c r="E65" s="157">
        <f t="shared" si="2"/>
        <v>13956</v>
      </c>
      <c r="F65" s="161">
        <f t="shared" si="3"/>
        <v>6.4705473259614718E-2</v>
      </c>
    </row>
    <row r="66" spans="1:6" ht="15" customHeight="1" x14ac:dyDescent="0.2">
      <c r="A66" s="147">
        <v>5</v>
      </c>
      <c r="B66" s="160" t="s">
        <v>201</v>
      </c>
      <c r="C66" s="157">
        <v>172126</v>
      </c>
      <c r="D66" s="157">
        <v>107385</v>
      </c>
      <c r="E66" s="157">
        <f t="shared" si="2"/>
        <v>-64741</v>
      </c>
      <c r="F66" s="161">
        <f t="shared" si="3"/>
        <v>-0.37612562889975948</v>
      </c>
    </row>
    <row r="67" spans="1:6" ht="15" customHeight="1" x14ac:dyDescent="0.2">
      <c r="A67" s="147">
        <v>6</v>
      </c>
      <c r="B67" s="160" t="s">
        <v>202</v>
      </c>
      <c r="C67" s="157">
        <v>138974</v>
      </c>
      <c r="D67" s="157">
        <v>142371</v>
      </c>
      <c r="E67" s="157">
        <f t="shared" si="2"/>
        <v>3397</v>
      </c>
      <c r="F67" s="161">
        <f t="shared" si="3"/>
        <v>2.4443421071567342E-2</v>
      </c>
    </row>
    <row r="68" spans="1:6" ht="15" customHeight="1" x14ac:dyDescent="0.2">
      <c r="A68" s="147">
        <v>7</v>
      </c>
      <c r="B68" s="160" t="s">
        <v>203</v>
      </c>
      <c r="C68" s="157">
        <v>431561</v>
      </c>
      <c r="D68" s="157">
        <v>232040</v>
      </c>
      <c r="E68" s="157">
        <f t="shared" si="2"/>
        <v>-199521</v>
      </c>
      <c r="F68" s="161">
        <f t="shared" si="3"/>
        <v>-0.46232398200949576</v>
      </c>
    </row>
    <row r="69" spans="1:6" ht="15" customHeight="1" x14ac:dyDescent="0.2">
      <c r="A69" s="147">
        <v>8</v>
      </c>
      <c r="B69" s="160" t="s">
        <v>204</v>
      </c>
      <c r="C69" s="157">
        <v>100291</v>
      </c>
      <c r="D69" s="157">
        <v>117407</v>
      </c>
      <c r="E69" s="157">
        <f t="shared" si="2"/>
        <v>17116</v>
      </c>
      <c r="F69" s="161">
        <f t="shared" si="3"/>
        <v>0.17066336959448006</v>
      </c>
    </row>
    <row r="70" spans="1:6" ht="15" customHeight="1" x14ac:dyDescent="0.2">
      <c r="A70" s="147">
        <v>9</v>
      </c>
      <c r="B70" s="160" t="s">
        <v>205</v>
      </c>
      <c r="C70" s="157">
        <v>24478</v>
      </c>
      <c r="D70" s="157">
        <v>26472</v>
      </c>
      <c r="E70" s="157">
        <f t="shared" si="2"/>
        <v>1994</v>
      </c>
      <c r="F70" s="161">
        <f t="shared" si="3"/>
        <v>8.1460903668600371E-2</v>
      </c>
    </row>
    <row r="71" spans="1:6" ht="15" customHeight="1" x14ac:dyDescent="0.2">
      <c r="A71" s="147">
        <v>10</v>
      </c>
      <c r="B71" s="160" t="s">
        <v>206</v>
      </c>
      <c r="C71" s="157">
        <v>18152</v>
      </c>
      <c r="D71" s="157">
        <v>33782</v>
      </c>
      <c r="E71" s="157">
        <f t="shared" si="2"/>
        <v>15630</v>
      </c>
      <c r="F71" s="161">
        <f t="shared" si="3"/>
        <v>0.86106214191273689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1209912</v>
      </c>
      <c r="D73" s="157">
        <v>650726</v>
      </c>
      <c r="E73" s="157">
        <f t="shared" si="2"/>
        <v>-559186</v>
      </c>
      <c r="F73" s="161">
        <f t="shared" si="3"/>
        <v>-0.46217080250464498</v>
      </c>
    </row>
    <row r="74" spans="1:6" ht="15" customHeight="1" x14ac:dyDescent="0.2">
      <c r="A74" s="147">
        <v>13</v>
      </c>
      <c r="B74" s="160" t="s">
        <v>209</v>
      </c>
      <c r="C74" s="157">
        <v>145572</v>
      </c>
      <c r="D74" s="157">
        <v>152014</v>
      </c>
      <c r="E74" s="157">
        <f t="shared" si="2"/>
        <v>6442</v>
      </c>
      <c r="F74" s="161">
        <f t="shared" si="3"/>
        <v>4.4253015689830463E-2</v>
      </c>
    </row>
    <row r="75" spans="1:6" ht="15" customHeight="1" x14ac:dyDescent="0.2">
      <c r="A75" s="147">
        <v>14</v>
      </c>
      <c r="B75" s="160" t="s">
        <v>210</v>
      </c>
      <c r="C75" s="157">
        <v>32635</v>
      </c>
      <c r="D75" s="157">
        <v>48402</v>
      </c>
      <c r="E75" s="157">
        <f t="shared" si="2"/>
        <v>15767</v>
      </c>
      <c r="F75" s="161">
        <f t="shared" si="3"/>
        <v>0.48313160717021603</v>
      </c>
    </row>
    <row r="76" spans="1:6" ht="15" customHeight="1" x14ac:dyDescent="0.2">
      <c r="A76" s="147">
        <v>15</v>
      </c>
      <c r="B76" s="160" t="s">
        <v>211</v>
      </c>
      <c r="C76" s="157">
        <v>178555</v>
      </c>
      <c r="D76" s="157">
        <v>126444</v>
      </c>
      <c r="E76" s="157">
        <f t="shared" si="2"/>
        <v>-52111</v>
      </c>
      <c r="F76" s="161">
        <f t="shared" si="3"/>
        <v>-0.29184845005740528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808944</v>
      </c>
      <c r="D80" s="157">
        <v>632006</v>
      </c>
      <c r="E80" s="157">
        <f t="shared" si="2"/>
        <v>-176938</v>
      </c>
      <c r="F80" s="161">
        <f t="shared" si="3"/>
        <v>-0.21872713067900867</v>
      </c>
    </row>
    <row r="81" spans="1:6" ht="15" customHeight="1" x14ac:dyDescent="0.2">
      <c r="A81" s="147">
        <v>20</v>
      </c>
      <c r="B81" s="160" t="s">
        <v>216</v>
      </c>
      <c r="C81" s="157">
        <v>872090</v>
      </c>
      <c r="D81" s="157">
        <v>777655</v>
      </c>
      <c r="E81" s="157">
        <f t="shared" si="2"/>
        <v>-94435</v>
      </c>
      <c r="F81" s="161">
        <f t="shared" si="3"/>
        <v>-0.1082858420575858</v>
      </c>
    </row>
    <row r="82" spans="1:6" ht="15" customHeight="1" x14ac:dyDescent="0.2">
      <c r="A82" s="147">
        <v>21</v>
      </c>
      <c r="B82" s="160" t="s">
        <v>217</v>
      </c>
      <c r="C82" s="157">
        <v>378200</v>
      </c>
      <c r="D82" s="157">
        <v>434524</v>
      </c>
      <c r="E82" s="157">
        <f t="shared" si="2"/>
        <v>56324</v>
      </c>
      <c r="F82" s="161">
        <f t="shared" si="3"/>
        <v>0.14892649391856161</v>
      </c>
    </row>
    <row r="83" spans="1:6" ht="15" customHeight="1" x14ac:dyDescent="0.2">
      <c r="A83" s="147">
        <v>22</v>
      </c>
      <c r="B83" s="160" t="s">
        <v>218</v>
      </c>
      <c r="C83" s="157">
        <v>59938</v>
      </c>
      <c r="D83" s="157">
        <v>0</v>
      </c>
      <c r="E83" s="157">
        <f t="shared" si="2"/>
        <v>-59938</v>
      </c>
      <c r="F83" s="161">
        <f t="shared" si="3"/>
        <v>-1</v>
      </c>
    </row>
    <row r="84" spans="1:6" ht="15" customHeight="1" x14ac:dyDescent="0.2">
      <c r="A84" s="147">
        <v>23</v>
      </c>
      <c r="B84" s="160" t="s">
        <v>219</v>
      </c>
      <c r="C84" s="157">
        <v>311748</v>
      </c>
      <c r="D84" s="157">
        <v>286339</v>
      </c>
      <c r="E84" s="157">
        <f t="shared" si="2"/>
        <v>-25409</v>
      </c>
      <c r="F84" s="161">
        <f t="shared" si="3"/>
        <v>-8.1504933471906793E-2</v>
      </c>
    </row>
    <row r="85" spans="1:6" ht="15" customHeight="1" x14ac:dyDescent="0.2">
      <c r="A85" s="147">
        <v>24</v>
      </c>
      <c r="B85" s="160" t="s">
        <v>220</v>
      </c>
      <c r="C85" s="157">
        <v>126266</v>
      </c>
      <c r="D85" s="157">
        <v>587547</v>
      </c>
      <c r="E85" s="157">
        <f t="shared" si="2"/>
        <v>461281</v>
      </c>
      <c r="F85" s="161">
        <f t="shared" si="3"/>
        <v>3.6532479052159728</v>
      </c>
    </row>
    <row r="86" spans="1:6" ht="15" customHeight="1" x14ac:dyDescent="0.2">
      <c r="A86" s="147">
        <v>25</v>
      </c>
      <c r="B86" s="160" t="s">
        <v>221</v>
      </c>
      <c r="C86" s="157">
        <v>37636</v>
      </c>
      <c r="D86" s="157">
        <v>27223</v>
      </c>
      <c r="E86" s="157">
        <f t="shared" si="2"/>
        <v>-10413</v>
      </c>
      <c r="F86" s="161">
        <f t="shared" si="3"/>
        <v>-0.27667658624721014</v>
      </c>
    </row>
    <row r="87" spans="1:6" ht="15" customHeight="1" x14ac:dyDescent="0.2">
      <c r="A87" s="147">
        <v>26</v>
      </c>
      <c r="B87" s="160" t="s">
        <v>222</v>
      </c>
      <c r="C87" s="157">
        <v>785536</v>
      </c>
      <c r="D87" s="157">
        <v>733755</v>
      </c>
      <c r="E87" s="157">
        <f t="shared" si="2"/>
        <v>-51781</v>
      </c>
      <c r="F87" s="161">
        <f t="shared" si="3"/>
        <v>-6.5918048313508226E-2</v>
      </c>
    </row>
    <row r="88" spans="1:6" ht="15" customHeight="1" x14ac:dyDescent="0.2">
      <c r="A88" s="147">
        <v>27</v>
      </c>
      <c r="B88" s="160" t="s">
        <v>223</v>
      </c>
      <c r="C88" s="157">
        <v>769230</v>
      </c>
      <c r="D88" s="157">
        <v>811969</v>
      </c>
      <c r="E88" s="157">
        <f t="shared" si="2"/>
        <v>42739</v>
      </c>
      <c r="F88" s="161">
        <f t="shared" si="3"/>
        <v>5.5560755560755563E-2</v>
      </c>
    </row>
    <row r="89" spans="1:6" ht="15" customHeight="1" x14ac:dyDescent="0.2">
      <c r="A89" s="147">
        <v>28</v>
      </c>
      <c r="B89" s="160" t="s">
        <v>224</v>
      </c>
      <c r="C89" s="157">
        <v>2688889</v>
      </c>
      <c r="D89" s="157">
        <v>421817</v>
      </c>
      <c r="E89" s="157">
        <f t="shared" si="2"/>
        <v>-2267072</v>
      </c>
      <c r="F89" s="161">
        <f t="shared" si="3"/>
        <v>-0.84312591557330929</v>
      </c>
    </row>
    <row r="90" spans="1:6" ht="15.75" customHeight="1" x14ac:dyDescent="0.25">
      <c r="A90" s="147"/>
      <c r="B90" s="162" t="s">
        <v>225</v>
      </c>
      <c r="C90" s="158">
        <f>SUM(C62:C89)</f>
        <v>10131189</v>
      </c>
      <c r="D90" s="158">
        <f>SUM(D62:D89)</f>
        <v>7257865</v>
      </c>
      <c r="E90" s="158">
        <f t="shared" si="2"/>
        <v>-2873324</v>
      </c>
      <c r="F90" s="159">
        <f t="shared" si="3"/>
        <v>-0.28361172612612401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1266915</v>
      </c>
      <c r="D93" s="157">
        <v>1709690</v>
      </c>
      <c r="E93" s="157">
        <f>+D93-C93</f>
        <v>442775</v>
      </c>
      <c r="F93" s="161">
        <f>IF(C93=0,0,E93/C93)</f>
        <v>0.34949069195644539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90685854</v>
      </c>
      <c r="D95" s="158">
        <f>+D93+D90+D59+D50+D47+D44+D41+D35+D30+D24+D18</f>
        <v>80117246</v>
      </c>
      <c r="E95" s="158">
        <f>+D95-C95</f>
        <v>-10568608</v>
      </c>
      <c r="F95" s="159">
        <f>IF(C95=0,0,E95/C95)</f>
        <v>-0.11654086645090203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4662384</v>
      </c>
      <c r="D103" s="157">
        <v>4647379</v>
      </c>
      <c r="E103" s="157">
        <f t="shared" ref="E103:E121" si="4">D103-C103</f>
        <v>-15005</v>
      </c>
      <c r="F103" s="161">
        <f t="shared" ref="F103:F121" si="5">IF(C103=0,0,E103/C103)</f>
        <v>-3.2183106325004546E-3</v>
      </c>
    </row>
    <row r="104" spans="1:6" ht="15" customHeight="1" x14ac:dyDescent="0.2">
      <c r="A104" s="147">
        <v>2</v>
      </c>
      <c r="B104" s="169" t="s">
        <v>234</v>
      </c>
      <c r="C104" s="157">
        <v>678395</v>
      </c>
      <c r="D104" s="157">
        <v>666700</v>
      </c>
      <c r="E104" s="157">
        <f t="shared" si="4"/>
        <v>-11695</v>
      </c>
      <c r="F104" s="161">
        <f t="shared" si="5"/>
        <v>-1.7239219039055419E-2</v>
      </c>
    </row>
    <row r="105" spans="1:6" ht="15" customHeight="1" x14ac:dyDescent="0.2">
      <c r="A105" s="147">
        <v>3</v>
      </c>
      <c r="B105" s="169" t="s">
        <v>235</v>
      </c>
      <c r="C105" s="157">
        <v>1613808</v>
      </c>
      <c r="D105" s="157">
        <v>1527966</v>
      </c>
      <c r="E105" s="157">
        <f t="shared" si="4"/>
        <v>-85842</v>
      </c>
      <c r="F105" s="161">
        <f t="shared" si="5"/>
        <v>-5.3192201302757203E-2</v>
      </c>
    </row>
    <row r="106" spans="1:6" ht="15" customHeight="1" x14ac:dyDescent="0.2">
      <c r="A106" s="147">
        <v>4</v>
      </c>
      <c r="B106" s="169" t="s">
        <v>236</v>
      </c>
      <c r="C106" s="157">
        <v>678806</v>
      </c>
      <c r="D106" s="157">
        <v>628133</v>
      </c>
      <c r="E106" s="157">
        <f t="shared" si="4"/>
        <v>-50673</v>
      </c>
      <c r="F106" s="161">
        <f t="shared" si="5"/>
        <v>-7.465019460641184E-2</v>
      </c>
    </row>
    <row r="107" spans="1:6" ht="15" customHeight="1" x14ac:dyDescent="0.2">
      <c r="A107" s="147">
        <v>5</v>
      </c>
      <c r="B107" s="169" t="s">
        <v>237</v>
      </c>
      <c r="C107" s="157">
        <v>2042452</v>
      </c>
      <c r="D107" s="157">
        <v>1919935</v>
      </c>
      <c r="E107" s="157">
        <f t="shared" si="4"/>
        <v>-122517</v>
      </c>
      <c r="F107" s="161">
        <f t="shared" si="5"/>
        <v>-5.9985253019410004E-2</v>
      </c>
    </row>
    <row r="108" spans="1:6" ht="15" customHeight="1" x14ac:dyDescent="0.2">
      <c r="A108" s="147">
        <v>6</v>
      </c>
      <c r="B108" s="169" t="s">
        <v>238</v>
      </c>
      <c r="C108" s="157">
        <v>372752</v>
      </c>
      <c r="D108" s="157">
        <v>437632</v>
      </c>
      <c r="E108" s="157">
        <f t="shared" si="4"/>
        <v>64880</v>
      </c>
      <c r="F108" s="161">
        <f t="shared" si="5"/>
        <v>0.17405674550371292</v>
      </c>
    </row>
    <row r="109" spans="1:6" ht="15" customHeight="1" x14ac:dyDescent="0.2">
      <c r="A109" s="147">
        <v>7</v>
      </c>
      <c r="B109" s="169" t="s">
        <v>239</v>
      </c>
      <c r="C109" s="157">
        <v>409348</v>
      </c>
      <c r="D109" s="157">
        <v>362818</v>
      </c>
      <c r="E109" s="157">
        <f t="shared" si="4"/>
        <v>-46530</v>
      </c>
      <c r="F109" s="161">
        <f t="shared" si="5"/>
        <v>-0.11366856562142724</v>
      </c>
    </row>
    <row r="110" spans="1:6" ht="15" customHeight="1" x14ac:dyDescent="0.2">
      <c r="A110" s="147">
        <v>8</v>
      </c>
      <c r="B110" s="169" t="s">
        <v>240</v>
      </c>
      <c r="C110" s="157">
        <v>171224</v>
      </c>
      <c r="D110" s="157">
        <v>179801</v>
      </c>
      <c r="E110" s="157">
        <f t="shared" si="4"/>
        <v>8577</v>
      </c>
      <c r="F110" s="161">
        <f t="shared" si="5"/>
        <v>5.0092276783628466E-2</v>
      </c>
    </row>
    <row r="111" spans="1:6" ht="15" customHeight="1" x14ac:dyDescent="0.2">
      <c r="A111" s="147">
        <v>9</v>
      </c>
      <c r="B111" s="169" t="s">
        <v>241</v>
      </c>
      <c r="C111" s="157">
        <v>249324</v>
      </c>
      <c r="D111" s="157">
        <v>232864</v>
      </c>
      <c r="E111" s="157">
        <f t="shared" si="4"/>
        <v>-16460</v>
      </c>
      <c r="F111" s="161">
        <f t="shared" si="5"/>
        <v>-6.6018514062023706E-2</v>
      </c>
    </row>
    <row r="112" spans="1:6" ht="15" customHeight="1" x14ac:dyDescent="0.2">
      <c r="A112" s="147">
        <v>10</v>
      </c>
      <c r="B112" s="169" t="s">
        <v>242</v>
      </c>
      <c r="C112" s="157">
        <v>1813820</v>
      </c>
      <c r="D112" s="157">
        <v>1642128</v>
      </c>
      <c r="E112" s="157">
        <f t="shared" si="4"/>
        <v>-171692</v>
      </c>
      <c r="F112" s="161">
        <f t="shared" si="5"/>
        <v>-9.4657683783396368E-2</v>
      </c>
    </row>
    <row r="113" spans="1:6" ht="15" customHeight="1" x14ac:dyDescent="0.2">
      <c r="A113" s="147">
        <v>11</v>
      </c>
      <c r="B113" s="169" t="s">
        <v>243</v>
      </c>
      <c r="C113" s="157">
        <v>1157547</v>
      </c>
      <c r="D113" s="157">
        <v>1171432</v>
      </c>
      <c r="E113" s="157">
        <f t="shared" si="4"/>
        <v>13885</v>
      </c>
      <c r="F113" s="161">
        <f t="shared" si="5"/>
        <v>1.1995193283728436E-2</v>
      </c>
    </row>
    <row r="114" spans="1:6" ht="15" customHeight="1" x14ac:dyDescent="0.2">
      <c r="A114" s="147">
        <v>12</v>
      </c>
      <c r="B114" s="169" t="s">
        <v>244</v>
      </c>
      <c r="C114" s="157">
        <v>28518</v>
      </c>
      <c r="D114" s="157">
        <v>61624</v>
      </c>
      <c r="E114" s="157">
        <f t="shared" si="4"/>
        <v>33106</v>
      </c>
      <c r="F114" s="161">
        <f t="shared" si="5"/>
        <v>1.1608808471842345</v>
      </c>
    </row>
    <row r="115" spans="1:6" ht="15" customHeight="1" x14ac:dyDescent="0.2">
      <c r="A115" s="147">
        <v>13</v>
      </c>
      <c r="B115" s="169" t="s">
        <v>245</v>
      </c>
      <c r="C115" s="157">
        <v>3494126</v>
      </c>
      <c r="D115" s="157">
        <v>3466032</v>
      </c>
      <c r="E115" s="157">
        <f t="shared" si="4"/>
        <v>-28094</v>
      </c>
      <c r="F115" s="161">
        <f t="shared" si="5"/>
        <v>-8.0403511493289028E-3</v>
      </c>
    </row>
    <row r="116" spans="1:6" ht="15" customHeight="1" x14ac:dyDescent="0.2">
      <c r="A116" s="147">
        <v>14</v>
      </c>
      <c r="B116" s="169" t="s">
        <v>246</v>
      </c>
      <c r="C116" s="157">
        <v>234339</v>
      </c>
      <c r="D116" s="157">
        <v>234512</v>
      </c>
      <c r="E116" s="157">
        <f t="shared" si="4"/>
        <v>173</v>
      </c>
      <c r="F116" s="161">
        <f t="shared" si="5"/>
        <v>7.3824672803075885E-4</v>
      </c>
    </row>
    <row r="117" spans="1:6" ht="15" customHeight="1" x14ac:dyDescent="0.2">
      <c r="A117" s="147">
        <v>15</v>
      </c>
      <c r="B117" s="169" t="s">
        <v>203</v>
      </c>
      <c r="C117" s="157">
        <v>795805</v>
      </c>
      <c r="D117" s="157">
        <v>795600</v>
      </c>
      <c r="E117" s="157">
        <f t="shared" si="4"/>
        <v>-205</v>
      </c>
      <c r="F117" s="161">
        <f t="shared" si="5"/>
        <v>-2.5760079416439958E-4</v>
      </c>
    </row>
    <row r="118" spans="1:6" ht="15" customHeight="1" x14ac:dyDescent="0.2">
      <c r="A118" s="147">
        <v>16</v>
      </c>
      <c r="B118" s="169" t="s">
        <v>247</v>
      </c>
      <c r="C118" s="157">
        <v>403320</v>
      </c>
      <c r="D118" s="157">
        <v>418352</v>
      </c>
      <c r="E118" s="157">
        <f t="shared" si="4"/>
        <v>15032</v>
      </c>
      <c r="F118" s="161">
        <f t="shared" si="5"/>
        <v>3.7270653575324802E-2</v>
      </c>
    </row>
    <row r="119" spans="1:6" ht="15" customHeight="1" x14ac:dyDescent="0.2">
      <c r="A119" s="147">
        <v>17</v>
      </c>
      <c r="B119" s="169" t="s">
        <v>248</v>
      </c>
      <c r="C119" s="157">
        <v>2621443</v>
      </c>
      <c r="D119" s="157">
        <v>2573605</v>
      </c>
      <c r="E119" s="157">
        <f t="shared" si="4"/>
        <v>-47838</v>
      </c>
      <c r="F119" s="161">
        <f t="shared" si="5"/>
        <v>-1.8248727895285154E-2</v>
      </c>
    </row>
    <row r="120" spans="1:6" ht="15" customHeight="1" x14ac:dyDescent="0.2">
      <c r="A120" s="147">
        <v>18</v>
      </c>
      <c r="B120" s="169" t="s">
        <v>249</v>
      </c>
      <c r="C120" s="157">
        <v>18479412</v>
      </c>
      <c r="D120" s="157">
        <v>4315319</v>
      </c>
      <c r="E120" s="157">
        <f t="shared" si="4"/>
        <v>-14164093</v>
      </c>
      <c r="F120" s="161">
        <f t="shared" si="5"/>
        <v>-0.76647963690619592</v>
      </c>
    </row>
    <row r="121" spans="1:6" ht="15.75" customHeight="1" x14ac:dyDescent="0.25">
      <c r="A121" s="147"/>
      <c r="B121" s="165" t="s">
        <v>250</v>
      </c>
      <c r="C121" s="158">
        <f>SUM(C103:C120)</f>
        <v>39906823</v>
      </c>
      <c r="D121" s="158">
        <f>SUM(D103:D120)</f>
        <v>25281832</v>
      </c>
      <c r="E121" s="158">
        <f t="shared" si="4"/>
        <v>-14624991</v>
      </c>
      <c r="F121" s="159">
        <f t="shared" si="5"/>
        <v>-0.36647845908455301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710555</v>
      </c>
      <c r="D124" s="157">
        <v>620294</v>
      </c>
      <c r="E124" s="157">
        <f t="shared" ref="E124:E130" si="6">D124-C124</f>
        <v>-90261</v>
      </c>
      <c r="F124" s="161">
        <f t="shared" ref="F124:F130" si="7">IF(C124=0,0,E124/C124)</f>
        <v>-0.1270288717973978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1866682</v>
      </c>
      <c r="D126" s="157">
        <v>1260371</v>
      </c>
      <c r="E126" s="157">
        <f t="shared" si="6"/>
        <v>-606311</v>
      </c>
      <c r="F126" s="161">
        <f t="shared" si="7"/>
        <v>-0.32480679622988812</v>
      </c>
    </row>
    <row r="127" spans="1:6" ht="15" customHeight="1" x14ac:dyDescent="0.2">
      <c r="A127" s="147">
        <v>4</v>
      </c>
      <c r="B127" s="169" t="s">
        <v>255</v>
      </c>
      <c r="C127" s="157">
        <v>885186</v>
      </c>
      <c r="D127" s="157">
        <v>895689</v>
      </c>
      <c r="E127" s="157">
        <f t="shared" si="6"/>
        <v>10503</v>
      </c>
      <c r="F127" s="161">
        <f t="shared" si="7"/>
        <v>1.1865302885495251E-2</v>
      </c>
    </row>
    <row r="128" spans="1:6" ht="15" customHeight="1" x14ac:dyDescent="0.2">
      <c r="A128" s="147">
        <v>5</v>
      </c>
      <c r="B128" s="169" t="s">
        <v>256</v>
      </c>
      <c r="C128" s="157">
        <v>282309</v>
      </c>
      <c r="D128" s="157">
        <v>256505</v>
      </c>
      <c r="E128" s="157">
        <f t="shared" si="6"/>
        <v>-25804</v>
      </c>
      <c r="F128" s="161">
        <f t="shared" si="7"/>
        <v>-9.1403391319440752E-2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3744732</v>
      </c>
      <c r="D130" s="158">
        <f>SUM(D124:D129)</f>
        <v>3032859</v>
      </c>
      <c r="E130" s="158">
        <f t="shared" si="6"/>
        <v>-711873</v>
      </c>
      <c r="F130" s="159">
        <f t="shared" si="7"/>
        <v>-0.19009985227247236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1940094</v>
      </c>
      <c r="D133" s="157">
        <v>2208844</v>
      </c>
      <c r="E133" s="157">
        <f t="shared" ref="E133:E167" si="8">D133-C133</f>
        <v>268750</v>
      </c>
      <c r="F133" s="161">
        <f t="shared" ref="F133:F167" si="9">IF(C133=0,0,E133/C133)</f>
        <v>0.13852421583696459</v>
      </c>
    </row>
    <row r="134" spans="1:6" ht="15" customHeight="1" x14ac:dyDescent="0.2">
      <c r="A134" s="147">
        <v>2</v>
      </c>
      <c r="B134" s="169" t="s">
        <v>261</v>
      </c>
      <c r="C134" s="157">
        <v>439725</v>
      </c>
      <c r="D134" s="157">
        <v>477572</v>
      </c>
      <c r="E134" s="157">
        <f t="shared" si="8"/>
        <v>37847</v>
      </c>
      <c r="F134" s="161">
        <f t="shared" si="9"/>
        <v>8.6069702655068511E-2</v>
      </c>
    </row>
    <row r="135" spans="1:6" ht="15" customHeight="1" x14ac:dyDescent="0.2">
      <c r="A135" s="147">
        <v>3</v>
      </c>
      <c r="B135" s="169" t="s">
        <v>262</v>
      </c>
      <c r="C135" s="157">
        <v>87278</v>
      </c>
      <c r="D135" s="157">
        <v>103757</v>
      </c>
      <c r="E135" s="157">
        <f t="shared" si="8"/>
        <v>16479</v>
      </c>
      <c r="F135" s="161">
        <f t="shared" si="9"/>
        <v>0.18881046770090973</v>
      </c>
    </row>
    <row r="136" spans="1:6" ht="15" customHeight="1" x14ac:dyDescent="0.2">
      <c r="A136" s="147">
        <v>4</v>
      </c>
      <c r="B136" s="169" t="s">
        <v>263</v>
      </c>
      <c r="C136" s="157">
        <v>180697</v>
      </c>
      <c r="D136" s="157">
        <v>211343</v>
      </c>
      <c r="E136" s="157">
        <f t="shared" si="8"/>
        <v>30646</v>
      </c>
      <c r="F136" s="161">
        <f t="shared" si="9"/>
        <v>0.16959883119254884</v>
      </c>
    </row>
    <row r="137" spans="1:6" ht="15" customHeight="1" x14ac:dyDescent="0.2">
      <c r="A137" s="147">
        <v>5</v>
      </c>
      <c r="B137" s="169" t="s">
        <v>264</v>
      </c>
      <c r="C137" s="157">
        <v>2672857</v>
      </c>
      <c r="D137" s="157">
        <v>2728421</v>
      </c>
      <c r="E137" s="157">
        <f t="shared" si="8"/>
        <v>55564</v>
      </c>
      <c r="F137" s="161">
        <f t="shared" si="9"/>
        <v>2.0788242693118263E-2</v>
      </c>
    </row>
    <row r="138" spans="1:6" ht="15" customHeight="1" x14ac:dyDescent="0.2">
      <c r="A138" s="147">
        <v>6</v>
      </c>
      <c r="B138" s="169" t="s">
        <v>265</v>
      </c>
      <c r="C138" s="157">
        <v>483374</v>
      </c>
      <c r="D138" s="157">
        <v>477111</v>
      </c>
      <c r="E138" s="157">
        <f t="shared" si="8"/>
        <v>-6263</v>
      </c>
      <c r="F138" s="161">
        <f t="shared" si="9"/>
        <v>-1.2956840872698987E-2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636616</v>
      </c>
      <c r="D141" s="157">
        <v>638756</v>
      </c>
      <c r="E141" s="157">
        <f t="shared" si="8"/>
        <v>2140</v>
      </c>
      <c r="F141" s="161">
        <f t="shared" si="9"/>
        <v>3.3615240584591024E-3</v>
      </c>
    </row>
    <row r="142" spans="1:6" ht="15" customHeight="1" x14ac:dyDescent="0.2">
      <c r="A142" s="147">
        <v>10</v>
      </c>
      <c r="B142" s="169" t="s">
        <v>269</v>
      </c>
      <c r="C142" s="157">
        <v>4282224</v>
      </c>
      <c r="D142" s="157">
        <v>4083838</v>
      </c>
      <c r="E142" s="157">
        <f t="shared" si="8"/>
        <v>-198386</v>
      </c>
      <c r="F142" s="161">
        <f t="shared" si="9"/>
        <v>-4.632779602374841E-2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112481</v>
      </c>
      <c r="D145" s="157">
        <v>98161</v>
      </c>
      <c r="E145" s="157">
        <f t="shared" si="8"/>
        <v>-14320</v>
      </c>
      <c r="F145" s="161">
        <f t="shared" si="9"/>
        <v>-0.12731039019923365</v>
      </c>
    </row>
    <row r="146" spans="1:6" ht="15" customHeight="1" x14ac:dyDescent="0.2">
      <c r="A146" s="147">
        <v>14</v>
      </c>
      <c r="B146" s="169" t="s">
        <v>273</v>
      </c>
      <c r="C146" s="157">
        <v>15653</v>
      </c>
      <c r="D146" s="157">
        <v>15092</v>
      </c>
      <c r="E146" s="157">
        <f t="shared" si="8"/>
        <v>-561</v>
      </c>
      <c r="F146" s="161">
        <f t="shared" si="9"/>
        <v>-3.5839775122979624E-2</v>
      </c>
    </row>
    <row r="147" spans="1:6" ht="15" customHeight="1" x14ac:dyDescent="0.2">
      <c r="A147" s="147">
        <v>15</v>
      </c>
      <c r="B147" s="169" t="s">
        <v>274</v>
      </c>
      <c r="C147" s="157">
        <v>62578</v>
      </c>
      <c r="D147" s="157">
        <v>53472</v>
      </c>
      <c r="E147" s="157">
        <f t="shared" si="8"/>
        <v>-9106</v>
      </c>
      <c r="F147" s="161">
        <f t="shared" si="9"/>
        <v>-0.14551439803125699</v>
      </c>
    </row>
    <row r="148" spans="1:6" ht="15" customHeight="1" x14ac:dyDescent="0.2">
      <c r="A148" s="147">
        <v>16</v>
      </c>
      <c r="B148" s="169" t="s">
        <v>275</v>
      </c>
      <c r="C148" s="157">
        <v>33170</v>
      </c>
      <c r="D148" s="157">
        <v>41307</v>
      </c>
      <c r="E148" s="157">
        <f t="shared" si="8"/>
        <v>8137</v>
      </c>
      <c r="F148" s="161">
        <f t="shared" si="9"/>
        <v>0.24531202894181489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941133</v>
      </c>
      <c r="D150" s="157">
        <v>1002450</v>
      </c>
      <c r="E150" s="157">
        <f t="shared" si="8"/>
        <v>61317</v>
      </c>
      <c r="F150" s="161">
        <f t="shared" si="9"/>
        <v>6.5152321722859577E-2</v>
      </c>
    </row>
    <row r="151" spans="1:6" ht="15" customHeight="1" x14ac:dyDescent="0.2">
      <c r="A151" s="147">
        <v>19</v>
      </c>
      <c r="B151" s="169" t="s">
        <v>278</v>
      </c>
      <c r="C151" s="157">
        <v>98606</v>
      </c>
      <c r="D151" s="157">
        <v>101010</v>
      </c>
      <c r="E151" s="157">
        <f t="shared" si="8"/>
        <v>2404</v>
      </c>
      <c r="F151" s="161">
        <f t="shared" si="9"/>
        <v>2.4379855181226293E-2</v>
      </c>
    </row>
    <row r="152" spans="1:6" ht="15" customHeight="1" x14ac:dyDescent="0.2">
      <c r="A152" s="147">
        <v>20</v>
      </c>
      <c r="B152" s="169" t="s">
        <v>279</v>
      </c>
      <c r="C152" s="157">
        <v>282295</v>
      </c>
      <c r="D152" s="157">
        <v>280915</v>
      </c>
      <c r="E152" s="157">
        <f t="shared" si="8"/>
        <v>-1380</v>
      </c>
      <c r="F152" s="161">
        <f t="shared" si="9"/>
        <v>-4.8885031615862841E-3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134383</v>
      </c>
      <c r="D155" s="157">
        <v>167535</v>
      </c>
      <c r="E155" s="157">
        <f t="shared" si="8"/>
        <v>33152</v>
      </c>
      <c r="F155" s="161">
        <f t="shared" si="9"/>
        <v>0.24669787101047008</v>
      </c>
    </row>
    <row r="156" spans="1:6" ht="15" customHeight="1" x14ac:dyDescent="0.2">
      <c r="A156" s="147">
        <v>24</v>
      </c>
      <c r="B156" s="169" t="s">
        <v>283</v>
      </c>
      <c r="C156" s="157">
        <v>7107841</v>
      </c>
      <c r="D156" s="157">
        <v>7748021</v>
      </c>
      <c r="E156" s="157">
        <f t="shared" si="8"/>
        <v>640180</v>
      </c>
      <c r="F156" s="161">
        <f t="shared" si="9"/>
        <v>9.0066730530410005E-2</v>
      </c>
    </row>
    <row r="157" spans="1:6" ht="15" customHeight="1" x14ac:dyDescent="0.2">
      <c r="A157" s="147">
        <v>25</v>
      </c>
      <c r="B157" s="169" t="s">
        <v>284</v>
      </c>
      <c r="C157" s="157">
        <v>395953</v>
      </c>
      <c r="D157" s="157">
        <v>413312</v>
      </c>
      <c r="E157" s="157">
        <f t="shared" si="8"/>
        <v>17359</v>
      </c>
      <c r="F157" s="161">
        <f t="shared" si="9"/>
        <v>4.3841061944220654E-2</v>
      </c>
    </row>
    <row r="158" spans="1:6" ht="15" customHeight="1" x14ac:dyDescent="0.2">
      <c r="A158" s="147">
        <v>26</v>
      </c>
      <c r="B158" s="169" t="s">
        <v>285</v>
      </c>
      <c r="C158" s="157">
        <v>80882</v>
      </c>
      <c r="D158" s="157">
        <v>68476</v>
      </c>
      <c r="E158" s="157">
        <f t="shared" si="8"/>
        <v>-12406</v>
      </c>
      <c r="F158" s="161">
        <f t="shared" si="9"/>
        <v>-0.15338394203901981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629218</v>
      </c>
      <c r="D160" s="157">
        <v>454384</v>
      </c>
      <c r="E160" s="157">
        <f t="shared" si="8"/>
        <v>-174834</v>
      </c>
      <c r="F160" s="161">
        <f t="shared" si="9"/>
        <v>-0.2778591839394296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543896</v>
      </c>
      <c r="D164" s="157">
        <v>606802</v>
      </c>
      <c r="E164" s="157">
        <f t="shared" si="8"/>
        <v>62906</v>
      </c>
      <c r="F164" s="161">
        <f t="shared" si="9"/>
        <v>0.11565814052686543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15633995</v>
      </c>
      <c r="D166" s="157">
        <v>17616783</v>
      </c>
      <c r="E166" s="157">
        <f t="shared" si="8"/>
        <v>1982788</v>
      </c>
      <c r="F166" s="161">
        <f t="shared" si="9"/>
        <v>0.12682542114155723</v>
      </c>
    </row>
    <row r="167" spans="1:6" ht="15.75" customHeight="1" x14ac:dyDescent="0.25">
      <c r="A167" s="147"/>
      <c r="B167" s="165" t="s">
        <v>294</v>
      </c>
      <c r="C167" s="158">
        <f>SUM(C133:C166)</f>
        <v>36794949</v>
      </c>
      <c r="D167" s="158">
        <f>SUM(D133:D166)</f>
        <v>39597362</v>
      </c>
      <c r="E167" s="158">
        <f t="shared" si="8"/>
        <v>2802413</v>
      </c>
      <c r="F167" s="159">
        <f t="shared" si="9"/>
        <v>7.6162980956978626E-2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5826172</v>
      </c>
      <c r="D170" s="157">
        <v>7597640</v>
      </c>
      <c r="E170" s="157">
        <f t="shared" ref="E170:E183" si="10">D170-C170</f>
        <v>1771468</v>
      </c>
      <c r="F170" s="161">
        <f t="shared" ref="F170:F183" si="11">IF(C170=0,0,E170/C170)</f>
        <v>0.30405350202500031</v>
      </c>
    </row>
    <row r="171" spans="1:6" ht="15" customHeight="1" x14ac:dyDescent="0.2">
      <c r="A171" s="147">
        <v>2</v>
      </c>
      <c r="B171" s="169" t="s">
        <v>297</v>
      </c>
      <c r="C171" s="157">
        <v>2129499</v>
      </c>
      <c r="D171" s="157">
        <v>2083907</v>
      </c>
      <c r="E171" s="157">
        <f t="shared" si="10"/>
        <v>-45592</v>
      </c>
      <c r="F171" s="161">
        <f t="shared" si="11"/>
        <v>-2.1409730645564989E-2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867344</v>
      </c>
      <c r="D175" s="157">
        <v>974021</v>
      </c>
      <c r="E175" s="157">
        <f t="shared" si="10"/>
        <v>106677</v>
      </c>
      <c r="F175" s="161">
        <f t="shared" si="11"/>
        <v>0.12299272261063661</v>
      </c>
    </row>
    <row r="176" spans="1:6" ht="15" customHeight="1" x14ac:dyDescent="0.2">
      <c r="A176" s="147">
        <v>7</v>
      </c>
      <c r="B176" s="169" t="s">
        <v>302</v>
      </c>
      <c r="C176" s="157">
        <v>867344</v>
      </c>
      <c r="D176" s="157">
        <v>974021</v>
      </c>
      <c r="E176" s="157">
        <f t="shared" si="10"/>
        <v>106677</v>
      </c>
      <c r="F176" s="161">
        <f t="shared" si="11"/>
        <v>0.12299272261063661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548991</v>
      </c>
      <c r="D179" s="157">
        <v>575604</v>
      </c>
      <c r="E179" s="157">
        <f t="shared" si="10"/>
        <v>26613</v>
      </c>
      <c r="F179" s="161">
        <f t="shared" si="11"/>
        <v>4.847620452794308E-2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10239350</v>
      </c>
      <c r="D183" s="158">
        <f>SUM(D170:D182)</f>
        <v>12205193</v>
      </c>
      <c r="E183" s="158">
        <f t="shared" si="10"/>
        <v>1965843</v>
      </c>
      <c r="F183" s="159">
        <f t="shared" si="11"/>
        <v>0.19198904227319116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90685854</v>
      </c>
      <c r="D188" s="158">
        <f>+D186+D183+D167+D130+D121</f>
        <v>80117246</v>
      </c>
      <c r="E188" s="158">
        <f>D188-C188</f>
        <v>-10568608</v>
      </c>
      <c r="F188" s="159">
        <f>IF(C188=0,0,E188/C188)</f>
        <v>-0.11654086645090203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K33" sqref="K33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79860535</v>
      </c>
      <c r="D11" s="183">
        <v>84451715</v>
      </c>
      <c r="E11" s="76">
        <v>69903315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653094</v>
      </c>
      <c r="D12" s="185">
        <v>2505143</v>
      </c>
      <c r="E12" s="185">
        <v>1449445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80513629</v>
      </c>
      <c r="D13" s="76">
        <f>+D11+D12</f>
        <v>86956858</v>
      </c>
      <c r="E13" s="76">
        <f>+E11+E12</f>
        <v>71352760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85587522</v>
      </c>
      <c r="D14" s="185">
        <v>90685854</v>
      </c>
      <c r="E14" s="185">
        <v>80117246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-5073893</v>
      </c>
      <c r="D15" s="76">
        <f>+D13-D14</f>
        <v>-3728996</v>
      </c>
      <c r="E15" s="76">
        <f>+E13-E14</f>
        <v>-8764486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-333921</v>
      </c>
      <c r="D16" s="185">
        <v>1943229</v>
      </c>
      <c r="E16" s="185">
        <v>-111532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-5407814</v>
      </c>
      <c r="D17" s="76">
        <f>D15+D16</f>
        <v>-1785767</v>
      </c>
      <c r="E17" s="76">
        <f>E15+E16</f>
        <v>-8876018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-6.3281510079832168E-2</v>
      </c>
      <c r="D20" s="189">
        <f>IF(+D27=0,0,+D24/+D27)</f>
        <v>-4.1945920705341942E-2</v>
      </c>
      <c r="E20" s="189">
        <f>IF(+E27=0,0,+E24/+E27)</f>
        <v>-0.12302547620318953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-4.1646572222488014E-3</v>
      </c>
      <c r="D21" s="189">
        <f>IF(D27=0,0,+D26/D27)</f>
        <v>2.1858572534355337E-2</v>
      </c>
      <c r="E21" s="189">
        <f>IF(E27=0,0,+E26/E27)</f>
        <v>-1.5655541479436597E-3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-6.7446167302080973E-2</v>
      </c>
      <c r="D22" s="189">
        <f>IF(D27=0,0,+D28/D27)</f>
        <v>-2.0087348170986605E-2</v>
      </c>
      <c r="E22" s="189">
        <f>IF(E27=0,0,+E28/E27)</f>
        <v>-0.1245910303511332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-5073893</v>
      </c>
      <c r="D24" s="76">
        <f>+D15</f>
        <v>-3728996</v>
      </c>
      <c r="E24" s="76">
        <f>+E15</f>
        <v>-8764486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80513629</v>
      </c>
      <c r="D25" s="76">
        <f>+D13</f>
        <v>86956858</v>
      </c>
      <c r="E25" s="76">
        <f>+E13</f>
        <v>71352760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-333921</v>
      </c>
      <c r="D26" s="76">
        <f>+D16</f>
        <v>1943229</v>
      </c>
      <c r="E26" s="76">
        <f>+E16</f>
        <v>-111532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80179708</v>
      </c>
      <c r="D27" s="76">
        <f>+D25+D26</f>
        <v>88900087</v>
      </c>
      <c r="E27" s="76">
        <f>+E25+E26</f>
        <v>71241228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-5407814</v>
      </c>
      <c r="D28" s="76">
        <f>+D17</f>
        <v>-1785767</v>
      </c>
      <c r="E28" s="76">
        <f>+E17</f>
        <v>-8876018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14195295</v>
      </c>
      <c r="D31" s="76">
        <v>5927259</v>
      </c>
      <c r="E31" s="76">
        <v>7157824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15495219</v>
      </c>
      <c r="D32" s="76">
        <v>7270463</v>
      </c>
      <c r="E32" s="76">
        <v>8606097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-11316755</v>
      </c>
      <c r="D33" s="76">
        <f>+D32-C32</f>
        <v>-8224756</v>
      </c>
      <c r="E33" s="76">
        <f>+E32-D32</f>
        <v>1335634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0.57789999999999997</v>
      </c>
      <c r="D34" s="193">
        <f>IF(C32=0,0,+D33/C32)</f>
        <v>-0.5307931433560249</v>
      </c>
      <c r="E34" s="193">
        <f>IF(D32=0,0,+E33/D32)</f>
        <v>0.18370686983758805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0.46322850203282501</v>
      </c>
      <c r="D38" s="195">
        <f>IF((D40+D41)=0,0,+D39/(D40+D41))</f>
        <v>0.47250104957706723</v>
      </c>
      <c r="E38" s="195">
        <f>IF((E40+E41)=0,0,+E39/(E40+E41))</f>
        <v>0.40800513839330671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85587522</v>
      </c>
      <c r="D39" s="76">
        <v>90685854</v>
      </c>
      <c r="E39" s="196">
        <v>80117246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184109980</v>
      </c>
      <c r="D40" s="76">
        <v>189422164</v>
      </c>
      <c r="E40" s="196">
        <v>194913881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653094</v>
      </c>
      <c r="D41" s="76">
        <v>2505143</v>
      </c>
      <c r="E41" s="196">
        <v>1449445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1.0109072294524866</v>
      </c>
      <c r="D43" s="197">
        <f>IF(D38=0,0,IF((D46-D47)=0,0,((+D44-D45)/(D46-D47)/D38)))</f>
        <v>1.0140844446500192</v>
      </c>
      <c r="E43" s="197">
        <f>IF(E38=0,0,IF((E46-E47)=0,0,((+E44-E45)/(E46-E47)/E38)))</f>
        <v>1.165540145941276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34751121</v>
      </c>
      <c r="D44" s="76">
        <v>35503735</v>
      </c>
      <c r="E44" s="196">
        <v>34099176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281013</v>
      </c>
      <c r="D45" s="76">
        <v>249764</v>
      </c>
      <c r="E45" s="196">
        <v>77593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79168686</v>
      </c>
      <c r="D46" s="76">
        <v>79203642</v>
      </c>
      <c r="E46" s="196">
        <v>78413568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5558813</v>
      </c>
      <c r="D47" s="76">
        <v>5628494</v>
      </c>
      <c r="E47" s="76">
        <v>6871474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0.74510954377347438</v>
      </c>
      <c r="D49" s="198">
        <f>IF(D38=0,0,IF(D51=0,0,(D50/D51)/D38))</f>
        <v>0.69535053861230101</v>
      </c>
      <c r="E49" s="198">
        <f>IF(E38=0,0,IF(E51=0,0,(E50/E51)/E38))</f>
        <v>0.71851728084969346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29188273</v>
      </c>
      <c r="D50" s="199">
        <v>29632816</v>
      </c>
      <c r="E50" s="199">
        <v>28130272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84565457</v>
      </c>
      <c r="D51" s="199">
        <v>90191654</v>
      </c>
      <c r="E51" s="199">
        <v>95955767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0.56261073443695486</v>
      </c>
      <c r="D53" s="198">
        <f>IF(D38=0,0,IF(D55=0,0,(D54/D55)/D38))</f>
        <v>0.55957201052308991</v>
      </c>
      <c r="E53" s="198">
        <f>IF(E38=0,0,IF(E55=0,0,(E54/E55)/E38))</f>
        <v>0.6389794622334467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5189560</v>
      </c>
      <c r="D54" s="199">
        <v>5177495</v>
      </c>
      <c r="E54" s="199">
        <v>5190292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19912567</v>
      </c>
      <c r="D55" s="199">
        <v>19582175</v>
      </c>
      <c r="E55" s="199">
        <v>19908533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3612968.7675165981</v>
      </c>
      <c r="D57" s="88">
        <f>+D60*D38</f>
        <v>3412141.2869651634</v>
      </c>
      <c r="E57" s="88">
        <f>+E60*E38</f>
        <v>2896869.9390138257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187766</v>
      </c>
      <c r="D58" s="199">
        <v>192533</v>
      </c>
      <c r="E58" s="199">
        <v>643601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7611773</v>
      </c>
      <c r="D59" s="199">
        <v>7028914</v>
      </c>
      <c r="E59" s="199">
        <v>6456481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7799539</v>
      </c>
      <c r="D60" s="76">
        <v>7221447</v>
      </c>
      <c r="E60" s="201">
        <v>7100082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4.2213732598971591E-2</v>
      </c>
      <c r="D62" s="202">
        <f>IF(D63=0,0,+D57/D63)</f>
        <v>3.7625948661906668E-2</v>
      </c>
      <c r="E62" s="202">
        <f>IF(E63=0,0,+E57/E63)</f>
        <v>3.6157882149541506E-2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85587522</v>
      </c>
      <c r="D63" s="199">
        <v>90685854</v>
      </c>
      <c r="E63" s="199">
        <v>80117246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1.0333783182393801</v>
      </c>
      <c r="D67" s="203">
        <f>IF(D69=0,0,D68/D69)</f>
        <v>0.9983730228565959</v>
      </c>
      <c r="E67" s="203">
        <f>IF(E69=0,0,E68/E69)</f>
        <v>0.89368995808256524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16721077</v>
      </c>
      <c r="D68" s="204">
        <v>16168102</v>
      </c>
      <c r="E68" s="204">
        <v>14823966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16180983</v>
      </c>
      <c r="D69" s="204">
        <v>16194450</v>
      </c>
      <c r="E69" s="204">
        <v>16587370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5.2306264333636481</v>
      </c>
      <c r="D71" s="203">
        <f>IF((D77/365)=0,0,+D74/(D77/365))</f>
        <v>2.6151241503140601</v>
      </c>
      <c r="E71" s="203">
        <f>IF((E77/365)=0,0,+E74/(E77/365))</f>
        <v>8.5348441335720615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956229</v>
      </c>
      <c r="D72" s="183">
        <v>404540</v>
      </c>
      <c r="E72" s="183">
        <v>1665016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224305</v>
      </c>
      <c r="D73" s="206">
        <v>225160</v>
      </c>
      <c r="E73" s="206">
        <v>110612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1180534</v>
      </c>
      <c r="D74" s="204">
        <f>+D72+D73</f>
        <v>629700</v>
      </c>
      <c r="E74" s="204">
        <f>+E72+E73</f>
        <v>1775628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85587522</v>
      </c>
      <c r="D75" s="204">
        <f>+D14</f>
        <v>90685854</v>
      </c>
      <c r="E75" s="204">
        <f>+E14</f>
        <v>80117246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3208305</v>
      </c>
      <c r="D76" s="204">
        <v>2796910</v>
      </c>
      <c r="E76" s="204">
        <v>4180977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82379217</v>
      </c>
      <c r="D77" s="204">
        <f>+D75-D76</f>
        <v>87888944</v>
      </c>
      <c r="E77" s="204">
        <f>+E75-E76</f>
        <v>75936269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48.438406842628844</v>
      </c>
      <c r="D79" s="203">
        <f>IF((D84/365)=0,0,+D83/(D84/365))</f>
        <v>49.261789710250405</v>
      </c>
      <c r="E79" s="203">
        <f>IF((E84/365)=0,0,+E83/(E84/365))</f>
        <v>41.387830963381354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12622341</v>
      </c>
      <c r="D80" s="212">
        <v>12293728</v>
      </c>
      <c r="E80" s="212">
        <v>9618035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2024212</v>
      </c>
      <c r="D82" s="212">
        <v>895803</v>
      </c>
      <c r="E82" s="212">
        <v>1691606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10598129</v>
      </c>
      <c r="D83" s="212">
        <f>+D80+D81-D82</f>
        <v>11397925</v>
      </c>
      <c r="E83" s="212">
        <f>+E80+E81-E82</f>
        <v>7926429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79860535</v>
      </c>
      <c r="D84" s="204">
        <f>+D11</f>
        <v>84451715</v>
      </c>
      <c r="E84" s="204">
        <f>+E11</f>
        <v>69903315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71.693553423796203</v>
      </c>
      <c r="D86" s="203">
        <f>IF((D90/365)=0,0,+D87/(D90/365))</f>
        <v>67.255037789508535</v>
      </c>
      <c r="E86" s="203">
        <f>IF((E90/365)=0,0,+E87/(E90/365))</f>
        <v>79.729885728254573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16180983</v>
      </c>
      <c r="D87" s="76">
        <f>+D69</f>
        <v>16194450</v>
      </c>
      <c r="E87" s="76">
        <f>+E69</f>
        <v>16587370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85587522</v>
      </c>
      <c r="D88" s="76">
        <f t="shared" si="0"/>
        <v>90685854</v>
      </c>
      <c r="E88" s="76">
        <f t="shared" si="0"/>
        <v>80117246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3208305</v>
      </c>
      <c r="D89" s="201">
        <f t="shared" si="0"/>
        <v>2796910</v>
      </c>
      <c r="E89" s="201">
        <f t="shared" si="0"/>
        <v>4180977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82379217</v>
      </c>
      <c r="D90" s="76">
        <f>+D88-D89</f>
        <v>87888944</v>
      </c>
      <c r="E90" s="76">
        <f>+E88-E89</f>
        <v>75936269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23.992588740665628</v>
      </c>
      <c r="D94" s="214">
        <f>IF(D96=0,0,(D95/D96)*100)</f>
        <v>12.486909331232047</v>
      </c>
      <c r="E94" s="214">
        <f>IF(E96=0,0,(E95/E96)*100)</f>
        <v>17.789980913918029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15495219</v>
      </c>
      <c r="D95" s="76">
        <f>+D32</f>
        <v>7270463</v>
      </c>
      <c r="E95" s="76">
        <f>+E32</f>
        <v>8606097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64583356</v>
      </c>
      <c r="D96" s="76">
        <v>58224680</v>
      </c>
      <c r="E96" s="76">
        <v>48376089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-12.850339003350598</v>
      </c>
      <c r="D98" s="214">
        <f>IF(D104=0,0,(D101/D104)*100)</f>
        <v>6.2437625235806093</v>
      </c>
      <c r="E98" s="214">
        <f>IF(E104=0,0,(E101/E104)*100)</f>
        <v>-28.304915125182596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-5407814</v>
      </c>
      <c r="D99" s="76">
        <f>+D28</f>
        <v>-1785767</v>
      </c>
      <c r="E99" s="76">
        <f>+E28</f>
        <v>-8876018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3208305</v>
      </c>
      <c r="D100" s="201">
        <f>+D76</f>
        <v>2796910</v>
      </c>
      <c r="E100" s="201">
        <f>+E76</f>
        <v>4180977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-2199509</v>
      </c>
      <c r="D101" s="76">
        <f>+D99+D100</f>
        <v>1011143</v>
      </c>
      <c r="E101" s="76">
        <f>+E99+E100</f>
        <v>-4695041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16180983</v>
      </c>
      <c r="D102" s="204">
        <f>+D69</f>
        <v>16194450</v>
      </c>
      <c r="E102" s="204">
        <f>+E69</f>
        <v>16587370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935367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17116350</v>
      </c>
      <c r="D104" s="204">
        <f>+D102+D103</f>
        <v>16194450</v>
      </c>
      <c r="E104" s="204">
        <f>+E102+E103</f>
        <v>16587370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5.6928401701558302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935367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15495219</v>
      </c>
      <c r="D108" s="204">
        <f>+D32</f>
        <v>7270463</v>
      </c>
      <c r="E108" s="204">
        <f>+E32</f>
        <v>8606097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16430586</v>
      </c>
      <c r="D109" s="204">
        <f>+D107+D108</f>
        <v>7270463</v>
      </c>
      <c r="E109" s="204">
        <f>+E107+E108</f>
        <v>8606097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-1.9145067122128152</v>
      </c>
      <c r="D111" s="214">
        <f>IF((+D113+D115)=0,0,((+D112+D113+D114)/(+D113+D115)))</f>
        <v>1.0524268907721903</v>
      </c>
      <c r="E111" s="214">
        <f>IF((+E113+E115)=0,0,((+E112+E113+E114)/(+E113+E115)))</f>
        <v>-4.8027317240078613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-5407814</v>
      </c>
      <c r="D112" s="76">
        <f>+D17</f>
        <v>-1785767</v>
      </c>
      <c r="E112" s="76">
        <f>+E17</f>
        <v>-8876018</v>
      </c>
    </row>
    <row r="113" spans="1:8" ht="24" customHeight="1" x14ac:dyDescent="0.2">
      <c r="A113" s="85">
        <v>17</v>
      </c>
      <c r="B113" s="75" t="s">
        <v>88</v>
      </c>
      <c r="C113" s="218">
        <v>168405</v>
      </c>
      <c r="D113" s="76">
        <v>102151</v>
      </c>
      <c r="E113" s="76">
        <v>34936</v>
      </c>
    </row>
    <row r="114" spans="1:8" ht="24" customHeight="1" x14ac:dyDescent="0.2">
      <c r="A114" s="85">
        <v>18</v>
      </c>
      <c r="B114" s="75" t="s">
        <v>374</v>
      </c>
      <c r="C114" s="218">
        <v>3208305</v>
      </c>
      <c r="D114" s="76">
        <v>2796910</v>
      </c>
      <c r="E114" s="76">
        <v>4180977</v>
      </c>
    </row>
    <row r="115" spans="1:8" ht="24" customHeight="1" x14ac:dyDescent="0.2">
      <c r="A115" s="85">
        <v>19</v>
      </c>
      <c r="B115" s="75" t="s">
        <v>104</v>
      </c>
      <c r="C115" s="218">
        <v>892497</v>
      </c>
      <c r="D115" s="76">
        <v>955684</v>
      </c>
      <c r="E115" s="76">
        <v>935367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14.750193326382623</v>
      </c>
      <c r="D119" s="214">
        <f>IF(+D121=0,0,(+D120)/(+D121))</f>
        <v>17.439651615532856</v>
      </c>
      <c r="E119" s="214">
        <f>IF(+E121=0,0,(+E120)/(+E121))</f>
        <v>6.7046972513840668</v>
      </c>
    </row>
    <row r="120" spans="1:8" ht="24" customHeight="1" x14ac:dyDescent="0.2">
      <c r="A120" s="85">
        <v>21</v>
      </c>
      <c r="B120" s="75" t="s">
        <v>378</v>
      </c>
      <c r="C120" s="218">
        <v>47323119</v>
      </c>
      <c r="D120" s="218">
        <v>48777136</v>
      </c>
      <c r="E120" s="218">
        <v>28032185</v>
      </c>
    </row>
    <row r="121" spans="1:8" ht="24" customHeight="1" x14ac:dyDescent="0.2">
      <c r="A121" s="85">
        <v>22</v>
      </c>
      <c r="B121" s="75" t="s">
        <v>374</v>
      </c>
      <c r="C121" s="218">
        <v>3208305</v>
      </c>
      <c r="D121" s="218">
        <v>2796910</v>
      </c>
      <c r="E121" s="218">
        <v>4180977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17312</v>
      </c>
      <c r="D124" s="218">
        <v>14756</v>
      </c>
      <c r="E124" s="218">
        <v>13603</v>
      </c>
    </row>
    <row r="125" spans="1:8" ht="24" customHeight="1" x14ac:dyDescent="0.2">
      <c r="A125" s="85">
        <v>2</v>
      </c>
      <c r="B125" s="75" t="s">
        <v>381</v>
      </c>
      <c r="C125" s="218">
        <v>4374</v>
      </c>
      <c r="D125" s="218">
        <v>3580</v>
      </c>
      <c r="E125" s="218">
        <v>3348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3.9579332418838593</v>
      </c>
      <c r="D126" s="219">
        <f>IF(D125=0,0,D124/D125)</f>
        <v>4.1217877094972071</v>
      </c>
      <c r="E126" s="219">
        <f>IF(E125=0,0,E124/E125)</f>
        <v>4.0630227001194745</v>
      </c>
    </row>
    <row r="127" spans="1:8" ht="24" customHeight="1" x14ac:dyDescent="0.2">
      <c r="A127" s="85">
        <v>4</v>
      </c>
      <c r="B127" s="75" t="s">
        <v>383</v>
      </c>
      <c r="C127" s="218">
        <v>49</v>
      </c>
      <c r="D127" s="218">
        <v>47</v>
      </c>
      <c r="E127" s="218">
        <v>46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0.96789999999999998</v>
      </c>
      <c r="D130" s="193">
        <v>0.86009999999999998</v>
      </c>
      <c r="E130" s="193">
        <v>0.81010000000000004</v>
      </c>
    </row>
    <row r="131" spans="1:7" ht="24" customHeight="1" x14ac:dyDescent="0.2">
      <c r="A131" s="85">
        <v>8</v>
      </c>
      <c r="B131" s="75" t="s">
        <v>387</v>
      </c>
      <c r="C131" s="193">
        <v>0.40189999999999998</v>
      </c>
      <c r="D131" s="193">
        <v>0.34260000000000002</v>
      </c>
      <c r="E131" s="193">
        <v>0.31580000000000003</v>
      </c>
    </row>
    <row r="132" spans="1:7" ht="24" customHeight="1" x14ac:dyDescent="0.2">
      <c r="A132" s="85">
        <v>9</v>
      </c>
      <c r="B132" s="75" t="s">
        <v>388</v>
      </c>
      <c r="C132" s="219">
        <v>505</v>
      </c>
      <c r="D132" s="219">
        <v>507</v>
      </c>
      <c r="E132" s="219">
        <v>498.6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0.3998146814203119</v>
      </c>
      <c r="D135" s="227">
        <f>IF(D149=0,0,D143/D149)</f>
        <v>0.38841889695653564</v>
      </c>
      <c r="E135" s="227">
        <f>IF(E149=0,0,E143/E149)</f>
        <v>0.36704463341941257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0.45932033124983229</v>
      </c>
      <c r="D136" s="227">
        <f>IF(D149=0,0,D144/D149)</f>
        <v>0.47614097577303571</v>
      </c>
      <c r="E136" s="227">
        <f>IF(E149=0,0,E144/E149)</f>
        <v>0.49229827299985884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0.10815582620779167</v>
      </c>
      <c r="D137" s="227">
        <f>IF(D149=0,0,D145/D149)</f>
        <v>0.1033784779272187</v>
      </c>
      <c r="E137" s="227">
        <f>IF(E149=0,0,E145/E149)</f>
        <v>0.10214014978235439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7.5291410058270605E-4</v>
      </c>
      <c r="D138" s="227">
        <f>IF(D149=0,0,D146/D149)</f>
        <v>1.1813242720635374E-3</v>
      </c>
      <c r="E138" s="227">
        <f>IF(E149=0,0,E146/E149)</f>
        <v>1.1804957082558938E-3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3.0192893399912379E-2</v>
      </c>
      <c r="D139" s="227">
        <f>IF(D149=0,0,D147/D149)</f>
        <v>2.9714020160808638E-2</v>
      </c>
      <c r="E139" s="227">
        <f>IF(E149=0,0,E147/E149)</f>
        <v>3.5253897591829286E-2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1.7633536215690209E-3</v>
      </c>
      <c r="D140" s="227">
        <f>IF(D149=0,0,D148/D149)</f>
        <v>1.1663049103377364E-3</v>
      </c>
      <c r="E140" s="227">
        <f>IF(E149=0,0,E148/E149)</f>
        <v>2.0825504982890366E-3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73609873</v>
      </c>
      <c r="D143" s="229">
        <f>+D46-D147</f>
        <v>73575148</v>
      </c>
      <c r="E143" s="229">
        <f>+E46-E147</f>
        <v>71542094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84565457</v>
      </c>
      <c r="D144" s="229">
        <f>+D51</f>
        <v>90191654</v>
      </c>
      <c r="E144" s="229">
        <f>+E51</f>
        <v>95955767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19912567</v>
      </c>
      <c r="D145" s="229">
        <f>+D55</f>
        <v>19582175</v>
      </c>
      <c r="E145" s="229">
        <f>+E55</f>
        <v>19908533</v>
      </c>
    </row>
    <row r="146" spans="1:7" ht="20.100000000000001" customHeight="1" x14ac:dyDescent="0.2">
      <c r="A146" s="226">
        <v>11</v>
      </c>
      <c r="B146" s="224" t="s">
        <v>400</v>
      </c>
      <c r="C146" s="228">
        <v>138619</v>
      </c>
      <c r="D146" s="229">
        <v>223769</v>
      </c>
      <c r="E146" s="229">
        <v>230095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5558813</v>
      </c>
      <c r="D147" s="229">
        <f>+D47</f>
        <v>5628494</v>
      </c>
      <c r="E147" s="229">
        <f>+E47</f>
        <v>6871474</v>
      </c>
    </row>
    <row r="148" spans="1:7" ht="20.100000000000001" customHeight="1" x14ac:dyDescent="0.2">
      <c r="A148" s="226">
        <v>13</v>
      </c>
      <c r="B148" s="224" t="s">
        <v>402</v>
      </c>
      <c r="C148" s="230">
        <v>324651</v>
      </c>
      <c r="D148" s="229">
        <v>220924</v>
      </c>
      <c r="E148" s="229">
        <v>405918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184109980</v>
      </c>
      <c r="D149" s="229">
        <f>SUM(D143:D148)</f>
        <v>189422164</v>
      </c>
      <c r="E149" s="229">
        <f>SUM(E143:E148)</f>
        <v>194913881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0.49707974137744559</v>
      </c>
      <c r="D152" s="227">
        <f>IF(D166=0,0,D160/D166)</f>
        <v>0.50048771115256596</v>
      </c>
      <c r="E152" s="227">
        <f>IF(E166=0,0,E160/E166)</f>
        <v>0.50336453648771085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0.42091249595429986</v>
      </c>
      <c r="D153" s="227">
        <f>IF(D166=0,0,D161/D166)</f>
        <v>0.42068623290253271</v>
      </c>
      <c r="E153" s="227">
        <f>IF(E166=0,0,E161/E166)</f>
        <v>0.41619995537989019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7.4836584285222912E-2</v>
      </c>
      <c r="D154" s="227">
        <f>IF(D166=0,0,D162/D166)</f>
        <v>7.3502999762887822E-2</v>
      </c>
      <c r="E154" s="227">
        <f>IF(E166=0,0,E162/E166)</f>
        <v>7.6792691475169567E-2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1.2369560599036461E-3</v>
      </c>
      <c r="D155" s="227">
        <f>IF(D166=0,0,D163/D166)</f>
        <v>7.66263301500411E-4</v>
      </c>
      <c r="E155" s="227">
        <f>IF(E166=0,0,E163/E166)</f>
        <v>6.4346879615763419E-4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4.0523768989554699E-3</v>
      </c>
      <c r="D156" s="227">
        <f>IF(D166=0,0,D164/D166)</f>
        <v>3.5458080080768622E-3</v>
      </c>
      <c r="E156" s="227">
        <f>IF(E166=0,0,E164/E166)</f>
        <v>1.1480231381264931E-3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1.8818454241725183E-3</v>
      </c>
      <c r="D157" s="227">
        <f>IF(D166=0,0,D165/D166)</f>
        <v>1.0109848724362902E-3</v>
      </c>
      <c r="E157" s="227">
        <f>IF(E166=0,0,E165/E166)</f>
        <v>1.8513247229452634E-3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1.0000000000000002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34470108</v>
      </c>
      <c r="D160" s="229">
        <f>+D44-D164</f>
        <v>35253971</v>
      </c>
      <c r="E160" s="229">
        <f>+E44-E164</f>
        <v>34021583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29188273</v>
      </c>
      <c r="D161" s="229">
        <f>+D50</f>
        <v>29632816</v>
      </c>
      <c r="E161" s="229">
        <f>+E50</f>
        <v>28130272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5189560</v>
      </c>
      <c r="D162" s="229">
        <f>+D54</f>
        <v>5177495</v>
      </c>
      <c r="E162" s="229">
        <f>+E54</f>
        <v>5190292</v>
      </c>
    </row>
    <row r="163" spans="1:6" ht="20.100000000000001" customHeight="1" x14ac:dyDescent="0.2">
      <c r="A163" s="226">
        <v>11</v>
      </c>
      <c r="B163" s="224" t="s">
        <v>415</v>
      </c>
      <c r="C163" s="228">
        <v>85777</v>
      </c>
      <c r="D163" s="229">
        <v>53975</v>
      </c>
      <c r="E163" s="229">
        <v>43491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281013</v>
      </c>
      <c r="D164" s="229">
        <f>+D45</f>
        <v>249764</v>
      </c>
      <c r="E164" s="229">
        <f>+E45</f>
        <v>77593</v>
      </c>
    </row>
    <row r="165" spans="1:6" ht="20.100000000000001" customHeight="1" x14ac:dyDescent="0.2">
      <c r="A165" s="226">
        <v>13</v>
      </c>
      <c r="B165" s="224" t="s">
        <v>417</v>
      </c>
      <c r="C165" s="230">
        <v>130497</v>
      </c>
      <c r="D165" s="229">
        <v>71213</v>
      </c>
      <c r="E165" s="229">
        <v>125128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69345228</v>
      </c>
      <c r="D166" s="229">
        <f>SUM(D160:D165)</f>
        <v>70439234</v>
      </c>
      <c r="E166" s="229">
        <f>SUM(E160:E165)</f>
        <v>67588359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1797</v>
      </c>
      <c r="D169" s="218">
        <v>1240</v>
      </c>
      <c r="E169" s="218">
        <v>1068</v>
      </c>
    </row>
    <row r="170" spans="1:6" ht="20.100000000000001" customHeight="1" x14ac:dyDescent="0.2">
      <c r="A170" s="226">
        <v>2</v>
      </c>
      <c r="B170" s="224" t="s">
        <v>420</v>
      </c>
      <c r="C170" s="218">
        <v>2050</v>
      </c>
      <c r="D170" s="218">
        <v>1986</v>
      </c>
      <c r="E170" s="218">
        <v>2011</v>
      </c>
    </row>
    <row r="171" spans="1:6" ht="20.100000000000001" customHeight="1" x14ac:dyDescent="0.2">
      <c r="A171" s="226">
        <v>3</v>
      </c>
      <c r="B171" s="224" t="s">
        <v>421</v>
      </c>
      <c r="C171" s="218">
        <v>519</v>
      </c>
      <c r="D171" s="218">
        <v>351</v>
      </c>
      <c r="E171" s="218">
        <v>259</v>
      </c>
    </row>
    <row r="172" spans="1:6" ht="20.100000000000001" customHeight="1" x14ac:dyDescent="0.2">
      <c r="A172" s="226">
        <v>4</v>
      </c>
      <c r="B172" s="224" t="s">
        <v>422</v>
      </c>
      <c r="C172" s="218">
        <v>517</v>
      </c>
      <c r="D172" s="218">
        <v>349</v>
      </c>
      <c r="E172" s="218">
        <v>258</v>
      </c>
    </row>
    <row r="173" spans="1:6" ht="20.100000000000001" customHeight="1" x14ac:dyDescent="0.2">
      <c r="A173" s="226">
        <v>5</v>
      </c>
      <c r="B173" s="224" t="s">
        <v>423</v>
      </c>
      <c r="C173" s="218">
        <v>2</v>
      </c>
      <c r="D173" s="218">
        <v>2</v>
      </c>
      <c r="E173" s="218">
        <v>1</v>
      </c>
    </row>
    <row r="174" spans="1:6" ht="20.100000000000001" customHeight="1" x14ac:dyDescent="0.2">
      <c r="A174" s="226">
        <v>6</v>
      </c>
      <c r="B174" s="224" t="s">
        <v>424</v>
      </c>
      <c r="C174" s="218">
        <v>8</v>
      </c>
      <c r="D174" s="218">
        <v>3</v>
      </c>
      <c r="E174" s="218">
        <v>10</v>
      </c>
    </row>
    <row r="175" spans="1:6" ht="20.100000000000001" customHeight="1" x14ac:dyDescent="0.2">
      <c r="A175" s="226">
        <v>7</v>
      </c>
      <c r="B175" s="224" t="s">
        <v>425</v>
      </c>
      <c r="C175" s="218">
        <v>78</v>
      </c>
      <c r="D175" s="218">
        <v>63</v>
      </c>
      <c r="E175" s="218">
        <v>50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4374</v>
      </c>
      <c r="D176" s="218">
        <f>+D169+D170+D171+D174</f>
        <v>3580</v>
      </c>
      <c r="E176" s="218">
        <f>+E169+E170+E171+E174</f>
        <v>3348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1.1516599999999999</v>
      </c>
      <c r="D179" s="231">
        <v>1.3326</v>
      </c>
      <c r="E179" s="231">
        <v>1.3443000000000001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1.5190999999999999</v>
      </c>
      <c r="D180" s="231">
        <v>1.4881899999999999</v>
      </c>
      <c r="E180" s="231">
        <v>1.4765999999999999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0.94978899999999999</v>
      </c>
      <c r="D181" s="231">
        <v>0.96735400000000005</v>
      </c>
      <c r="E181" s="231">
        <v>1.2093510000000001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0.95099999999999996</v>
      </c>
      <c r="D182" s="231">
        <v>0.96408000000000005</v>
      </c>
      <c r="E182" s="231">
        <v>1.2069000000000001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0.63690000000000002</v>
      </c>
      <c r="D183" s="231">
        <v>1.5387</v>
      </c>
      <c r="E183" s="231">
        <v>1.8418000000000001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0.89710000000000001</v>
      </c>
      <c r="D184" s="231">
        <v>0.57979999999999998</v>
      </c>
      <c r="E184" s="231">
        <v>1.2652000000000001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1.2761</v>
      </c>
      <c r="D185" s="231">
        <v>1.3215399999999999</v>
      </c>
      <c r="E185" s="231">
        <v>0.94562000000000002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1.2994520000000001</v>
      </c>
      <c r="D186" s="231">
        <v>1.3824719999999999</v>
      </c>
      <c r="E186" s="231">
        <v>1.4130910000000001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3152</v>
      </c>
      <c r="D189" s="218">
        <v>3025</v>
      </c>
      <c r="E189" s="218">
        <v>3065</v>
      </c>
    </row>
    <row r="190" spans="1:6" ht="20.100000000000001" customHeight="1" x14ac:dyDescent="0.2">
      <c r="A190" s="226">
        <v>2</v>
      </c>
      <c r="B190" s="224" t="s">
        <v>433</v>
      </c>
      <c r="C190" s="218">
        <v>34292</v>
      </c>
      <c r="D190" s="218">
        <v>33427</v>
      </c>
      <c r="E190" s="218">
        <v>32175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37444</v>
      </c>
      <c r="D191" s="218">
        <f>+D190+D189</f>
        <v>36452</v>
      </c>
      <c r="E191" s="218">
        <f>+E190+E189</f>
        <v>35240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K33" sqref="K33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1244014</v>
      </c>
      <c r="D14" s="258">
        <v>1080277</v>
      </c>
      <c r="E14" s="258">
        <f t="shared" ref="E14:E24" si="0">D14-C14</f>
        <v>-163737</v>
      </c>
      <c r="F14" s="259">
        <f t="shared" ref="F14:F24" si="1">IF(C14=0,0,E14/C14)</f>
        <v>-0.13161990138374649</v>
      </c>
    </row>
    <row r="15" spans="1:7" ht="20.25" customHeight="1" x14ac:dyDescent="0.3">
      <c r="A15" s="256">
        <v>2</v>
      </c>
      <c r="B15" s="257" t="s">
        <v>442</v>
      </c>
      <c r="C15" s="258">
        <v>464782</v>
      </c>
      <c r="D15" s="258">
        <v>375784</v>
      </c>
      <c r="E15" s="258">
        <f t="shared" si="0"/>
        <v>-88998</v>
      </c>
      <c r="F15" s="259">
        <f t="shared" si="1"/>
        <v>-0.19148331906140945</v>
      </c>
    </row>
    <row r="16" spans="1:7" ht="20.25" customHeight="1" x14ac:dyDescent="0.3">
      <c r="A16" s="256">
        <v>3</v>
      </c>
      <c r="B16" s="257" t="s">
        <v>443</v>
      </c>
      <c r="C16" s="258">
        <v>875511</v>
      </c>
      <c r="D16" s="258">
        <v>448970</v>
      </c>
      <c r="E16" s="258">
        <f t="shared" si="0"/>
        <v>-426541</v>
      </c>
      <c r="F16" s="259">
        <f t="shared" si="1"/>
        <v>-0.48719090908052554</v>
      </c>
    </row>
    <row r="17" spans="1:6" ht="20.25" customHeight="1" x14ac:dyDescent="0.3">
      <c r="A17" s="256">
        <v>4</v>
      </c>
      <c r="B17" s="257" t="s">
        <v>444</v>
      </c>
      <c r="C17" s="258">
        <v>288889</v>
      </c>
      <c r="D17" s="258">
        <v>129613</v>
      </c>
      <c r="E17" s="258">
        <f t="shared" si="0"/>
        <v>-159276</v>
      </c>
      <c r="F17" s="259">
        <f t="shared" si="1"/>
        <v>-0.55133978794623539</v>
      </c>
    </row>
    <row r="18" spans="1:6" ht="20.25" customHeight="1" x14ac:dyDescent="0.3">
      <c r="A18" s="256">
        <v>5</v>
      </c>
      <c r="B18" s="257" t="s">
        <v>381</v>
      </c>
      <c r="C18" s="260">
        <v>48</v>
      </c>
      <c r="D18" s="260">
        <v>22</v>
      </c>
      <c r="E18" s="260">
        <f t="shared" si="0"/>
        <v>-26</v>
      </c>
      <c r="F18" s="259">
        <f t="shared" si="1"/>
        <v>-0.54166666666666663</v>
      </c>
    </row>
    <row r="19" spans="1:6" ht="20.25" customHeight="1" x14ac:dyDescent="0.3">
      <c r="A19" s="256">
        <v>6</v>
      </c>
      <c r="B19" s="257" t="s">
        <v>380</v>
      </c>
      <c r="C19" s="260">
        <v>173</v>
      </c>
      <c r="D19" s="260">
        <v>130</v>
      </c>
      <c r="E19" s="260">
        <f t="shared" si="0"/>
        <v>-43</v>
      </c>
      <c r="F19" s="259">
        <f t="shared" si="1"/>
        <v>-0.24855491329479767</v>
      </c>
    </row>
    <row r="20" spans="1:6" ht="20.25" customHeight="1" x14ac:dyDescent="0.3">
      <c r="A20" s="256">
        <v>7</v>
      </c>
      <c r="B20" s="257" t="s">
        <v>445</v>
      </c>
      <c r="C20" s="260">
        <v>219</v>
      </c>
      <c r="D20" s="260">
        <v>117</v>
      </c>
      <c r="E20" s="260">
        <f t="shared" si="0"/>
        <v>-102</v>
      </c>
      <c r="F20" s="259">
        <f t="shared" si="1"/>
        <v>-0.46575342465753422</v>
      </c>
    </row>
    <row r="21" spans="1:6" ht="20.25" customHeight="1" x14ac:dyDescent="0.3">
      <c r="A21" s="256">
        <v>8</v>
      </c>
      <c r="B21" s="257" t="s">
        <v>446</v>
      </c>
      <c r="C21" s="260">
        <v>146</v>
      </c>
      <c r="D21" s="260">
        <v>55</v>
      </c>
      <c r="E21" s="260">
        <f t="shared" si="0"/>
        <v>-91</v>
      </c>
      <c r="F21" s="259">
        <f t="shared" si="1"/>
        <v>-0.62328767123287676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2119525</v>
      </c>
      <c r="D23" s="263">
        <f>+D14+D16</f>
        <v>1529247</v>
      </c>
      <c r="E23" s="263">
        <f t="shared" si="0"/>
        <v>-590278</v>
      </c>
      <c r="F23" s="264">
        <f t="shared" si="1"/>
        <v>-0.27849541760535967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753671</v>
      </c>
      <c r="D24" s="263">
        <f>+D15+D17</f>
        <v>505397</v>
      </c>
      <c r="E24" s="263">
        <f t="shared" si="0"/>
        <v>-248274</v>
      </c>
      <c r="F24" s="264">
        <f t="shared" si="1"/>
        <v>-0.32941960086032235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3598093</v>
      </c>
      <c r="D40" s="258">
        <v>4759867</v>
      </c>
      <c r="E40" s="258">
        <f t="shared" ref="E40:E50" si="4">D40-C40</f>
        <v>1161774</v>
      </c>
      <c r="F40" s="259">
        <f t="shared" ref="F40:F50" si="5">IF(C40=0,0,E40/C40)</f>
        <v>0.32288603991058595</v>
      </c>
    </row>
    <row r="41" spans="1:6" ht="20.25" customHeight="1" x14ac:dyDescent="0.3">
      <c r="A41" s="256">
        <v>2</v>
      </c>
      <c r="B41" s="257" t="s">
        <v>442</v>
      </c>
      <c r="C41" s="258">
        <v>1237330</v>
      </c>
      <c r="D41" s="258">
        <v>1654060</v>
      </c>
      <c r="E41" s="258">
        <f t="shared" si="4"/>
        <v>416730</v>
      </c>
      <c r="F41" s="259">
        <f t="shared" si="5"/>
        <v>0.33679778232161184</v>
      </c>
    </row>
    <row r="42" spans="1:6" ht="20.25" customHeight="1" x14ac:dyDescent="0.3">
      <c r="A42" s="256">
        <v>3</v>
      </c>
      <c r="B42" s="257" t="s">
        <v>443</v>
      </c>
      <c r="C42" s="258">
        <v>2556394</v>
      </c>
      <c r="D42" s="258">
        <v>2848838</v>
      </c>
      <c r="E42" s="258">
        <f t="shared" si="4"/>
        <v>292444</v>
      </c>
      <c r="F42" s="259">
        <f t="shared" si="5"/>
        <v>0.11439707650698601</v>
      </c>
    </row>
    <row r="43" spans="1:6" ht="20.25" customHeight="1" x14ac:dyDescent="0.3">
      <c r="A43" s="256">
        <v>4</v>
      </c>
      <c r="B43" s="257" t="s">
        <v>444</v>
      </c>
      <c r="C43" s="258">
        <v>736258</v>
      </c>
      <c r="D43" s="258">
        <v>752826</v>
      </c>
      <c r="E43" s="258">
        <f t="shared" si="4"/>
        <v>16568</v>
      </c>
      <c r="F43" s="259">
        <f t="shared" si="5"/>
        <v>2.2502981291884095E-2</v>
      </c>
    </row>
    <row r="44" spans="1:6" ht="20.25" customHeight="1" x14ac:dyDescent="0.3">
      <c r="A44" s="256">
        <v>5</v>
      </c>
      <c r="B44" s="257" t="s">
        <v>381</v>
      </c>
      <c r="C44" s="260">
        <v>123</v>
      </c>
      <c r="D44" s="260">
        <v>157</v>
      </c>
      <c r="E44" s="260">
        <f t="shared" si="4"/>
        <v>34</v>
      </c>
      <c r="F44" s="259">
        <f t="shared" si="5"/>
        <v>0.27642276422764228</v>
      </c>
    </row>
    <row r="45" spans="1:6" ht="20.25" customHeight="1" x14ac:dyDescent="0.3">
      <c r="A45" s="256">
        <v>6</v>
      </c>
      <c r="B45" s="257" t="s">
        <v>380</v>
      </c>
      <c r="C45" s="260">
        <v>501</v>
      </c>
      <c r="D45" s="260">
        <v>624</v>
      </c>
      <c r="E45" s="260">
        <f t="shared" si="4"/>
        <v>123</v>
      </c>
      <c r="F45" s="259">
        <f t="shared" si="5"/>
        <v>0.24550898203592814</v>
      </c>
    </row>
    <row r="46" spans="1:6" ht="20.25" customHeight="1" x14ac:dyDescent="0.3">
      <c r="A46" s="256">
        <v>7</v>
      </c>
      <c r="B46" s="257" t="s">
        <v>445</v>
      </c>
      <c r="C46" s="260">
        <v>612</v>
      </c>
      <c r="D46" s="260">
        <v>621</v>
      </c>
      <c r="E46" s="260">
        <f t="shared" si="4"/>
        <v>9</v>
      </c>
      <c r="F46" s="259">
        <f t="shared" si="5"/>
        <v>1.4705882352941176E-2</v>
      </c>
    </row>
    <row r="47" spans="1:6" ht="20.25" customHeight="1" x14ac:dyDescent="0.3">
      <c r="A47" s="256">
        <v>8</v>
      </c>
      <c r="B47" s="257" t="s">
        <v>446</v>
      </c>
      <c r="C47" s="260">
        <v>381</v>
      </c>
      <c r="D47" s="260">
        <v>423</v>
      </c>
      <c r="E47" s="260">
        <f t="shared" si="4"/>
        <v>42</v>
      </c>
      <c r="F47" s="259">
        <f t="shared" si="5"/>
        <v>0.11023622047244094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6154487</v>
      </c>
      <c r="D49" s="263">
        <f>+D40+D42</f>
        <v>7608705</v>
      </c>
      <c r="E49" s="263">
        <f t="shared" si="4"/>
        <v>1454218</v>
      </c>
      <c r="F49" s="264">
        <f t="shared" si="5"/>
        <v>0.23628581878554622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1973588</v>
      </c>
      <c r="D50" s="263">
        <f>+D41+D43</f>
        <v>2406886</v>
      </c>
      <c r="E50" s="263">
        <f t="shared" si="4"/>
        <v>433298</v>
      </c>
      <c r="F50" s="264">
        <f t="shared" si="5"/>
        <v>0.2195483555838402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212774</v>
      </c>
      <c r="D66" s="258">
        <v>11462</v>
      </c>
      <c r="E66" s="258">
        <f t="shared" ref="E66:E76" si="8">D66-C66</f>
        <v>-201312</v>
      </c>
      <c r="F66" s="259">
        <f t="shared" ref="F66:F76" si="9">IF(C66=0,0,E66/C66)</f>
        <v>-0.94613063626194926</v>
      </c>
    </row>
    <row r="67" spans="1:6" ht="20.25" customHeight="1" x14ac:dyDescent="0.3">
      <c r="A67" s="256">
        <v>2</v>
      </c>
      <c r="B67" s="257" t="s">
        <v>442</v>
      </c>
      <c r="C67" s="258">
        <v>80064</v>
      </c>
      <c r="D67" s="258">
        <v>7357</v>
      </c>
      <c r="E67" s="258">
        <f t="shared" si="8"/>
        <v>-72707</v>
      </c>
      <c r="F67" s="259">
        <f t="shared" si="9"/>
        <v>-0.9081110111910472</v>
      </c>
    </row>
    <row r="68" spans="1:6" ht="20.25" customHeight="1" x14ac:dyDescent="0.3">
      <c r="A68" s="256">
        <v>3</v>
      </c>
      <c r="B68" s="257" t="s">
        <v>443</v>
      </c>
      <c r="C68" s="258">
        <v>174895</v>
      </c>
      <c r="D68" s="258">
        <v>9253</v>
      </c>
      <c r="E68" s="258">
        <f t="shared" si="8"/>
        <v>-165642</v>
      </c>
      <c r="F68" s="259">
        <f t="shared" si="9"/>
        <v>-0.94709397066811518</v>
      </c>
    </row>
    <row r="69" spans="1:6" ht="20.25" customHeight="1" x14ac:dyDescent="0.3">
      <c r="A69" s="256">
        <v>4</v>
      </c>
      <c r="B69" s="257" t="s">
        <v>444</v>
      </c>
      <c r="C69" s="258">
        <v>46088</v>
      </c>
      <c r="D69" s="258">
        <v>1984</v>
      </c>
      <c r="E69" s="258">
        <f t="shared" si="8"/>
        <v>-44104</v>
      </c>
      <c r="F69" s="259">
        <f t="shared" si="9"/>
        <v>-0.95695191806977953</v>
      </c>
    </row>
    <row r="70" spans="1:6" ht="20.25" customHeight="1" x14ac:dyDescent="0.3">
      <c r="A70" s="256">
        <v>5</v>
      </c>
      <c r="B70" s="257" t="s">
        <v>381</v>
      </c>
      <c r="C70" s="260">
        <v>7</v>
      </c>
      <c r="D70" s="260">
        <v>1</v>
      </c>
      <c r="E70" s="260">
        <f t="shared" si="8"/>
        <v>-6</v>
      </c>
      <c r="F70" s="259">
        <f t="shared" si="9"/>
        <v>-0.8571428571428571</v>
      </c>
    </row>
    <row r="71" spans="1:6" ht="20.25" customHeight="1" x14ac:dyDescent="0.3">
      <c r="A71" s="256">
        <v>6</v>
      </c>
      <c r="B71" s="257" t="s">
        <v>380</v>
      </c>
      <c r="C71" s="260">
        <v>30</v>
      </c>
      <c r="D71" s="260">
        <v>1</v>
      </c>
      <c r="E71" s="260">
        <f t="shared" si="8"/>
        <v>-29</v>
      </c>
      <c r="F71" s="259">
        <f t="shared" si="9"/>
        <v>-0.96666666666666667</v>
      </c>
    </row>
    <row r="72" spans="1:6" ht="20.25" customHeight="1" x14ac:dyDescent="0.3">
      <c r="A72" s="256">
        <v>7</v>
      </c>
      <c r="B72" s="257" t="s">
        <v>445</v>
      </c>
      <c r="C72" s="260">
        <v>21</v>
      </c>
      <c r="D72" s="260">
        <v>0</v>
      </c>
      <c r="E72" s="260">
        <f t="shared" si="8"/>
        <v>-21</v>
      </c>
      <c r="F72" s="259">
        <f t="shared" si="9"/>
        <v>-1</v>
      </c>
    </row>
    <row r="73" spans="1:6" ht="20.25" customHeight="1" x14ac:dyDescent="0.3">
      <c r="A73" s="256">
        <v>8</v>
      </c>
      <c r="B73" s="257" t="s">
        <v>446</v>
      </c>
      <c r="C73" s="260">
        <v>33</v>
      </c>
      <c r="D73" s="260">
        <v>6</v>
      </c>
      <c r="E73" s="260">
        <f t="shared" si="8"/>
        <v>-27</v>
      </c>
      <c r="F73" s="259">
        <f t="shared" si="9"/>
        <v>-0.81818181818181823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387669</v>
      </c>
      <c r="D75" s="263">
        <f>+D66+D68</f>
        <v>20715</v>
      </c>
      <c r="E75" s="263">
        <f t="shared" si="8"/>
        <v>-366954</v>
      </c>
      <c r="F75" s="264">
        <f t="shared" si="9"/>
        <v>-0.94656523993406749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126152</v>
      </c>
      <c r="D76" s="263">
        <f>+D67+D69</f>
        <v>9341</v>
      </c>
      <c r="E76" s="263">
        <f t="shared" si="8"/>
        <v>-116811</v>
      </c>
      <c r="F76" s="264">
        <f t="shared" si="9"/>
        <v>-0.92595440421079334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259401</v>
      </c>
      <c r="D79" s="258">
        <v>0</v>
      </c>
      <c r="E79" s="258">
        <f t="shared" ref="E79:E89" si="10">D79-C79</f>
        <v>-259401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93515</v>
      </c>
      <c r="D80" s="258">
        <v>0</v>
      </c>
      <c r="E80" s="258">
        <f t="shared" si="10"/>
        <v>-93515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143517</v>
      </c>
      <c r="D81" s="258">
        <v>0</v>
      </c>
      <c r="E81" s="258">
        <f t="shared" si="10"/>
        <v>-143517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43145</v>
      </c>
      <c r="D82" s="258">
        <v>0</v>
      </c>
      <c r="E82" s="258">
        <f t="shared" si="10"/>
        <v>-43145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7</v>
      </c>
      <c r="D83" s="260">
        <v>0</v>
      </c>
      <c r="E83" s="260">
        <f t="shared" si="10"/>
        <v>-7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41</v>
      </c>
      <c r="D84" s="260">
        <v>0</v>
      </c>
      <c r="E84" s="260">
        <f t="shared" si="10"/>
        <v>-41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31</v>
      </c>
      <c r="D85" s="260">
        <v>0</v>
      </c>
      <c r="E85" s="260">
        <f t="shared" si="10"/>
        <v>-31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29</v>
      </c>
      <c r="D86" s="260">
        <v>0</v>
      </c>
      <c r="E86" s="260">
        <f t="shared" si="10"/>
        <v>-29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402918</v>
      </c>
      <c r="D88" s="263">
        <f>+D79+D81</f>
        <v>0</v>
      </c>
      <c r="E88" s="263">
        <f t="shared" si="10"/>
        <v>-402918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136660</v>
      </c>
      <c r="D89" s="263">
        <f>+D80+D82</f>
        <v>0</v>
      </c>
      <c r="E89" s="263">
        <f t="shared" si="10"/>
        <v>-136660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9507989</v>
      </c>
      <c r="D92" s="258">
        <v>8985384</v>
      </c>
      <c r="E92" s="258">
        <f t="shared" ref="E92:E102" si="12">D92-C92</f>
        <v>-522605</v>
      </c>
      <c r="F92" s="259">
        <f t="shared" ref="F92:F102" si="13">IF(C92=0,0,E92/C92)</f>
        <v>-5.496483010234867E-2</v>
      </c>
    </row>
    <row r="93" spans="1:6" ht="20.25" customHeight="1" x14ac:dyDescent="0.3">
      <c r="A93" s="256">
        <v>2</v>
      </c>
      <c r="B93" s="257" t="s">
        <v>442</v>
      </c>
      <c r="C93" s="258">
        <v>2957931</v>
      </c>
      <c r="D93" s="258">
        <v>2843333</v>
      </c>
      <c r="E93" s="258">
        <f t="shared" si="12"/>
        <v>-114598</v>
      </c>
      <c r="F93" s="259">
        <f t="shared" si="13"/>
        <v>-3.8742621109146898E-2</v>
      </c>
    </row>
    <row r="94" spans="1:6" ht="20.25" customHeight="1" x14ac:dyDescent="0.3">
      <c r="A94" s="256">
        <v>3</v>
      </c>
      <c r="B94" s="257" t="s">
        <v>443</v>
      </c>
      <c r="C94" s="258">
        <v>4573338</v>
      </c>
      <c r="D94" s="258">
        <v>4965074</v>
      </c>
      <c r="E94" s="258">
        <f t="shared" si="12"/>
        <v>391736</v>
      </c>
      <c r="F94" s="259">
        <f t="shared" si="13"/>
        <v>8.5656472362200212E-2</v>
      </c>
    </row>
    <row r="95" spans="1:6" ht="20.25" customHeight="1" x14ac:dyDescent="0.3">
      <c r="A95" s="256">
        <v>4</v>
      </c>
      <c r="B95" s="257" t="s">
        <v>444</v>
      </c>
      <c r="C95" s="258">
        <v>1209763</v>
      </c>
      <c r="D95" s="258">
        <v>1132614</v>
      </c>
      <c r="E95" s="258">
        <f t="shared" si="12"/>
        <v>-77149</v>
      </c>
      <c r="F95" s="259">
        <f t="shared" si="13"/>
        <v>-6.3771995010592983E-2</v>
      </c>
    </row>
    <row r="96" spans="1:6" ht="20.25" customHeight="1" x14ac:dyDescent="0.3">
      <c r="A96" s="256">
        <v>5</v>
      </c>
      <c r="B96" s="257" t="s">
        <v>381</v>
      </c>
      <c r="C96" s="260">
        <v>304</v>
      </c>
      <c r="D96" s="260">
        <v>290</v>
      </c>
      <c r="E96" s="260">
        <f t="shared" si="12"/>
        <v>-14</v>
      </c>
      <c r="F96" s="259">
        <f t="shared" si="13"/>
        <v>-4.6052631578947366E-2</v>
      </c>
    </row>
    <row r="97" spans="1:6" ht="20.25" customHeight="1" x14ac:dyDescent="0.3">
      <c r="A97" s="256">
        <v>6</v>
      </c>
      <c r="B97" s="257" t="s">
        <v>380</v>
      </c>
      <c r="C97" s="260">
        <v>1495</v>
      </c>
      <c r="D97" s="260">
        <v>1325</v>
      </c>
      <c r="E97" s="260">
        <f t="shared" si="12"/>
        <v>-170</v>
      </c>
      <c r="F97" s="259">
        <f t="shared" si="13"/>
        <v>-0.11371237458193979</v>
      </c>
    </row>
    <row r="98" spans="1:6" ht="20.25" customHeight="1" x14ac:dyDescent="0.3">
      <c r="A98" s="256">
        <v>7</v>
      </c>
      <c r="B98" s="257" t="s">
        <v>445</v>
      </c>
      <c r="C98" s="260">
        <v>1416</v>
      </c>
      <c r="D98" s="260">
        <v>1653</v>
      </c>
      <c r="E98" s="260">
        <f t="shared" si="12"/>
        <v>237</v>
      </c>
      <c r="F98" s="259">
        <f t="shared" si="13"/>
        <v>0.1673728813559322</v>
      </c>
    </row>
    <row r="99" spans="1:6" ht="20.25" customHeight="1" x14ac:dyDescent="0.3">
      <c r="A99" s="256">
        <v>8</v>
      </c>
      <c r="B99" s="257" t="s">
        <v>446</v>
      </c>
      <c r="C99" s="260">
        <v>768</v>
      </c>
      <c r="D99" s="260">
        <v>786</v>
      </c>
      <c r="E99" s="260">
        <f t="shared" si="12"/>
        <v>18</v>
      </c>
      <c r="F99" s="259">
        <f t="shared" si="13"/>
        <v>2.34375E-2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14081327</v>
      </c>
      <c r="D101" s="263">
        <f>+D92+D94</f>
        <v>13950458</v>
      </c>
      <c r="E101" s="263">
        <f t="shared" si="12"/>
        <v>-130869</v>
      </c>
      <c r="F101" s="264">
        <f t="shared" si="13"/>
        <v>-9.2937973814541767E-3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4167694</v>
      </c>
      <c r="D102" s="263">
        <f>+D93+D95</f>
        <v>3975947</v>
      </c>
      <c r="E102" s="263">
        <f t="shared" si="12"/>
        <v>-191747</v>
      </c>
      <c r="F102" s="264">
        <f t="shared" si="13"/>
        <v>-4.6007936283230008E-2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81598</v>
      </c>
      <c r="D105" s="258">
        <v>188918</v>
      </c>
      <c r="E105" s="258">
        <f t="shared" ref="E105:E115" si="14">D105-C105</f>
        <v>107320</v>
      </c>
      <c r="F105" s="259">
        <f t="shared" ref="F105:F115" si="15">IF(C105=0,0,E105/C105)</f>
        <v>1.315228314419471</v>
      </c>
    </row>
    <row r="106" spans="1:6" ht="20.25" customHeight="1" x14ac:dyDescent="0.3">
      <c r="A106" s="256">
        <v>2</v>
      </c>
      <c r="B106" s="257" t="s">
        <v>442</v>
      </c>
      <c r="C106" s="258">
        <v>33736</v>
      </c>
      <c r="D106" s="258">
        <v>71625</v>
      </c>
      <c r="E106" s="258">
        <f t="shared" si="14"/>
        <v>37889</v>
      </c>
      <c r="F106" s="259">
        <f t="shared" si="15"/>
        <v>1.1231029167654731</v>
      </c>
    </row>
    <row r="107" spans="1:6" ht="20.25" customHeight="1" x14ac:dyDescent="0.3">
      <c r="A107" s="256">
        <v>3</v>
      </c>
      <c r="B107" s="257" t="s">
        <v>443</v>
      </c>
      <c r="C107" s="258">
        <v>94221</v>
      </c>
      <c r="D107" s="258">
        <v>183818</v>
      </c>
      <c r="E107" s="258">
        <f t="shared" si="14"/>
        <v>89597</v>
      </c>
      <c r="F107" s="259">
        <f t="shared" si="15"/>
        <v>0.95092389170142533</v>
      </c>
    </row>
    <row r="108" spans="1:6" ht="20.25" customHeight="1" x14ac:dyDescent="0.3">
      <c r="A108" s="256">
        <v>4</v>
      </c>
      <c r="B108" s="257" t="s">
        <v>444</v>
      </c>
      <c r="C108" s="258">
        <v>22998</v>
      </c>
      <c r="D108" s="258">
        <v>33970</v>
      </c>
      <c r="E108" s="258">
        <f t="shared" si="14"/>
        <v>10972</v>
      </c>
      <c r="F108" s="259">
        <f t="shared" si="15"/>
        <v>0.47708496390990524</v>
      </c>
    </row>
    <row r="109" spans="1:6" ht="20.25" customHeight="1" x14ac:dyDescent="0.3">
      <c r="A109" s="256">
        <v>5</v>
      </c>
      <c r="B109" s="257" t="s">
        <v>381</v>
      </c>
      <c r="C109" s="260">
        <v>3</v>
      </c>
      <c r="D109" s="260">
        <v>9</v>
      </c>
      <c r="E109" s="260">
        <f t="shared" si="14"/>
        <v>6</v>
      </c>
      <c r="F109" s="259">
        <f t="shared" si="15"/>
        <v>2</v>
      </c>
    </row>
    <row r="110" spans="1:6" ht="20.25" customHeight="1" x14ac:dyDescent="0.3">
      <c r="A110" s="256">
        <v>6</v>
      </c>
      <c r="B110" s="257" t="s">
        <v>380</v>
      </c>
      <c r="C110" s="260">
        <v>17</v>
      </c>
      <c r="D110" s="260">
        <v>29</v>
      </c>
      <c r="E110" s="260">
        <f t="shared" si="14"/>
        <v>12</v>
      </c>
      <c r="F110" s="259">
        <f t="shared" si="15"/>
        <v>0.70588235294117652</v>
      </c>
    </row>
    <row r="111" spans="1:6" ht="20.25" customHeight="1" x14ac:dyDescent="0.3">
      <c r="A111" s="256">
        <v>7</v>
      </c>
      <c r="B111" s="257" t="s">
        <v>445</v>
      </c>
      <c r="C111" s="260">
        <v>39</v>
      </c>
      <c r="D111" s="260">
        <v>72</v>
      </c>
      <c r="E111" s="260">
        <f t="shared" si="14"/>
        <v>33</v>
      </c>
      <c r="F111" s="259">
        <f t="shared" si="15"/>
        <v>0.84615384615384615</v>
      </c>
    </row>
    <row r="112" spans="1:6" ht="20.25" customHeight="1" x14ac:dyDescent="0.3">
      <c r="A112" s="256">
        <v>8</v>
      </c>
      <c r="B112" s="257" t="s">
        <v>446</v>
      </c>
      <c r="C112" s="260">
        <v>37</v>
      </c>
      <c r="D112" s="260">
        <v>47</v>
      </c>
      <c r="E112" s="260">
        <f t="shared" si="14"/>
        <v>10</v>
      </c>
      <c r="F112" s="259">
        <f t="shared" si="15"/>
        <v>0.27027027027027029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175819</v>
      </c>
      <c r="D114" s="263">
        <f>+D105+D107</f>
        <v>372736</v>
      </c>
      <c r="E114" s="263">
        <f t="shared" si="14"/>
        <v>196917</v>
      </c>
      <c r="F114" s="264">
        <f t="shared" si="15"/>
        <v>1.1199984074531193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56734</v>
      </c>
      <c r="D115" s="263">
        <f>+D106+D108</f>
        <v>105595</v>
      </c>
      <c r="E115" s="263">
        <f t="shared" si="14"/>
        <v>48861</v>
      </c>
      <c r="F115" s="264">
        <f t="shared" si="15"/>
        <v>0.8612295977720591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1185389</v>
      </c>
      <c r="D118" s="258">
        <v>1755847</v>
      </c>
      <c r="E118" s="258">
        <f t="shared" ref="E118:E128" si="16">D118-C118</f>
        <v>570458</v>
      </c>
      <c r="F118" s="259">
        <f t="shared" ref="F118:F128" si="17">IF(C118=0,0,E118/C118)</f>
        <v>0.48124117905598923</v>
      </c>
    </row>
    <row r="119" spans="1:6" ht="20.25" customHeight="1" x14ac:dyDescent="0.3">
      <c r="A119" s="256">
        <v>2</v>
      </c>
      <c r="B119" s="257" t="s">
        <v>442</v>
      </c>
      <c r="C119" s="258">
        <v>454596</v>
      </c>
      <c r="D119" s="258">
        <v>583312</v>
      </c>
      <c r="E119" s="258">
        <f t="shared" si="16"/>
        <v>128716</v>
      </c>
      <c r="F119" s="259">
        <f t="shared" si="17"/>
        <v>0.28314371441895664</v>
      </c>
    </row>
    <row r="120" spans="1:6" ht="20.25" customHeight="1" x14ac:dyDescent="0.3">
      <c r="A120" s="256">
        <v>3</v>
      </c>
      <c r="B120" s="257" t="s">
        <v>443</v>
      </c>
      <c r="C120" s="258">
        <v>607942</v>
      </c>
      <c r="D120" s="258">
        <v>1463476</v>
      </c>
      <c r="E120" s="258">
        <f t="shared" si="16"/>
        <v>855534</v>
      </c>
      <c r="F120" s="259">
        <f t="shared" si="17"/>
        <v>1.40726253491287</v>
      </c>
    </row>
    <row r="121" spans="1:6" ht="20.25" customHeight="1" x14ac:dyDescent="0.3">
      <c r="A121" s="256">
        <v>4</v>
      </c>
      <c r="B121" s="257" t="s">
        <v>444</v>
      </c>
      <c r="C121" s="258">
        <v>187460</v>
      </c>
      <c r="D121" s="258">
        <v>374481</v>
      </c>
      <c r="E121" s="258">
        <f t="shared" si="16"/>
        <v>187021</v>
      </c>
      <c r="F121" s="259">
        <f t="shared" si="17"/>
        <v>0.99765816707564281</v>
      </c>
    </row>
    <row r="122" spans="1:6" ht="20.25" customHeight="1" x14ac:dyDescent="0.3">
      <c r="A122" s="256">
        <v>5</v>
      </c>
      <c r="B122" s="257" t="s">
        <v>381</v>
      </c>
      <c r="C122" s="260">
        <v>48</v>
      </c>
      <c r="D122" s="260">
        <v>55</v>
      </c>
      <c r="E122" s="260">
        <f t="shared" si="16"/>
        <v>7</v>
      </c>
      <c r="F122" s="259">
        <f t="shared" si="17"/>
        <v>0.14583333333333334</v>
      </c>
    </row>
    <row r="123" spans="1:6" ht="20.25" customHeight="1" x14ac:dyDescent="0.3">
      <c r="A123" s="256">
        <v>6</v>
      </c>
      <c r="B123" s="257" t="s">
        <v>380</v>
      </c>
      <c r="C123" s="260">
        <v>174</v>
      </c>
      <c r="D123" s="260">
        <v>259</v>
      </c>
      <c r="E123" s="260">
        <f t="shared" si="16"/>
        <v>85</v>
      </c>
      <c r="F123" s="259">
        <f t="shared" si="17"/>
        <v>0.4885057471264368</v>
      </c>
    </row>
    <row r="124" spans="1:6" ht="20.25" customHeight="1" x14ac:dyDescent="0.3">
      <c r="A124" s="256">
        <v>7</v>
      </c>
      <c r="B124" s="257" t="s">
        <v>445</v>
      </c>
      <c r="C124" s="260">
        <v>198</v>
      </c>
      <c r="D124" s="260">
        <v>507</v>
      </c>
      <c r="E124" s="260">
        <f t="shared" si="16"/>
        <v>309</v>
      </c>
      <c r="F124" s="259">
        <f t="shared" si="17"/>
        <v>1.5606060606060606</v>
      </c>
    </row>
    <row r="125" spans="1:6" ht="20.25" customHeight="1" x14ac:dyDescent="0.3">
      <c r="A125" s="256">
        <v>8</v>
      </c>
      <c r="B125" s="257" t="s">
        <v>446</v>
      </c>
      <c r="C125" s="260">
        <v>109</v>
      </c>
      <c r="D125" s="260">
        <v>200</v>
      </c>
      <c r="E125" s="260">
        <f t="shared" si="16"/>
        <v>91</v>
      </c>
      <c r="F125" s="259">
        <f t="shared" si="17"/>
        <v>0.83486238532110091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1793331</v>
      </c>
      <c r="D127" s="263">
        <f>+D118+D120</f>
        <v>3219323</v>
      </c>
      <c r="E127" s="263">
        <f t="shared" si="16"/>
        <v>1425992</v>
      </c>
      <c r="F127" s="264">
        <f t="shared" si="17"/>
        <v>0.79516385987862814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642056</v>
      </c>
      <c r="D128" s="263">
        <f>+D119+D121</f>
        <v>957793</v>
      </c>
      <c r="E128" s="263">
        <f t="shared" si="16"/>
        <v>315737</v>
      </c>
      <c r="F128" s="264">
        <f t="shared" si="17"/>
        <v>0.49175928579438555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38879</v>
      </c>
      <c r="D131" s="258">
        <v>56566</v>
      </c>
      <c r="E131" s="258">
        <f t="shared" ref="E131:E141" si="18">D131-C131</f>
        <v>17687</v>
      </c>
      <c r="F131" s="259">
        <f t="shared" ref="F131:F141" si="19">IF(C131=0,0,E131/C131)</f>
        <v>0.45492425216697963</v>
      </c>
    </row>
    <row r="132" spans="1:6" ht="20.25" customHeight="1" x14ac:dyDescent="0.3">
      <c r="A132" s="256">
        <v>2</v>
      </c>
      <c r="B132" s="257" t="s">
        <v>442</v>
      </c>
      <c r="C132" s="258">
        <v>10744</v>
      </c>
      <c r="D132" s="258">
        <v>39214</v>
      </c>
      <c r="E132" s="258">
        <f t="shared" si="18"/>
        <v>28470</v>
      </c>
      <c r="F132" s="259">
        <f t="shared" si="19"/>
        <v>2.6498510796723753</v>
      </c>
    </row>
    <row r="133" spans="1:6" ht="20.25" customHeight="1" x14ac:dyDescent="0.3">
      <c r="A133" s="256">
        <v>3</v>
      </c>
      <c r="B133" s="257" t="s">
        <v>443</v>
      </c>
      <c r="C133" s="258">
        <v>57052</v>
      </c>
      <c r="D133" s="258">
        <v>60747</v>
      </c>
      <c r="E133" s="258">
        <f t="shared" si="18"/>
        <v>3695</v>
      </c>
      <c r="F133" s="259">
        <f t="shared" si="19"/>
        <v>6.4765477108602684E-2</v>
      </c>
    </row>
    <row r="134" spans="1:6" ht="20.25" customHeight="1" x14ac:dyDescent="0.3">
      <c r="A134" s="256">
        <v>4</v>
      </c>
      <c r="B134" s="257" t="s">
        <v>444</v>
      </c>
      <c r="C134" s="258">
        <v>20693</v>
      </c>
      <c r="D134" s="258">
        <v>17684</v>
      </c>
      <c r="E134" s="258">
        <f t="shared" si="18"/>
        <v>-3009</v>
      </c>
      <c r="F134" s="259">
        <f t="shared" si="19"/>
        <v>-0.14541149180882423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3</v>
      </c>
      <c r="E135" s="260">
        <f t="shared" si="18"/>
        <v>1</v>
      </c>
      <c r="F135" s="259">
        <f t="shared" si="19"/>
        <v>0.5</v>
      </c>
    </row>
    <row r="136" spans="1:6" ht="20.25" customHeight="1" x14ac:dyDescent="0.3">
      <c r="A136" s="256">
        <v>6</v>
      </c>
      <c r="B136" s="257" t="s">
        <v>380</v>
      </c>
      <c r="C136" s="260">
        <v>7</v>
      </c>
      <c r="D136" s="260">
        <v>8</v>
      </c>
      <c r="E136" s="260">
        <f t="shared" si="18"/>
        <v>1</v>
      </c>
      <c r="F136" s="259">
        <f t="shared" si="19"/>
        <v>0.14285714285714285</v>
      </c>
    </row>
    <row r="137" spans="1:6" ht="20.25" customHeight="1" x14ac:dyDescent="0.3">
      <c r="A137" s="256">
        <v>7</v>
      </c>
      <c r="B137" s="257" t="s">
        <v>445</v>
      </c>
      <c r="C137" s="260">
        <v>5</v>
      </c>
      <c r="D137" s="260">
        <v>8</v>
      </c>
      <c r="E137" s="260">
        <f t="shared" si="18"/>
        <v>3</v>
      </c>
      <c r="F137" s="259">
        <f t="shared" si="19"/>
        <v>0.6</v>
      </c>
    </row>
    <row r="138" spans="1:6" ht="20.25" customHeight="1" x14ac:dyDescent="0.3">
      <c r="A138" s="256">
        <v>8</v>
      </c>
      <c r="B138" s="257" t="s">
        <v>446</v>
      </c>
      <c r="C138" s="260">
        <v>12</v>
      </c>
      <c r="D138" s="260">
        <v>15</v>
      </c>
      <c r="E138" s="260">
        <f t="shared" si="18"/>
        <v>3</v>
      </c>
      <c r="F138" s="259">
        <f t="shared" si="19"/>
        <v>0.25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95931</v>
      </c>
      <c r="D140" s="263">
        <f>+D131+D133</f>
        <v>117313</v>
      </c>
      <c r="E140" s="263">
        <f t="shared" si="18"/>
        <v>21382</v>
      </c>
      <c r="F140" s="264">
        <f t="shared" si="19"/>
        <v>0.22288936840020432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31437</v>
      </c>
      <c r="D141" s="263">
        <f>+D132+D134</f>
        <v>56898</v>
      </c>
      <c r="E141" s="263">
        <f t="shared" si="18"/>
        <v>25461</v>
      </c>
      <c r="F141" s="264">
        <f t="shared" si="19"/>
        <v>0.80990552533638704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37405</v>
      </c>
      <c r="D185" s="258">
        <v>0</v>
      </c>
      <c r="E185" s="258">
        <f t="shared" si="26"/>
        <v>-37405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9050</v>
      </c>
      <c r="D186" s="258">
        <v>0</v>
      </c>
      <c r="E186" s="258">
        <f t="shared" si="26"/>
        <v>-9050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8</v>
      </c>
      <c r="D189" s="260">
        <v>0</v>
      </c>
      <c r="E189" s="260">
        <f t="shared" si="26"/>
        <v>-8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5</v>
      </c>
      <c r="D190" s="260">
        <v>0</v>
      </c>
      <c r="E190" s="260">
        <f t="shared" si="26"/>
        <v>-5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37405</v>
      </c>
      <c r="D192" s="263">
        <f>+D183+D185</f>
        <v>0</v>
      </c>
      <c r="E192" s="263">
        <f t="shared" si="26"/>
        <v>-37405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9050</v>
      </c>
      <c r="D193" s="263">
        <f>+D184+D186</f>
        <v>0</v>
      </c>
      <c r="E193" s="263">
        <f t="shared" si="26"/>
        <v>-9050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16128137</v>
      </c>
      <c r="D198" s="263">
        <f t="shared" si="28"/>
        <v>16838321</v>
      </c>
      <c r="E198" s="263">
        <f t="shared" ref="E198:E208" si="29">D198-C198</f>
        <v>710184</v>
      </c>
      <c r="F198" s="273">
        <f t="shared" ref="F198:F208" si="30">IF(C198=0,0,E198/C198)</f>
        <v>4.403385214299705E-2</v>
      </c>
    </row>
    <row r="199" spans="1:9" ht="20.25" customHeight="1" x14ac:dyDescent="0.3">
      <c r="A199" s="271"/>
      <c r="B199" s="272" t="s">
        <v>466</v>
      </c>
      <c r="C199" s="263">
        <f t="shared" si="28"/>
        <v>5332698</v>
      </c>
      <c r="D199" s="263">
        <f t="shared" si="28"/>
        <v>5574685</v>
      </c>
      <c r="E199" s="263">
        <f t="shared" si="29"/>
        <v>241987</v>
      </c>
      <c r="F199" s="273">
        <f t="shared" si="30"/>
        <v>4.5377968150455923E-2</v>
      </c>
    </row>
    <row r="200" spans="1:9" ht="20.25" customHeight="1" x14ac:dyDescent="0.3">
      <c r="A200" s="271"/>
      <c r="B200" s="272" t="s">
        <v>467</v>
      </c>
      <c r="C200" s="263">
        <f t="shared" si="28"/>
        <v>9120275</v>
      </c>
      <c r="D200" s="263">
        <f t="shared" si="28"/>
        <v>9980176</v>
      </c>
      <c r="E200" s="263">
        <f t="shared" si="29"/>
        <v>859901</v>
      </c>
      <c r="F200" s="273">
        <f t="shared" si="30"/>
        <v>9.4284547340951888E-2</v>
      </c>
    </row>
    <row r="201" spans="1:9" ht="20.25" customHeight="1" x14ac:dyDescent="0.3">
      <c r="A201" s="271"/>
      <c r="B201" s="272" t="s">
        <v>468</v>
      </c>
      <c r="C201" s="263">
        <f t="shared" si="28"/>
        <v>2564344</v>
      </c>
      <c r="D201" s="263">
        <f t="shared" si="28"/>
        <v>2443172</v>
      </c>
      <c r="E201" s="263">
        <f t="shared" si="29"/>
        <v>-121172</v>
      </c>
      <c r="F201" s="273">
        <f t="shared" si="30"/>
        <v>-4.7252630692294011E-2</v>
      </c>
    </row>
    <row r="202" spans="1:9" ht="20.25" customHeight="1" x14ac:dyDescent="0.3">
      <c r="A202" s="271"/>
      <c r="B202" s="272" t="s">
        <v>138</v>
      </c>
      <c r="C202" s="274">
        <f t="shared" si="28"/>
        <v>542</v>
      </c>
      <c r="D202" s="274">
        <f t="shared" si="28"/>
        <v>537</v>
      </c>
      <c r="E202" s="274">
        <f t="shared" si="29"/>
        <v>-5</v>
      </c>
      <c r="F202" s="273">
        <f t="shared" si="30"/>
        <v>-9.2250922509225092E-3</v>
      </c>
    </row>
    <row r="203" spans="1:9" ht="20.25" customHeight="1" x14ac:dyDescent="0.3">
      <c r="A203" s="271"/>
      <c r="B203" s="272" t="s">
        <v>140</v>
      </c>
      <c r="C203" s="274">
        <f t="shared" si="28"/>
        <v>2438</v>
      </c>
      <c r="D203" s="274">
        <f t="shared" si="28"/>
        <v>2376</v>
      </c>
      <c r="E203" s="274">
        <f t="shared" si="29"/>
        <v>-62</v>
      </c>
      <c r="F203" s="273">
        <f t="shared" si="30"/>
        <v>-2.5430680885972109E-2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2549</v>
      </c>
      <c r="D204" s="274">
        <f t="shared" si="28"/>
        <v>2978</v>
      </c>
      <c r="E204" s="274">
        <f t="shared" si="29"/>
        <v>429</v>
      </c>
      <c r="F204" s="273">
        <f t="shared" si="30"/>
        <v>0.16830129462534327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1520</v>
      </c>
      <c r="D205" s="274">
        <f t="shared" si="28"/>
        <v>1532</v>
      </c>
      <c r="E205" s="274">
        <f t="shared" si="29"/>
        <v>12</v>
      </c>
      <c r="F205" s="273">
        <f t="shared" si="30"/>
        <v>7.8947368421052634E-3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25248412</v>
      </c>
      <c r="D207" s="263">
        <f>+D198+D200</f>
        <v>26818497</v>
      </c>
      <c r="E207" s="263">
        <f t="shared" si="29"/>
        <v>1570085</v>
      </c>
      <c r="F207" s="273">
        <f t="shared" si="30"/>
        <v>6.2185495071927693E-2</v>
      </c>
    </row>
    <row r="208" spans="1:9" ht="20.25" customHeight="1" x14ac:dyDescent="0.3">
      <c r="A208" s="271"/>
      <c r="B208" s="262" t="s">
        <v>472</v>
      </c>
      <c r="C208" s="263">
        <f>+C199+C201</f>
        <v>7897042</v>
      </c>
      <c r="D208" s="263">
        <f>+D199+D201</f>
        <v>8017857</v>
      </c>
      <c r="E208" s="263">
        <f t="shared" si="29"/>
        <v>120815</v>
      </c>
      <c r="F208" s="273">
        <f t="shared" si="30"/>
        <v>1.5298766297557997E-2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K33" sqref="K33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292714</v>
      </c>
      <c r="D26" s="258">
        <v>0</v>
      </c>
      <c r="E26" s="258">
        <f t="shared" ref="E26:E36" si="2">D26-C26</f>
        <v>-292714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100882</v>
      </c>
      <c r="D27" s="258">
        <v>0</v>
      </c>
      <c r="E27" s="258">
        <f t="shared" si="2"/>
        <v>-100882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974692</v>
      </c>
      <c r="D28" s="258">
        <v>0</v>
      </c>
      <c r="E28" s="258">
        <f t="shared" si="2"/>
        <v>-974692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289324</v>
      </c>
      <c r="D29" s="258">
        <v>0</v>
      </c>
      <c r="E29" s="258">
        <f t="shared" si="2"/>
        <v>-289324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35</v>
      </c>
      <c r="D30" s="260">
        <v>0</v>
      </c>
      <c r="E30" s="260">
        <f t="shared" si="2"/>
        <v>-35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104</v>
      </c>
      <c r="D31" s="260">
        <v>0</v>
      </c>
      <c r="E31" s="260">
        <f t="shared" si="2"/>
        <v>-104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366</v>
      </c>
      <c r="D32" s="260">
        <v>0</v>
      </c>
      <c r="E32" s="260">
        <f t="shared" si="2"/>
        <v>-366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639</v>
      </c>
      <c r="D33" s="260">
        <v>0</v>
      </c>
      <c r="E33" s="260">
        <f t="shared" si="2"/>
        <v>-639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1267406</v>
      </c>
      <c r="D35" s="263">
        <f>+D26+D28</f>
        <v>0</v>
      </c>
      <c r="E35" s="263">
        <f t="shared" si="2"/>
        <v>-1267406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390206</v>
      </c>
      <c r="D36" s="263">
        <f>+D27+D29</f>
        <v>0</v>
      </c>
      <c r="E36" s="263">
        <f t="shared" si="2"/>
        <v>-390206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1152144</v>
      </c>
      <c r="D50" s="258">
        <v>1577197</v>
      </c>
      <c r="E50" s="258">
        <f t="shared" ref="E50:E60" si="6">D50-C50</f>
        <v>425053</v>
      </c>
      <c r="F50" s="259">
        <f t="shared" ref="F50:F60" si="7">IF(C50=0,0,E50/C50)</f>
        <v>0.36892350261772833</v>
      </c>
    </row>
    <row r="51" spans="1:6" ht="20.25" customHeight="1" x14ac:dyDescent="0.3">
      <c r="A51" s="256">
        <v>2</v>
      </c>
      <c r="B51" s="257" t="s">
        <v>442</v>
      </c>
      <c r="C51" s="258">
        <v>400197</v>
      </c>
      <c r="D51" s="258">
        <v>497232</v>
      </c>
      <c r="E51" s="258">
        <f t="shared" si="6"/>
        <v>97035</v>
      </c>
      <c r="F51" s="259">
        <f t="shared" si="7"/>
        <v>0.24246808446839932</v>
      </c>
    </row>
    <row r="52" spans="1:6" ht="20.25" customHeight="1" x14ac:dyDescent="0.3">
      <c r="A52" s="256">
        <v>3</v>
      </c>
      <c r="B52" s="257" t="s">
        <v>443</v>
      </c>
      <c r="C52" s="258">
        <v>6256931</v>
      </c>
      <c r="D52" s="258">
        <v>7648947</v>
      </c>
      <c r="E52" s="258">
        <f t="shared" si="6"/>
        <v>1392016</v>
      </c>
      <c r="F52" s="259">
        <f t="shared" si="7"/>
        <v>0.22247584318893721</v>
      </c>
    </row>
    <row r="53" spans="1:6" ht="20.25" customHeight="1" x14ac:dyDescent="0.3">
      <c r="A53" s="256">
        <v>4</v>
      </c>
      <c r="B53" s="257" t="s">
        <v>444</v>
      </c>
      <c r="C53" s="258">
        <v>1730460</v>
      </c>
      <c r="D53" s="258">
        <v>2091032</v>
      </c>
      <c r="E53" s="258">
        <f t="shared" si="6"/>
        <v>360572</v>
      </c>
      <c r="F53" s="259">
        <f t="shared" si="7"/>
        <v>0.20836771725437167</v>
      </c>
    </row>
    <row r="54" spans="1:6" ht="20.25" customHeight="1" x14ac:dyDescent="0.3">
      <c r="A54" s="256">
        <v>5</v>
      </c>
      <c r="B54" s="257" t="s">
        <v>381</v>
      </c>
      <c r="C54" s="260">
        <v>109</v>
      </c>
      <c r="D54" s="260">
        <v>115</v>
      </c>
      <c r="E54" s="260">
        <f t="shared" si="6"/>
        <v>6</v>
      </c>
      <c r="F54" s="259">
        <f t="shared" si="7"/>
        <v>5.5045871559633031E-2</v>
      </c>
    </row>
    <row r="55" spans="1:6" ht="20.25" customHeight="1" x14ac:dyDescent="0.3">
      <c r="A55" s="256">
        <v>6</v>
      </c>
      <c r="B55" s="257" t="s">
        <v>380</v>
      </c>
      <c r="C55" s="260">
        <v>289</v>
      </c>
      <c r="D55" s="260">
        <v>343</v>
      </c>
      <c r="E55" s="260">
        <f t="shared" si="6"/>
        <v>54</v>
      </c>
      <c r="F55" s="259">
        <f t="shared" si="7"/>
        <v>0.18685121107266436</v>
      </c>
    </row>
    <row r="56" spans="1:6" ht="20.25" customHeight="1" x14ac:dyDescent="0.3">
      <c r="A56" s="256">
        <v>7</v>
      </c>
      <c r="B56" s="257" t="s">
        <v>445</v>
      </c>
      <c r="C56" s="260">
        <v>1010</v>
      </c>
      <c r="D56" s="260">
        <v>1004</v>
      </c>
      <c r="E56" s="260">
        <f t="shared" si="6"/>
        <v>-6</v>
      </c>
      <c r="F56" s="259">
        <f t="shared" si="7"/>
        <v>-5.9405940594059407E-3</v>
      </c>
    </row>
    <row r="57" spans="1:6" ht="20.25" customHeight="1" x14ac:dyDescent="0.3">
      <c r="A57" s="256">
        <v>8</v>
      </c>
      <c r="B57" s="257" t="s">
        <v>446</v>
      </c>
      <c r="C57" s="260">
        <v>4135</v>
      </c>
      <c r="D57" s="260">
        <v>4944</v>
      </c>
      <c r="E57" s="260">
        <f t="shared" si="6"/>
        <v>809</v>
      </c>
      <c r="F57" s="259">
        <f t="shared" si="7"/>
        <v>0.19564691656590086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7409075</v>
      </c>
      <c r="D59" s="263">
        <f>+D50+D52</f>
        <v>9226144</v>
      </c>
      <c r="E59" s="263">
        <f t="shared" si="6"/>
        <v>1817069</v>
      </c>
      <c r="F59" s="264">
        <f t="shared" si="7"/>
        <v>0.24524910329562058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2130657</v>
      </c>
      <c r="D60" s="263">
        <f>+D51+D53</f>
        <v>2588264</v>
      </c>
      <c r="E60" s="263">
        <f t="shared" si="6"/>
        <v>457607</v>
      </c>
      <c r="F60" s="264">
        <f t="shared" si="7"/>
        <v>0.21477272033931319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183303</v>
      </c>
      <c r="D98" s="258">
        <v>0</v>
      </c>
      <c r="E98" s="258">
        <f t="shared" ref="E98:E108" si="14">D98-C98</f>
        <v>-183303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39680</v>
      </c>
      <c r="D99" s="258">
        <v>0</v>
      </c>
      <c r="E99" s="258">
        <f t="shared" si="14"/>
        <v>-39680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717596</v>
      </c>
      <c r="D100" s="258">
        <v>0</v>
      </c>
      <c r="E100" s="258">
        <f t="shared" si="14"/>
        <v>-717596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200695</v>
      </c>
      <c r="D101" s="258">
        <v>0</v>
      </c>
      <c r="E101" s="258">
        <f t="shared" si="14"/>
        <v>-200695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15</v>
      </c>
      <c r="D102" s="260">
        <v>0</v>
      </c>
      <c r="E102" s="260">
        <f t="shared" si="14"/>
        <v>-15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41</v>
      </c>
      <c r="D103" s="260">
        <v>0</v>
      </c>
      <c r="E103" s="260">
        <f t="shared" si="14"/>
        <v>-41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173</v>
      </c>
      <c r="D104" s="260">
        <v>0</v>
      </c>
      <c r="E104" s="260">
        <f t="shared" si="14"/>
        <v>-173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431</v>
      </c>
      <c r="D105" s="260">
        <v>0</v>
      </c>
      <c r="E105" s="260">
        <f t="shared" si="14"/>
        <v>-431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900899</v>
      </c>
      <c r="D107" s="263">
        <f>+D98+D100</f>
        <v>0</v>
      </c>
      <c r="E107" s="263">
        <f t="shared" si="14"/>
        <v>-900899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240375</v>
      </c>
      <c r="D108" s="263">
        <f>+D99+D101</f>
        <v>0</v>
      </c>
      <c r="E108" s="263">
        <f t="shared" si="14"/>
        <v>-240375</v>
      </c>
      <c r="F108" s="264">
        <f t="shared" si="15"/>
        <v>-1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1628161</v>
      </c>
      <c r="D112" s="263">
        <f t="shared" si="16"/>
        <v>1577197</v>
      </c>
      <c r="E112" s="263">
        <f t="shared" ref="E112:E122" si="17">D112-C112</f>
        <v>-50964</v>
      </c>
      <c r="F112" s="264">
        <f t="shared" ref="F112:F122" si="18">IF(C112=0,0,E112/C112)</f>
        <v>-3.1301572756011233E-2</v>
      </c>
    </row>
    <row r="113" spans="1:6" ht="20.25" customHeight="1" x14ac:dyDescent="0.3">
      <c r="A113" s="271"/>
      <c r="B113" s="286" t="s">
        <v>492</v>
      </c>
      <c r="C113" s="263">
        <f t="shared" si="16"/>
        <v>540759</v>
      </c>
      <c r="D113" s="263">
        <f t="shared" si="16"/>
        <v>497232</v>
      </c>
      <c r="E113" s="263">
        <f t="shared" si="17"/>
        <v>-43527</v>
      </c>
      <c r="F113" s="264">
        <f t="shared" si="18"/>
        <v>-8.0492418988865652E-2</v>
      </c>
    </row>
    <row r="114" spans="1:6" ht="20.25" customHeight="1" x14ac:dyDescent="0.3">
      <c r="A114" s="271"/>
      <c r="B114" s="286" t="s">
        <v>493</v>
      </c>
      <c r="C114" s="263">
        <f t="shared" si="16"/>
        <v>7949219</v>
      </c>
      <c r="D114" s="263">
        <f t="shared" si="16"/>
        <v>7648947</v>
      </c>
      <c r="E114" s="263">
        <f t="shared" si="17"/>
        <v>-300272</v>
      </c>
      <c r="F114" s="264">
        <f t="shared" si="18"/>
        <v>-3.7773773750603673E-2</v>
      </c>
    </row>
    <row r="115" spans="1:6" ht="20.25" customHeight="1" x14ac:dyDescent="0.3">
      <c r="A115" s="271"/>
      <c r="B115" s="286" t="s">
        <v>494</v>
      </c>
      <c r="C115" s="263">
        <f t="shared" si="16"/>
        <v>2220479</v>
      </c>
      <c r="D115" s="263">
        <f t="shared" si="16"/>
        <v>2091032</v>
      </c>
      <c r="E115" s="263">
        <f t="shared" si="17"/>
        <v>-129447</v>
      </c>
      <c r="F115" s="264">
        <f t="shared" si="18"/>
        <v>-5.8296880988291264E-2</v>
      </c>
    </row>
    <row r="116" spans="1:6" ht="20.25" customHeight="1" x14ac:dyDescent="0.3">
      <c r="A116" s="271"/>
      <c r="B116" s="286" t="s">
        <v>495</v>
      </c>
      <c r="C116" s="287">
        <f t="shared" si="16"/>
        <v>159</v>
      </c>
      <c r="D116" s="287">
        <f t="shared" si="16"/>
        <v>115</v>
      </c>
      <c r="E116" s="287">
        <f t="shared" si="17"/>
        <v>-44</v>
      </c>
      <c r="F116" s="264">
        <f t="shared" si="18"/>
        <v>-0.27672955974842767</v>
      </c>
    </row>
    <row r="117" spans="1:6" ht="20.25" customHeight="1" x14ac:dyDescent="0.3">
      <c r="A117" s="271"/>
      <c r="B117" s="286" t="s">
        <v>496</v>
      </c>
      <c r="C117" s="287">
        <f t="shared" si="16"/>
        <v>434</v>
      </c>
      <c r="D117" s="287">
        <f t="shared" si="16"/>
        <v>343</v>
      </c>
      <c r="E117" s="287">
        <f t="shared" si="17"/>
        <v>-91</v>
      </c>
      <c r="F117" s="264">
        <f t="shared" si="18"/>
        <v>-0.20967741935483872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1549</v>
      </c>
      <c r="D118" s="287">
        <f t="shared" si="16"/>
        <v>1004</v>
      </c>
      <c r="E118" s="287">
        <f t="shared" si="17"/>
        <v>-545</v>
      </c>
      <c r="F118" s="264">
        <f t="shared" si="18"/>
        <v>-0.35183989670755328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5205</v>
      </c>
      <c r="D119" s="287">
        <f t="shared" si="16"/>
        <v>4944</v>
      </c>
      <c r="E119" s="287">
        <f t="shared" si="17"/>
        <v>-261</v>
      </c>
      <c r="F119" s="264">
        <f t="shared" si="18"/>
        <v>-5.0144092219020171E-2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9577380</v>
      </c>
      <c r="D121" s="263">
        <f>+D112+D114</f>
        <v>9226144</v>
      </c>
      <c r="E121" s="263">
        <f t="shared" si="17"/>
        <v>-351236</v>
      </c>
      <c r="F121" s="264">
        <f t="shared" si="18"/>
        <v>-3.6673495256531533E-2</v>
      </c>
    </row>
    <row r="122" spans="1:6" ht="20.25" customHeight="1" x14ac:dyDescent="0.3">
      <c r="A122" s="271"/>
      <c r="B122" s="284" t="s">
        <v>472</v>
      </c>
      <c r="C122" s="263">
        <f>+C113+C115</f>
        <v>2761238</v>
      </c>
      <c r="D122" s="263">
        <f>+D113+D115</f>
        <v>2588264</v>
      </c>
      <c r="E122" s="263">
        <f t="shared" si="17"/>
        <v>-172974</v>
      </c>
      <c r="F122" s="264">
        <f t="shared" si="18"/>
        <v>-6.2643640280193161E-2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K33" sqref="K33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1579650</v>
      </c>
      <c r="D13" s="22">
        <v>3173042</v>
      </c>
      <c r="E13" s="22">
        <f t="shared" ref="E13:E22" si="0">D13-C13</f>
        <v>1593392</v>
      </c>
      <c r="F13" s="306">
        <f t="shared" ref="F13:F22" si="1">IF(C13=0,0,E13/C13)</f>
        <v>1.0086993954356978</v>
      </c>
    </row>
    <row r="14" spans="1:8" ht="24" customHeight="1" x14ac:dyDescent="0.2">
      <c r="A14" s="304">
        <v>2</v>
      </c>
      <c r="B14" s="305" t="s">
        <v>17</v>
      </c>
      <c r="C14" s="22">
        <v>226782</v>
      </c>
      <c r="D14" s="22">
        <v>112243</v>
      </c>
      <c r="E14" s="22">
        <f t="shared" si="0"/>
        <v>-114539</v>
      </c>
      <c r="F14" s="306">
        <f t="shared" si="1"/>
        <v>-0.50506213015142298</v>
      </c>
    </row>
    <row r="15" spans="1:8" ht="35.1" customHeight="1" x14ac:dyDescent="0.2">
      <c r="A15" s="304">
        <v>3</v>
      </c>
      <c r="B15" s="305" t="s">
        <v>18</v>
      </c>
      <c r="C15" s="22">
        <v>13057002</v>
      </c>
      <c r="D15" s="22">
        <v>10371729</v>
      </c>
      <c r="E15" s="22">
        <f t="shared" si="0"/>
        <v>-2685273</v>
      </c>
      <c r="F15" s="306">
        <f t="shared" si="1"/>
        <v>-0.20565769998350311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861132</v>
      </c>
      <c r="D19" s="22">
        <v>887860</v>
      </c>
      <c r="E19" s="22">
        <f t="shared" si="0"/>
        <v>26728</v>
      </c>
      <c r="F19" s="306">
        <f t="shared" si="1"/>
        <v>3.1038214814918037E-2</v>
      </c>
    </row>
    <row r="20" spans="1:11" ht="24" customHeight="1" x14ac:dyDescent="0.2">
      <c r="A20" s="304">
        <v>8</v>
      </c>
      <c r="B20" s="305" t="s">
        <v>23</v>
      </c>
      <c r="C20" s="22">
        <v>1666727</v>
      </c>
      <c r="D20" s="22">
        <v>3619088</v>
      </c>
      <c r="E20" s="22">
        <f t="shared" si="0"/>
        <v>1952361</v>
      </c>
      <c r="F20" s="306">
        <f t="shared" si="1"/>
        <v>1.1713741962540956</v>
      </c>
    </row>
    <row r="21" spans="1:11" ht="24" customHeight="1" x14ac:dyDescent="0.2">
      <c r="A21" s="304">
        <v>9</v>
      </c>
      <c r="B21" s="305" t="s">
        <v>24</v>
      </c>
      <c r="C21" s="22">
        <v>780877</v>
      </c>
      <c r="D21" s="22">
        <v>0</v>
      </c>
      <c r="E21" s="22">
        <f t="shared" si="0"/>
        <v>-780877</v>
      </c>
      <c r="F21" s="306">
        <f t="shared" si="1"/>
        <v>-1</v>
      </c>
    </row>
    <row r="22" spans="1:11" ht="24" customHeight="1" x14ac:dyDescent="0.25">
      <c r="A22" s="307"/>
      <c r="B22" s="308" t="s">
        <v>25</v>
      </c>
      <c r="C22" s="309">
        <f>SUM(C13:C21)</f>
        <v>18172170</v>
      </c>
      <c r="D22" s="309">
        <f>SUM(D13:D21)</f>
        <v>18163962</v>
      </c>
      <c r="E22" s="309">
        <f t="shared" si="0"/>
        <v>-8208</v>
      </c>
      <c r="F22" s="310">
        <f t="shared" si="1"/>
        <v>-4.5167968382422134E-4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761871</v>
      </c>
      <c r="D25" s="22">
        <v>894273</v>
      </c>
      <c r="E25" s="22">
        <f>D25-C25</f>
        <v>132402</v>
      </c>
      <c r="F25" s="306">
        <f>IF(C25=0,0,E25/C25)</f>
        <v>0.17378532586225226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1059414</v>
      </c>
      <c r="D28" s="22">
        <v>10914877</v>
      </c>
      <c r="E28" s="22">
        <f>D28-C28</f>
        <v>9855463</v>
      </c>
      <c r="F28" s="306">
        <f>IF(C28=0,0,E28/C28)</f>
        <v>9.3027494445042258</v>
      </c>
    </row>
    <row r="29" spans="1:11" ht="35.1" customHeight="1" x14ac:dyDescent="0.25">
      <c r="A29" s="307"/>
      <c r="B29" s="308" t="s">
        <v>32</v>
      </c>
      <c r="C29" s="309">
        <f>SUM(C25:C28)</f>
        <v>1821285</v>
      </c>
      <c r="D29" s="309">
        <f>SUM(D25:D28)</f>
        <v>11809150</v>
      </c>
      <c r="E29" s="309">
        <f>D29-C29</f>
        <v>9987865</v>
      </c>
      <c r="F29" s="310">
        <f>IF(C29=0,0,E29/C29)</f>
        <v>5.4839659910447844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12850225</v>
      </c>
      <c r="D32" s="22">
        <v>4061602</v>
      </c>
      <c r="E32" s="22">
        <f>D32-C32</f>
        <v>-8788623</v>
      </c>
      <c r="F32" s="306">
        <f>IF(C32=0,0,E32/C32)</f>
        <v>-0.68392755768867863</v>
      </c>
    </row>
    <row r="33" spans="1:8" ht="24" customHeight="1" x14ac:dyDescent="0.2">
      <c r="A33" s="304">
        <v>7</v>
      </c>
      <c r="B33" s="305" t="s">
        <v>35</v>
      </c>
      <c r="C33" s="22">
        <v>4188450</v>
      </c>
      <c r="D33" s="22">
        <v>5037525</v>
      </c>
      <c r="E33" s="22">
        <f>D33-C33</f>
        <v>849075</v>
      </c>
      <c r="F33" s="306">
        <f>IF(C33=0,0,E33/C33)</f>
        <v>0.20271818930630664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88928662</v>
      </c>
      <c r="D36" s="22">
        <v>64201307</v>
      </c>
      <c r="E36" s="22">
        <f>D36-C36</f>
        <v>-24727355</v>
      </c>
      <c r="F36" s="306">
        <f>IF(C36=0,0,E36/C36)</f>
        <v>-0.27805832724661933</v>
      </c>
    </row>
    <row r="37" spans="1:8" ht="24" customHeight="1" x14ac:dyDescent="0.2">
      <c r="A37" s="304">
        <v>2</v>
      </c>
      <c r="B37" s="305" t="s">
        <v>39</v>
      </c>
      <c r="C37" s="22">
        <v>50466444</v>
      </c>
      <c r="D37" s="22">
        <v>28868914</v>
      </c>
      <c r="E37" s="22">
        <f>D37-C37</f>
        <v>-21597530</v>
      </c>
      <c r="F37" s="22">
        <f>IF(C37=0,0,E37/C37)</f>
        <v>-0.42795822903630776</v>
      </c>
    </row>
    <row r="38" spans="1:8" ht="24" customHeight="1" x14ac:dyDescent="0.25">
      <c r="A38" s="307"/>
      <c r="B38" s="308" t="s">
        <v>40</v>
      </c>
      <c r="C38" s="309">
        <f>C36-C37</f>
        <v>38462218</v>
      </c>
      <c r="D38" s="309">
        <f>D36-D37</f>
        <v>35332393</v>
      </c>
      <c r="E38" s="309">
        <f>D38-C38</f>
        <v>-3129825</v>
      </c>
      <c r="F38" s="310">
        <f>IF(C38=0,0,E38/C38)</f>
        <v>-8.1374012283950969E-2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38462218</v>
      </c>
      <c r="D41" s="309">
        <f>+D38+D40</f>
        <v>35332393</v>
      </c>
      <c r="E41" s="309">
        <f>D41-C41</f>
        <v>-3129825</v>
      </c>
      <c r="F41" s="310">
        <f>IF(C41=0,0,E41/C41)</f>
        <v>-8.1374012283950969E-2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75494348</v>
      </c>
      <c r="D43" s="309">
        <f>D22+D29+D31+D32+D33+D41</f>
        <v>74404632</v>
      </c>
      <c r="E43" s="309">
        <f>D43-C43</f>
        <v>-1089716</v>
      </c>
      <c r="F43" s="310">
        <f>IF(C43=0,0,E43/C43)</f>
        <v>-1.4434405076258159E-2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4469034</v>
      </c>
      <c r="D49" s="22">
        <v>5511378</v>
      </c>
      <c r="E49" s="22">
        <f t="shared" ref="E49:E56" si="2">D49-C49</f>
        <v>1042344</v>
      </c>
      <c r="F49" s="306">
        <f t="shared" ref="F49:F56" si="3">IF(C49=0,0,E49/C49)</f>
        <v>0.23323698141477553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6944752</v>
      </c>
      <c r="D50" s="22">
        <v>7152032</v>
      </c>
      <c r="E50" s="22">
        <f t="shared" si="2"/>
        <v>207280</v>
      </c>
      <c r="F50" s="306">
        <f t="shared" si="3"/>
        <v>2.9846998136146545E-2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1100013</v>
      </c>
      <c r="D51" s="22">
        <v>1886925</v>
      </c>
      <c r="E51" s="22">
        <f t="shared" si="2"/>
        <v>786912</v>
      </c>
      <c r="F51" s="306">
        <f t="shared" si="3"/>
        <v>0.71536609112801397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1060828</v>
      </c>
      <c r="D54" s="22">
        <v>133467</v>
      </c>
      <c r="E54" s="22">
        <f t="shared" si="2"/>
        <v>-927361</v>
      </c>
      <c r="F54" s="306">
        <f t="shared" si="3"/>
        <v>-0.87418601318969713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3586610</v>
      </c>
      <c r="D55" s="22">
        <v>2999148</v>
      </c>
      <c r="E55" s="22">
        <f t="shared" si="2"/>
        <v>-587462</v>
      </c>
      <c r="F55" s="306">
        <f t="shared" si="3"/>
        <v>-0.16379310825542784</v>
      </c>
    </row>
    <row r="56" spans="1:6" ht="24" customHeight="1" x14ac:dyDescent="0.25">
      <c r="A56" s="307"/>
      <c r="B56" s="308" t="s">
        <v>54</v>
      </c>
      <c r="C56" s="309">
        <f>SUM(C49:C55)</f>
        <v>17161237</v>
      </c>
      <c r="D56" s="309">
        <f>SUM(D49:D55)</f>
        <v>17682950</v>
      </c>
      <c r="E56" s="309">
        <f t="shared" si="2"/>
        <v>521713</v>
      </c>
      <c r="F56" s="310">
        <f t="shared" si="3"/>
        <v>3.0400664008078206E-2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6768005</v>
      </c>
      <c r="D60" s="22">
        <v>6634757</v>
      </c>
      <c r="E60" s="22">
        <f>D60-C60</f>
        <v>-133248</v>
      </c>
      <c r="F60" s="306">
        <f>IF(C60=0,0,E60/C60)</f>
        <v>-1.9687928717546752E-2</v>
      </c>
    </row>
    <row r="61" spans="1:6" ht="24" customHeight="1" x14ac:dyDescent="0.25">
      <c r="A61" s="307"/>
      <c r="B61" s="308" t="s">
        <v>58</v>
      </c>
      <c r="C61" s="309">
        <f>SUM(C59:C60)</f>
        <v>6768005</v>
      </c>
      <c r="D61" s="309">
        <f>SUM(D59:D60)</f>
        <v>6634757</v>
      </c>
      <c r="E61" s="309">
        <f>D61-C61</f>
        <v>-133248</v>
      </c>
      <c r="F61" s="310">
        <f>IF(C61=0,0,E61/C61)</f>
        <v>-1.9687928717546752E-2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29974311</v>
      </c>
      <c r="D63" s="22">
        <v>16549876</v>
      </c>
      <c r="E63" s="22">
        <f>D63-C63</f>
        <v>-13424435</v>
      </c>
      <c r="F63" s="306">
        <f>IF(C63=0,0,E63/C63)</f>
        <v>-0.44786467318631612</v>
      </c>
    </row>
    <row r="64" spans="1:6" ht="24" customHeight="1" x14ac:dyDescent="0.2">
      <c r="A64" s="304">
        <v>4</v>
      </c>
      <c r="B64" s="305" t="s">
        <v>60</v>
      </c>
      <c r="C64" s="22">
        <v>4785456</v>
      </c>
      <c r="D64" s="22">
        <v>15192808</v>
      </c>
      <c r="E64" s="22">
        <f>D64-C64</f>
        <v>10407352</v>
      </c>
      <c r="F64" s="306">
        <f>IF(C64=0,0,E64/C64)</f>
        <v>2.174787940793939</v>
      </c>
    </row>
    <row r="65" spans="1:6" ht="24" customHeight="1" x14ac:dyDescent="0.25">
      <c r="A65" s="307"/>
      <c r="B65" s="308" t="s">
        <v>61</v>
      </c>
      <c r="C65" s="309">
        <f>SUM(C61:C64)</f>
        <v>41527772</v>
      </c>
      <c r="D65" s="309">
        <f>SUM(D61:D64)</f>
        <v>38377441</v>
      </c>
      <c r="E65" s="309">
        <f>D65-C65</f>
        <v>-3150331</v>
      </c>
      <c r="F65" s="310">
        <f>IF(C65=0,0,E65/C65)</f>
        <v>-7.586082393247584E-2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15462135</v>
      </c>
      <c r="D70" s="22">
        <v>16895968</v>
      </c>
      <c r="E70" s="22">
        <f>D70-C70</f>
        <v>1433833</v>
      </c>
      <c r="F70" s="306">
        <f>IF(C70=0,0,E70/C70)</f>
        <v>9.2731889871612169E-2</v>
      </c>
    </row>
    <row r="71" spans="1:6" ht="24" customHeight="1" x14ac:dyDescent="0.2">
      <c r="A71" s="304">
        <v>2</v>
      </c>
      <c r="B71" s="305" t="s">
        <v>65</v>
      </c>
      <c r="C71" s="22">
        <v>669441</v>
      </c>
      <c r="D71" s="22">
        <v>774510</v>
      </c>
      <c r="E71" s="22">
        <f>D71-C71</f>
        <v>105069</v>
      </c>
      <c r="F71" s="306">
        <f>IF(C71=0,0,E71/C71)</f>
        <v>0.15695035111383976</v>
      </c>
    </row>
    <row r="72" spans="1:6" ht="24" customHeight="1" x14ac:dyDescent="0.2">
      <c r="A72" s="304">
        <v>3</v>
      </c>
      <c r="B72" s="305" t="s">
        <v>66</v>
      </c>
      <c r="C72" s="22">
        <v>673763</v>
      </c>
      <c r="D72" s="22">
        <v>673763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16805339</v>
      </c>
      <c r="D73" s="309">
        <f>SUM(D70:D72)</f>
        <v>18344241</v>
      </c>
      <c r="E73" s="309">
        <f>D73-C73</f>
        <v>1538902</v>
      </c>
      <c r="F73" s="310">
        <f>IF(C73=0,0,E73/C73)</f>
        <v>9.157220809410628E-2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75494348</v>
      </c>
      <c r="D75" s="309">
        <f>D56+D65+D67+D73</f>
        <v>74404632</v>
      </c>
      <c r="E75" s="309">
        <f>D75-C75</f>
        <v>-1089716</v>
      </c>
      <c r="F75" s="310">
        <f>IF(C75=0,0,E75/C75)</f>
        <v>-1.4434405076258159E-2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K33" sqref="K33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196681143</v>
      </c>
      <c r="D11" s="76">
        <v>202576756</v>
      </c>
      <c r="E11" s="76">
        <f t="shared" ref="E11:E20" si="0">D11-C11</f>
        <v>5895613</v>
      </c>
      <c r="F11" s="77">
        <f t="shared" ref="F11:F20" si="1">IF(C11=0,0,E11/C11)</f>
        <v>2.9975486770483128E-2</v>
      </c>
    </row>
    <row r="12" spans="1:7" ht="23.1" customHeight="1" x14ac:dyDescent="0.2">
      <c r="A12" s="74">
        <v>2</v>
      </c>
      <c r="B12" s="75" t="s">
        <v>72</v>
      </c>
      <c r="C12" s="76">
        <v>107358290</v>
      </c>
      <c r="D12" s="76">
        <v>120880699</v>
      </c>
      <c r="E12" s="76">
        <f t="shared" si="0"/>
        <v>13522409</v>
      </c>
      <c r="F12" s="77">
        <f t="shared" si="1"/>
        <v>0.12595589031829774</v>
      </c>
    </row>
    <row r="13" spans="1:7" ht="23.1" customHeight="1" x14ac:dyDescent="0.2">
      <c r="A13" s="74">
        <v>3</v>
      </c>
      <c r="B13" s="75" t="s">
        <v>73</v>
      </c>
      <c r="C13" s="76">
        <v>192533</v>
      </c>
      <c r="D13" s="76">
        <v>643601</v>
      </c>
      <c r="E13" s="76">
        <f t="shared" si="0"/>
        <v>451068</v>
      </c>
      <c r="F13" s="77">
        <f t="shared" si="1"/>
        <v>2.3428087652506324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89130320</v>
      </c>
      <c r="D15" s="79">
        <f>D11-D12-D13-D14</f>
        <v>81052456</v>
      </c>
      <c r="E15" s="79">
        <f t="shared" si="0"/>
        <v>-8077864</v>
      </c>
      <c r="F15" s="80">
        <f t="shared" si="1"/>
        <v>-9.062981037204848E-2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6520133</v>
      </c>
      <c r="E16" s="76">
        <f t="shared" si="0"/>
        <v>6520133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89130320</v>
      </c>
      <c r="D17" s="79">
        <f>D15-D16</f>
        <v>74532323</v>
      </c>
      <c r="E17" s="79">
        <f t="shared" si="0"/>
        <v>-14597997</v>
      </c>
      <c r="F17" s="80">
        <f t="shared" si="1"/>
        <v>-0.16378261628590585</v>
      </c>
    </row>
    <row r="18" spans="1:7" ht="23.1" customHeight="1" x14ac:dyDescent="0.2">
      <c r="A18" s="74">
        <v>6</v>
      </c>
      <c r="B18" s="75" t="s">
        <v>78</v>
      </c>
      <c r="C18" s="76">
        <v>3585478</v>
      </c>
      <c r="D18" s="76">
        <v>2729480</v>
      </c>
      <c r="E18" s="76">
        <f t="shared" si="0"/>
        <v>-855998</v>
      </c>
      <c r="F18" s="77">
        <f t="shared" si="1"/>
        <v>-0.23874027396068251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92715798</v>
      </c>
      <c r="D20" s="79">
        <f>SUM(D17:D19)</f>
        <v>77261803</v>
      </c>
      <c r="E20" s="79">
        <f t="shared" si="0"/>
        <v>-15453995</v>
      </c>
      <c r="F20" s="80">
        <f t="shared" si="1"/>
        <v>-0.16668135671981166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41152660</v>
      </c>
      <c r="D23" s="76">
        <v>40773272</v>
      </c>
      <c r="E23" s="76">
        <f t="shared" ref="E23:E32" si="2">D23-C23</f>
        <v>-379388</v>
      </c>
      <c r="F23" s="77">
        <f t="shared" ref="F23:F32" si="3">IF(C23=0,0,E23/C23)</f>
        <v>-9.2190395468968473E-3</v>
      </c>
    </row>
    <row r="24" spans="1:7" ht="23.1" customHeight="1" x14ac:dyDescent="0.2">
      <c r="A24" s="74">
        <v>2</v>
      </c>
      <c r="B24" s="75" t="s">
        <v>83</v>
      </c>
      <c r="C24" s="76">
        <v>15348836</v>
      </c>
      <c r="D24" s="76">
        <v>12946476</v>
      </c>
      <c r="E24" s="76">
        <f t="shared" si="2"/>
        <v>-2402360</v>
      </c>
      <c r="F24" s="77">
        <f t="shared" si="3"/>
        <v>-0.15651740627106836</v>
      </c>
    </row>
    <row r="25" spans="1:7" ht="23.1" customHeight="1" x14ac:dyDescent="0.2">
      <c r="A25" s="74">
        <v>3</v>
      </c>
      <c r="B25" s="75" t="s">
        <v>84</v>
      </c>
      <c r="C25" s="76">
        <v>1056109</v>
      </c>
      <c r="D25" s="76">
        <v>722901</v>
      </c>
      <c r="E25" s="76">
        <f t="shared" si="2"/>
        <v>-333208</v>
      </c>
      <c r="F25" s="77">
        <f t="shared" si="3"/>
        <v>-0.31550531242513796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10875051</v>
      </c>
      <c r="D26" s="76">
        <v>11584106</v>
      </c>
      <c r="E26" s="76">
        <f t="shared" si="2"/>
        <v>709055</v>
      </c>
      <c r="F26" s="77">
        <f t="shared" si="3"/>
        <v>6.520015400387548E-2</v>
      </c>
    </row>
    <row r="27" spans="1:7" ht="23.1" customHeight="1" x14ac:dyDescent="0.2">
      <c r="A27" s="74">
        <v>5</v>
      </c>
      <c r="B27" s="75" t="s">
        <v>86</v>
      </c>
      <c r="C27" s="76">
        <v>3165395</v>
      </c>
      <c r="D27" s="76">
        <v>6887793</v>
      </c>
      <c r="E27" s="76">
        <f t="shared" si="2"/>
        <v>3722398</v>
      </c>
      <c r="F27" s="77">
        <f t="shared" si="3"/>
        <v>1.1759663485915659</v>
      </c>
    </row>
    <row r="28" spans="1:7" ht="23.1" customHeight="1" x14ac:dyDescent="0.2">
      <c r="A28" s="74">
        <v>6</v>
      </c>
      <c r="B28" s="75" t="s">
        <v>87</v>
      </c>
      <c r="C28" s="76">
        <v>7967947</v>
      </c>
      <c r="D28" s="76">
        <v>0</v>
      </c>
      <c r="E28" s="76">
        <f t="shared" si="2"/>
        <v>-7967947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542344</v>
      </c>
      <c r="D29" s="76">
        <v>468339</v>
      </c>
      <c r="E29" s="76">
        <f t="shared" si="2"/>
        <v>-74005</v>
      </c>
      <c r="F29" s="77">
        <f t="shared" si="3"/>
        <v>-0.13645398492469724</v>
      </c>
    </row>
    <row r="30" spans="1:7" ht="23.1" customHeight="1" x14ac:dyDescent="0.2">
      <c r="A30" s="74">
        <v>8</v>
      </c>
      <c r="B30" s="75" t="s">
        <v>89</v>
      </c>
      <c r="C30" s="76">
        <v>2552883</v>
      </c>
      <c r="D30" s="76">
        <v>2499414</v>
      </c>
      <c r="E30" s="76">
        <f t="shared" si="2"/>
        <v>-53469</v>
      </c>
      <c r="F30" s="77">
        <f t="shared" si="3"/>
        <v>-2.0944555625933503E-2</v>
      </c>
    </row>
    <row r="31" spans="1:7" ht="23.1" customHeight="1" x14ac:dyDescent="0.2">
      <c r="A31" s="74">
        <v>9</v>
      </c>
      <c r="B31" s="75" t="s">
        <v>90</v>
      </c>
      <c r="C31" s="76">
        <v>15410856</v>
      </c>
      <c r="D31" s="76">
        <v>13950615</v>
      </c>
      <c r="E31" s="76">
        <f t="shared" si="2"/>
        <v>-1460241</v>
      </c>
      <c r="F31" s="77">
        <f t="shared" si="3"/>
        <v>-9.4754048704367877E-2</v>
      </c>
    </row>
    <row r="32" spans="1:7" ht="23.1" customHeight="1" x14ac:dyDescent="0.25">
      <c r="A32" s="71"/>
      <c r="B32" s="78" t="s">
        <v>91</v>
      </c>
      <c r="C32" s="79">
        <f>SUM(C23:C31)</f>
        <v>98072081</v>
      </c>
      <c r="D32" s="79">
        <f>SUM(D23:D31)</f>
        <v>89832916</v>
      </c>
      <c r="E32" s="79">
        <f t="shared" si="2"/>
        <v>-8239165</v>
      </c>
      <c r="F32" s="80">
        <f t="shared" si="3"/>
        <v>-8.401132020437091E-2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-5356283</v>
      </c>
      <c r="D34" s="79">
        <f>+D20-D32</f>
        <v>-12571113</v>
      </c>
      <c r="E34" s="79">
        <f>D34-C34</f>
        <v>-7214830</v>
      </c>
      <c r="F34" s="80">
        <f>IF(C34=0,0,E34/C34)</f>
        <v>1.3469844666534609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2507029</v>
      </c>
      <c r="D37" s="76">
        <v>1736372</v>
      </c>
      <c r="E37" s="76">
        <f>D37-C37</f>
        <v>-770657</v>
      </c>
      <c r="F37" s="77">
        <f>IF(C37=0,0,E37/C37)</f>
        <v>-0.30739851832587495</v>
      </c>
    </row>
    <row r="38" spans="1:6" ht="23.1" customHeight="1" x14ac:dyDescent="0.2">
      <c r="A38" s="85">
        <v>2</v>
      </c>
      <c r="B38" s="75" t="s">
        <v>95</v>
      </c>
      <c r="C38" s="76">
        <v>283158</v>
      </c>
      <c r="D38" s="76">
        <v>454342</v>
      </c>
      <c r="E38" s="76">
        <f>D38-C38</f>
        <v>171184</v>
      </c>
      <c r="F38" s="77">
        <f>IF(C38=0,0,E38/C38)</f>
        <v>0.60455293511043307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2790187</v>
      </c>
      <c r="D40" s="79">
        <f>SUM(D37:D39)</f>
        <v>2190714</v>
      </c>
      <c r="E40" s="79">
        <f>D40-C40</f>
        <v>-599473</v>
      </c>
      <c r="F40" s="80">
        <f>IF(C40=0,0,E40/C40)</f>
        <v>-0.21485047417968761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-2566096</v>
      </c>
      <c r="D42" s="79">
        <f>D34+D40</f>
        <v>-10380399</v>
      </c>
      <c r="E42" s="79">
        <f>D42-C42</f>
        <v>-7814303</v>
      </c>
      <c r="F42" s="80">
        <f>IF(C42=0,0,E42/C42)</f>
        <v>3.0452107013923095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3465</v>
      </c>
      <c r="D45" s="76">
        <v>-536330</v>
      </c>
      <c r="E45" s="76">
        <f>D45-C45</f>
        <v>-539795</v>
      </c>
      <c r="F45" s="77">
        <f>IF(C45=0,0,E45/C45)</f>
        <v>-155.7849927849928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3465</v>
      </c>
      <c r="D47" s="79">
        <f>SUM(D45:D46)</f>
        <v>-536330</v>
      </c>
      <c r="E47" s="79">
        <f>D47-C47</f>
        <v>-539795</v>
      </c>
      <c r="F47" s="80">
        <f>IF(C47=0,0,E47/C47)</f>
        <v>-155.7849927849928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-2562631</v>
      </c>
      <c r="D49" s="79">
        <f>D42+D47</f>
        <v>-10916729</v>
      </c>
      <c r="E49" s="79">
        <f>D49-C49</f>
        <v>-8354098</v>
      </c>
      <c r="F49" s="80">
        <f>IF(C49=0,0,E49/C49)</f>
        <v>3.2599691488942417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9" orientation="portrait" r:id="rId1"/>
  <headerFooter>
    <oddHeader>&amp;LOFFICE OF HEALTH CARE ACCESS&amp;CTWELVE MONTHS ACTUAL FILING&amp;RMILFORD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2014-11-05T17:05:24Z</cp:lastPrinted>
  <dcterms:created xsi:type="dcterms:W3CDTF">2014-11-05T16:27:44Z</dcterms:created>
  <dcterms:modified xsi:type="dcterms:W3CDTF">2014-11-05T17:05:31Z</dcterms:modified>
</cp:coreProperties>
</file>